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<sst xmlns="http://schemas.openxmlformats.org/spreadsheetml/2006/main" count="2486" uniqueCount="948">
  <si>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</si>
  <si>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</si>
  <si>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</si>
  <si>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</si>
  <si>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</si>
  <si>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</si>
  <si>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</si>
  <si>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</si>
  <si>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</si>
  <si>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</si>
  <si>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</si>
  <si>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</si>
  <si>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</si>
  <si>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</si>
  <si>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</si>
  <si>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</si>
  <si>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</si>
  <si>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</si>
  <si>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</si>
  <si>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</si>
  <si>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</si>
  <si>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</si>
  <si>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</si>
  <si>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</si>
  <si>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</si>
  <si>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</si>
  <si>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</si>
  <si>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</si>
  <si>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</si>
  <si>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</si>
  <si>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</si>
  <si>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</si>
  <si>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</si>
  <si>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</si>
  <si>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</si>
  <si>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</si>
  <si>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</si>
  <si>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</si>
  <si>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</si>
  <si>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</si>
  <si>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</si>
  <si>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</si>
  <si>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</si>
  <si>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</si>
  <si>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</si>
  <si>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</si>
  <si>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</si>
  <si>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</si>
  <si>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</si>
  <si>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</si>
  <si>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</si>
  <si>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</si>
  <si>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</si>
  <si>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</si>
  <si>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</si>
  <si>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</si>
  <si>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</si>
  <si>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</si>
  <si>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</si>
  <si>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</si>
  <si>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</si>
  <si>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</si>
  <si>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</si>
  <si>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</si>
  <si>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</si>
  <si>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</si>
  <si>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</si>
  <si>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</si>
  <si>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</si>
  <si>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</si>
  <si>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</si>
  <si>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</si>
  <si>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</si>
  <si>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</si>
  <si>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</si>
  <si>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</si>
  <si>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</si>
  <si>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</si>
  <si>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</si>
  <si>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</si>
  <si>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</si>
  <si>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</si>
  <si>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</si>
  <si>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</si>
  <si>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</si>
  <si>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</si>
  <si>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</si>
  <si>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</si>
  <si>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</si>
  <si>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</si>
  <si>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</si>
  <si>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</si>
  <si>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</si>
  <si>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</si>
  <si>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</si>
  <si>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</si>
  <si>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</si>
  <si>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</si>
  <si>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</si>
  <si>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</si>
  <si>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</si>
  <si>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</si>
  <si>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</si>
  <si>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</si>
  <si>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</si>
  <si>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</si>
  <si>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</si>
  <si>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</si>
  <si>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</si>
  <si>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</si>
  <si>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</si>
  <si>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</si>
  <si>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</si>
  <si>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</si>
  <si>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</si>
  <si>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</si>
  <si>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</si>
  <si>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</si>
  <si>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</si>
  <si>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</si>
  <si>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</si>
  <si>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</si>
  <si>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</si>
  <si>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</si>
  <si>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</si>
  <si>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</si>
  <si>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</si>
  <si>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</si>
  <si>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</si>
  <si>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</si>
  <si>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</si>
  <si>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</si>
  <si>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</si>
  <si>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</si>
  <si>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</si>
  <si>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</si>
  <si>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</si>
  <si>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</si>
  <si>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</si>
  <si>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</si>
  <si>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</si>
  <si>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</si>
  <si>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</si>
  <si>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</si>
  <si>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</si>
  <si>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</si>
  <si>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</si>
  <si>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</si>
  <si>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</si>
  <si>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</si>
  <si>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</si>
  <si>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</si>
  <si>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</si>
  <si>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</si>
  <si>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</si>
  <si>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</si>
  <si>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</si>
  <si>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</si>
  <si>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</si>
  <si>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</si>
  <si>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</si>
  <si>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</si>
  <si>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</si>
  <si>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</si>
  <si>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</si>
  <si>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</si>
  <si>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</si>
  <si>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</si>
  <si>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</si>
  <si>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</si>
  <si>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</si>
  <si>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</si>
  <si>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</si>
  <si>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</si>
  <si>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</si>
  <si>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</si>
  <si>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</si>
  <si>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</si>
  <si>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</si>
  <si>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</si>
  <si>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</si>
  <si>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</si>
  <si>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</si>
  <si>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</si>
  <si>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</si>
  <si>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</si>
  <si>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</si>
  <si>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</si>
  <si>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</si>
  <si>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</si>
  <si>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</si>
  <si>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</si>
  <si>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</si>
  <si>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</si>
  <si>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</si>
  <si>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</si>
  <si>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</si>
  <si>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</si>
  <si>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</si>
  <si>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</si>
  <si>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</si>
  <si>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</si>
  <si>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</si>
  <si>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</si>
  <si>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</si>
  <si>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</si>
  <si>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</si>
  <si>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</si>
  <si>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</si>
  <si>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</si>
  <si>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</si>
  <si>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</si>
  <si>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</si>
  <si>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</si>
  <si>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</si>
  <si>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</si>
  <si>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</si>
  <si>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</si>
  <si>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</si>
  <si>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</si>
  <si>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</si>
  <si>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</si>
  <si>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</si>
  <si>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</si>
  <si>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</si>
  <si>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</si>
  <si>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</si>
  <si>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</si>
  <si>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</si>
  <si>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</si>
  <si>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</si>
  <si>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</si>
  <si>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</si>
  <si>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</si>
  <si>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</si>
  <si>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</si>
  <si>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</si>
  <si>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</si>
  <si>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</si>
  <si>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</si>
  <si>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</si>
  <si>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</si>
  <si>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</si>
  <si>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</si>
  <si>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</si>
  <si>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</si>
  <si>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</si>
  <si>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</si>
  <si>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</si>
  <si>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</si>
  <si>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</si>
  <si>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</si>
  <si>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</si>
  <si>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</si>
  <si>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</si>
  <si>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</si>
  <si>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</si>
  <si>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</si>
  <si>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</si>
  <si>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</si>
  <si>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</si>
  <si>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</si>
  <si>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</si>
  <si>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</si>
  <si>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</si>
  <si>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</si>
  <si>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</si>
  <si>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</si>
  <si>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</si>
  <si>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</si>
  <si>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</si>
  <si>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</si>
  <si>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</si>
  <si>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</si>
  <si>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</si>
  <si>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</si>
  <si>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</si>
  <si>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</si>
  <si>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</si>
  <si>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</si>
  <si>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</si>
  <si>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</si>
  <si>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</si>
  <si>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</si>
  <si>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</si>
  <si>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</si>
  <si>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</si>
  <si>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</si>
  <si>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</si>
  <si>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</si>
  <si>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</si>
  <si>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</si>
  <si>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</si>
  <si>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</si>
  <si>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</si>
  <si>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</si>
  <si>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</si>
  <si>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</si>
  <si>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</si>
  <si>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</si>
  <si>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</si>
  <si>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</si>
  <si>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</si>
  <si>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</si>
  <si>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</si>
  <si>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</si>
  <si>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</si>
  <si>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</si>
  <si>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</si>
  <si>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</si>
  <si>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</si>
  <si>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</si>
  <si>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</si>
  <si>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</si>
  <si>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</si>
  <si>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</si>
  <si>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</si>
  <si>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</si>
  <si>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</si>
  <si>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</si>
  <si>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</si>
  <si>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</si>
  <si>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</si>
  <si>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</si>
  <si>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</si>
  <si>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</si>
  <si>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</si>
  <si>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</si>
  <si>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</si>
  <si>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</si>
  <si>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</si>
  <si>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</si>
  <si>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</si>
  <si>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</si>
  <si>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</si>
  <si>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</si>
  <si>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</si>
  <si>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</si>
  <si>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</si>
  <si>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</si>
  <si>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</si>
  <si>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</si>
  <si>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</si>
  <si>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</si>
  <si>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</si>
  <si>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</si>
  <si>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</si>
  <si>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</si>
  <si>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</si>
  <si>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</si>
  <si>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</si>
  <si>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</si>
  <si>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</si>
  <si>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</si>
  <si>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</si>
  <si>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</si>
  <si>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</si>
  <si>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</si>
  <si>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</si>
  <si>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</si>
  <si>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</si>
  <si>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</si>
  <si>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</si>
  <si>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</si>
  <si>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</si>
  <si>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</si>
  <si>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</si>
  <si>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</si>
  <si>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</si>
  <si>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</si>
  <si>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</si>
  <si>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</si>
  <si>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</si>
  <si>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</si>
  <si>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</si>
  <si>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</si>
  <si>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</si>
  <si>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</si>
  <si>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</si>
  <si>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</si>
  <si>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</si>
  <si>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</si>
  <si>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</si>
  <si>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</si>
  <si>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</si>
  <si>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</si>
  <si>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</si>
  <si>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</si>
  <si>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</si>
  <si>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</si>
  <si>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</si>
  <si>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</si>
  <si>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</si>
  <si>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</si>
  <si>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</si>
  <si>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</si>
  <si>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</si>
  <si>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</si>
  <si>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</si>
  <si>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</si>
  <si>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</si>
  <si>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</si>
  <si>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</si>
  <si>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</si>
  <si>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</si>
  <si>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</si>
  <si>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</si>
  <si>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</si>
  <si>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</si>
  <si>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</si>
  <si>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</si>
  <si>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</si>
  <si>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</si>
  <si>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</si>
  <si>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</si>
  <si>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</si>
  <si>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</si>
  <si>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</si>
  <si>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</si>
  <si>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</si>
  <si>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</si>
  <si>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</si>
  <si>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</si>
  <si>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</si>
  <si>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</si>
  <si>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</si>
  <si>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</si>
  <si>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</si>
  <si>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</si>
  <si>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</si>
  <si>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</si>
  <si>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</si>
  <si>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</si>
  <si>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</si>
  <si>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</si>
  <si>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</si>
  <si>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</si>
  <si>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</si>
  <si>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</si>
  <si>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</si>
  <si>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</si>
  <si>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</si>
  <si>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</si>
  <si>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</si>
  <si>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</si>
  <si>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</si>
  <si>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</si>
  <si>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</si>
  <si>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</si>
  <si>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</si>
  <si>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</si>
  <si>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</si>
  <si>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</si>
  <si>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</si>
  <si>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</si>
  <si>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</si>
  <si>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</si>
  <si>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</si>
  <si>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</si>
  <si>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</si>
  <si>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</si>
  <si>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</si>
  <si>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</si>
  <si>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</si>
  <si>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</si>
  <si>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</si>
  <si>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</si>
  <si>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</si>
  <si>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</si>
  <si>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</si>
  <si>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</si>
  <si>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</si>
  <si>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</si>
  <si>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</si>
  <si>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</si>
  <si>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</si>
  <si>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</si>
  <si>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</si>
  <si>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</si>
  <si>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</si>
  <si>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</si>
  <si>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</si>
  <si>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</si>
  <si>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</si>
  <si>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</si>
  <si>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</si>
  <si>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</si>
  <si>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</si>
  <si>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</si>
  <si>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</si>
  <si>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</si>
  <si>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</si>
  <si>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</si>
  <si>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</si>
  <si>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</si>
  <si>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</si>
  <si>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</si>
  <si>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</si>
  <si>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</si>
  <si>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</si>
  <si>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</si>
  <si>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</si>
  <si>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</si>
  <si>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</si>
  <si>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</si>
  <si>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</si>
  <si>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</si>
  <si>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</si>
  <si>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</si>
  <si>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</si>
  <si>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</si>
  <si>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</si>
  <si>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</si>
  <si>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</si>
  <si>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</si>
  <si>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</si>
  <si>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</si>
  <si>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</si>
  <si>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</si>
  <si>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</si>
  <si>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</si>
  <si>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</si>
  <si>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</si>
  <si>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</si>
  <si>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</si>
  <si>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</si>
  <si>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</si>
  <si>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</si>
  <si>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</si>
  <si>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</si>
  <si>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</si>
  <si>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</si>
  <si>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</si>
  <si>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</si>
  <si>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</si>
  <si>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</si>
  <si>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</si>
  <si>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</si>
  <si>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</si>
  <si>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</si>
  <si>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</si>
  <si>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</si>
  <si>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</si>
  <si>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</si>
  <si>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</si>
  <si>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</si>
  <si>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</si>
  <si>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</si>
  <si>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</si>
  <si>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</si>
  <si>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</si>
  <si>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</si>
  <si>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</si>
  <si>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</si>
  <si>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</si>
  <si>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</si>
  <si>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</si>
  <si>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</si>
  <si>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</si>
  <si>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</si>
  <si>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</si>
  <si>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</si>
  <si>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</si>
  <si>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</si>
  <si>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</si>
  <si>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</si>
  <si>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</si>
  <si>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</si>
  <si>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</si>
  <si>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</si>
  <si>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</si>
  <si>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</si>
  <si>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</si>
  <si>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</si>
  <si>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</si>
  <si>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</si>
  <si>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</si>
  <si>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</si>
  <si>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</si>
  <si>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</si>
  <si>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</si>
  <si>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</si>
  <si>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</si>
  <si>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</si>
  <si>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</si>
  <si>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</si>
  <si>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</si>
  <si>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</si>
  <si>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</si>
  <si>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</si>
  <si>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</si>
  <si>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</si>
  <si>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</si>
  <si>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</si>
  <si>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</si>
  <si>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</si>
  <si>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</si>
  <si>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</si>
  <si>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</si>
  <si>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</si>
  <si>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</si>
  <si>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</si>
  <si>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</si>
  <si>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</si>
  <si>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</si>
  <si>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</si>
  <si>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</si>
  <si>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</si>
  <si>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</si>
  <si>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</si>
  <si>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</si>
  <si>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</si>
  <si>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</si>
  <si>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</si>
  <si>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</si>
  <si>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</si>
  <si>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</si>
  <si>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</si>
  <si>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</si>
  <si>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</si>
  <si>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</si>
  <si>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</si>
  <si>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</si>
  <si>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</si>
  <si>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</si>
  <si>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</si>
  <si>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</si>
  <si>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</si>
  <si>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</si>
  <si>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</si>
  <si>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</si>
  <si>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</si>
  <si>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</si>
  <si>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</si>
  <si>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</si>
  <si>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</si>
  <si>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</si>
  <si>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</si>
  <si>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</si>
  <si>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</si>
  <si>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</si>
  <si>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</si>
  <si>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</si>
  <si>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</si>
  <si>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</si>
  <si>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</si>
  <si>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</si>
  <si>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</si>
  <si>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</si>
  <si>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</si>
  <si>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</si>
  <si>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</si>
  <si>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</si>
  <si>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</si>
  <si>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</si>
  <si>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</si>
  <si>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</si>
  <si>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</si>
  <si>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</si>
  <si>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</si>
  <si>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</si>
  <si>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</si>
  <si>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</si>
  <si>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</si>
  <si>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</si>
  <si>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</si>
  <si>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</si>
  <si>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</si>
  <si>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</si>
  <si>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</si>
  <si>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</si>
  <si>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</si>
  <si>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</si>
  <si>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</si>
  <si>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</si>
  <si>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</si>
  <si>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</si>
  <si>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</si>
  <si>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</si>
  <si>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</si>
  <si>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</si>
  <si>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</si>
  <si>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</si>
  <si>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</si>
  <si>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</si>
  <si>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</si>
  <si>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</si>
  <si>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</si>
  <si>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</si>
  <si>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</si>
  <si>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</si>
  <si>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</si>
  <si>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</si>
  <si>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</si>
  <si>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</si>
  <si>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</si>
  <si>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</si>
  <si>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</si>
  <si>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</si>
  <si>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</si>
  <si>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</si>
  <si>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</si>
  <si>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</si>
  <si>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</si>
  <si>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</si>
  <si>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</si>
  <si>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</si>
  <si>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</si>
  <si>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</si>
  <si>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</si>
  <si>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</si>
  <si>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</si>
  <si>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</si>
  <si>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</si>
  <si>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</si>
  <si>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</si>
  <si>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</si>
  <si>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</si>
  <si>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</si>
  <si>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</si>
  <si>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</si>
  <si>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</si>
  <si>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</si>
  <si>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</si>
  <si>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</si>
  <si>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</si>
  <si>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</si>
  <si>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</si>
  <si>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</si>
  <si>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</si>
  <si>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</si>
  <si>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</si>
  <si>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</si>
  <si>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</si>
  <si>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</si>
  <si>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</si>
  <si>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</si>
  <si>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</si>
  <si>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</si>
  <si>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</si>
  <si>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</si>
  <si>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</si>
  <si>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</si>
  <si>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</si>
  <si>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</si>
  <si>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</si>
  <si>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</si>
  <si>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</si>
  <si>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</si>
  <si>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</si>
  <si>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</si>
  <si>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</si>
  <si>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</si>
  <si>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</si>
  <si>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</si>
  <si>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</si>
  <si>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</si>
  <si>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</si>
  <si>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</si>
  <si>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</si>
  <si>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</si>
  <si>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</si>
  <si>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</si>
  <si>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</si>
  <si>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</si>
  <si>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</si>
  <si>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</si>
  <si>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</si>
  <si>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</si>
  <si>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</si>
  <si>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</si>
  <si>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</si>
  <si>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</si>
  <si>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</si>
  <si>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</si>
  <si>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</si>
  <si>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</si>
  <si>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</si>
  <si>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</si>
  <si>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</si>
  <si>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</si>
  <si>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</si>
  <si>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</si>
  <si>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</si>
  <si>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</si>
  <si>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</si>
  <si>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</si>
  <si>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</si>
  <si>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</si>
  <si>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</si>
  <si>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</si>
  <si>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</si>
  <si>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</si>
  <si>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</si>
  <si>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</si>
  <si>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</si>
  <si>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</si>
  <si>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</si>
  <si>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</si>
  <si>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</si>
  <si>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</si>
  <si>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</si>
  <si>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</si>
  <si>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</si>
  <si>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</si>
  <si>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</si>
  <si>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</si>
  <si>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</si>
  <si>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</si>
  <si>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</si>
  <si>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</si>
  <si>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</si>
  <si>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</si>
  <si>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</si>
  <si>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</si>
  <si>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</si>
  <si>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</si>
  <si>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</si>
  <si>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</si>
  <si>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</si>
  <si>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</si>
  <si>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</si>
  <si>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</si>
  <si>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</si>
  <si>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</si>
  <si>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</si>
  <si>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</si>
  <si>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</si>
  <si>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</si>
  <si>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</si>
  <si>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</si>
  <si>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</si>
  <si>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</si>
  <si>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</si>
  <si>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</si>
  <si>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</si>
  <si>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</si>
  <si>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</si>
  <si>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</si>
  <si>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</si>
  <si>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</si>
  <si>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</si>
  <si>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</si>
  <si>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</si>
  <si>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</si>
  <si>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</si>
  <si>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</si>
  <si>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</si>
  <si>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</si>
  <si>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</si>
  <si>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</si>
  <si>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</si>
  <si>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</si>
  <si>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</si>
  <si>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</si>
  <si>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</si>
  <si>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</si>
  <si>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</si>
  <si>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</si>
  <si>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</si>
  <si>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</si>
  <si>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</si>
  <si>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</si>
  <si>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</si>
  <si>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</si>
  <si>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</si>
  <si>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</si>
  <si>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</si>
  <si>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</si>
  <si>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</si>
  <si>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</si>
  <si>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</si>
  <si>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</si>
  <si>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</si>
  <si>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</si>
  <si>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</si>
  <si>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</si>
  <si>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</si>
  <si>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</si>
  <si>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</si>
  <si>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</si>
  <si>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</si>
  <si>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</si>
  <si>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</si>
  <si>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</si>
  <si>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</si>
  <si>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</si>
  <si>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</si>
  <si>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</si>
  <si>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</si>
  <si>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</si>
  <si>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</si>
  <si>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</si>
  <si>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</si>
  <si>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</si>
  <si>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</si>
  <si>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</si>
  <si>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</si>
  <si>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</si>
  <si>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</si>
  <si>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</si>
  <si>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</si>
  <si>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</si>
  <si>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</si>
  <si>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</si>
  <si>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</si>
  <si>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</si>
  <si>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</si>
  <si>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</si>
  <si>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</si>
  <si>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</si>
  <si>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</si>
  <si>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</si>
  <si>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</si>
  <si>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</si>
  <si>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</si>
  <si>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</si>
  <si>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</si>
  <si>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</si>
  <si>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</si>
  <si>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</si>
  <si>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</si>
  <si>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</si>
  <si>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</si>
  <si>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</si>
  <si>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</si>
  <si>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</si>
  <si>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</si>
  <si>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</si>
  <si>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</si>
  <si>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</si>
  <si>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</si>
  <si>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</si>
  <si>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</si>
  <si>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</si>
  <si>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</si>
  <si>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</si>
  <si>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</si>
  <si>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</si>
  <si>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</si>
  <si>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</si>
  <si>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</si>
  <si>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41011</t>
  </si>
  <si>
    <t>DENDERLEEUW</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</si>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</sst>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41011</v>
      </c>
      <c r="B6" s="397"/>
      <c r="C6" s="398"/>
    </row>
    <row r="7" spans="1:7" s="395" customFormat="1" ht="15.75" customHeight="1">
      <c r="A7" s="399" t="str">
        <f>txtMunicipality</f>
        <v>DENDERLEEUW</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0.21143963524984749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0.21143963524984749</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41011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7925</v>
      </c>
      <c r="C9" s="338">
        <v>8779</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395</v>
      </c>
    </row>
    <row r="15" spans="1:6">
      <c r="A15" s="1286" t="s">
        <v>184</v>
      </c>
      <c r="B15" s="335">
        <v>2</v>
      </c>
    </row>
    <row r="16" spans="1:6">
      <c r="A16" s="1286" t="s">
        <v>6</v>
      </c>
      <c r="B16" s="335">
        <v>100</v>
      </c>
    </row>
    <row r="17" spans="1:6">
      <c r="A17" s="1286" t="s">
        <v>7</v>
      </c>
      <c r="B17" s="335">
        <v>61</v>
      </c>
    </row>
    <row r="18" spans="1:6">
      <c r="A18" s="1286" t="s">
        <v>8</v>
      </c>
      <c r="B18" s="335">
        <v>122</v>
      </c>
    </row>
    <row r="19" spans="1:6">
      <c r="A19" s="1286" t="s">
        <v>9</v>
      </c>
      <c r="B19" s="335">
        <v>128</v>
      </c>
    </row>
    <row r="20" spans="1:6">
      <c r="A20" s="1286" t="s">
        <v>10</v>
      </c>
      <c r="B20" s="335">
        <v>77</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61</v>
      </c>
    </row>
    <row r="27" spans="1:6">
      <c r="A27" s="1286" t="s">
        <v>17</v>
      </c>
      <c r="B27" s="335">
        <v>0</v>
      </c>
    </row>
    <row r="28" spans="1:6" s="341" customFormat="1">
      <c r="A28" s="1287" t="s">
        <v>18</v>
      </c>
      <c r="B28" s="1287">
        <v>0</v>
      </c>
    </row>
    <row r="29" spans="1:6">
      <c r="A29" s="1287" t="s">
        <v>944</v>
      </c>
      <c r="B29" s="1287">
        <v>6</v>
      </c>
      <c r="C29" s="341"/>
      <c r="D29" s="341"/>
      <c r="E29" s="341"/>
      <c r="F29" s="341"/>
    </row>
    <row r="30" spans="1:6">
      <c r="A30" s="1282" t="s">
        <v>945</v>
      </c>
      <c r="B30" s="1282">
        <v>0</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371345.94184835203</v>
      </c>
      <c r="E38" s="335">
        <v>3</v>
      </c>
      <c r="F38" s="335">
        <v>5769.3848825129999</v>
      </c>
    </row>
    <row r="39" spans="1:6">
      <c r="A39" s="1286" t="s">
        <v>30</v>
      </c>
      <c r="B39" s="1286" t="s">
        <v>31</v>
      </c>
      <c r="C39" s="335">
        <v>4870</v>
      </c>
      <c r="D39" s="335">
        <v>84176418.124815404</v>
      </c>
      <c r="E39" s="335">
        <v>8101</v>
      </c>
      <c r="F39" s="335">
        <v>32829426.3783819</v>
      </c>
    </row>
    <row r="40" spans="1:6">
      <c r="A40" s="1286" t="s">
        <v>30</v>
      </c>
      <c r="B40" s="1286" t="s">
        <v>29</v>
      </c>
      <c r="C40" s="335">
        <v>0</v>
      </c>
      <c r="D40" s="335">
        <v>0</v>
      </c>
      <c r="E40" s="335">
        <v>0</v>
      </c>
      <c r="F40" s="335">
        <v>0</v>
      </c>
    </row>
    <row r="41" spans="1:6">
      <c r="A41" s="1286" t="s">
        <v>32</v>
      </c>
      <c r="B41" s="1286" t="s">
        <v>33</v>
      </c>
      <c r="C41" s="335">
        <v>15</v>
      </c>
      <c r="D41" s="335">
        <v>414028.02576609602</v>
      </c>
      <c r="E41" s="335">
        <v>87</v>
      </c>
      <c r="F41" s="335">
        <v>1370690.8675525</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619889.28967628698</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41</v>
      </c>
      <c r="D48" s="335">
        <v>2435380.5637946902</v>
      </c>
      <c r="E48" s="335">
        <v>56</v>
      </c>
      <c r="F48" s="335">
        <v>18334855.801294699</v>
      </c>
    </row>
    <row r="49" spans="1:6">
      <c r="A49" s="1286" t="s">
        <v>32</v>
      </c>
      <c r="B49" s="1286" t="s">
        <v>40</v>
      </c>
      <c r="C49" s="335">
        <v>0</v>
      </c>
      <c r="D49" s="335">
        <v>0</v>
      </c>
      <c r="E49" s="335">
        <v>0</v>
      </c>
      <c r="F49" s="335">
        <v>0</v>
      </c>
    </row>
    <row r="50" spans="1:6">
      <c r="A50" s="1286" t="s">
        <v>32</v>
      </c>
      <c r="B50" s="1286" t="s">
        <v>41</v>
      </c>
      <c r="C50" s="335">
        <v>6</v>
      </c>
      <c r="D50" s="335">
        <v>312022.57157170097</v>
      </c>
      <c r="E50" s="335">
        <v>10</v>
      </c>
      <c r="F50" s="335">
        <v>293075.54544001701</v>
      </c>
    </row>
    <row r="51" spans="1:6">
      <c r="A51" s="1286" t="s">
        <v>42</v>
      </c>
      <c r="B51" s="1286" t="s">
        <v>43</v>
      </c>
      <c r="C51" s="335">
        <v>0</v>
      </c>
      <c r="D51" s="335">
        <v>0</v>
      </c>
      <c r="E51" s="335">
        <v>0</v>
      </c>
      <c r="F51" s="335">
        <v>0</v>
      </c>
    </row>
    <row r="52" spans="1:6">
      <c r="A52" s="1286" t="s">
        <v>42</v>
      </c>
      <c r="B52" s="1286" t="s">
        <v>29</v>
      </c>
      <c r="C52" s="335">
        <v>1</v>
      </c>
      <c r="D52" s="335">
        <v>13988.561138658</v>
      </c>
      <c r="E52" s="335">
        <v>6</v>
      </c>
      <c r="F52" s="335">
        <v>101786.444025098</v>
      </c>
    </row>
    <row r="53" spans="1:6">
      <c r="A53" s="1286" t="s">
        <v>44</v>
      </c>
      <c r="B53" s="1286" t="s">
        <v>45</v>
      </c>
      <c r="C53" s="335">
        <v>75</v>
      </c>
      <c r="D53" s="335">
        <v>3842756.9345031902</v>
      </c>
      <c r="E53" s="335">
        <v>169</v>
      </c>
      <c r="F53" s="335">
        <v>734130.06566420104</v>
      </c>
    </row>
    <row r="54" spans="1:6">
      <c r="A54" s="1286" t="s">
        <v>46</v>
      </c>
      <c r="B54" s="1286" t="s">
        <v>47</v>
      </c>
      <c r="C54" s="335">
        <v>0</v>
      </c>
      <c r="D54" s="335">
        <v>0</v>
      </c>
      <c r="E54" s="335">
        <v>1</v>
      </c>
      <c r="F54" s="335">
        <v>1227733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22</v>
      </c>
      <c r="D57" s="335">
        <v>737706.13782542699</v>
      </c>
      <c r="E57" s="335">
        <v>96</v>
      </c>
      <c r="F57" s="335">
        <v>1124997.9877065599</v>
      </c>
    </row>
    <row r="58" spans="1:6">
      <c r="A58" s="1286" t="s">
        <v>49</v>
      </c>
      <c r="B58" s="1286" t="s">
        <v>51</v>
      </c>
      <c r="C58" s="335">
        <v>8</v>
      </c>
      <c r="D58" s="335">
        <v>416424.02844387398</v>
      </c>
      <c r="E58" s="335">
        <v>14</v>
      </c>
      <c r="F58" s="335">
        <v>410241.490189292</v>
      </c>
    </row>
    <row r="59" spans="1:6">
      <c r="A59" s="1286" t="s">
        <v>49</v>
      </c>
      <c r="B59" s="1286" t="s">
        <v>52</v>
      </c>
      <c r="C59" s="335">
        <v>34</v>
      </c>
      <c r="D59" s="335">
        <v>1641097.71380177</v>
      </c>
      <c r="E59" s="335">
        <v>118</v>
      </c>
      <c r="F59" s="335">
        <v>5068083.5167818097</v>
      </c>
    </row>
    <row r="60" spans="1:6">
      <c r="A60" s="1286" t="s">
        <v>49</v>
      </c>
      <c r="B60" s="1286" t="s">
        <v>53</v>
      </c>
      <c r="C60" s="335">
        <v>46</v>
      </c>
      <c r="D60" s="335">
        <v>1437692.73387705</v>
      </c>
      <c r="E60" s="335">
        <v>66</v>
      </c>
      <c r="F60" s="335">
        <v>1105149.28593517</v>
      </c>
    </row>
    <row r="61" spans="1:6">
      <c r="A61" s="1286" t="s">
        <v>49</v>
      </c>
      <c r="B61" s="1286" t="s">
        <v>54</v>
      </c>
      <c r="C61" s="335">
        <v>87</v>
      </c>
      <c r="D61" s="335">
        <v>3723671.7559063099</v>
      </c>
      <c r="E61" s="335">
        <v>182</v>
      </c>
      <c r="F61" s="335">
        <v>2673893.6918731499</v>
      </c>
    </row>
    <row r="62" spans="1:6">
      <c r="A62" s="1286" t="s">
        <v>49</v>
      </c>
      <c r="B62" s="1286" t="s">
        <v>55</v>
      </c>
      <c r="C62" s="335">
        <v>6</v>
      </c>
      <c r="D62" s="335">
        <v>447854.36729697802</v>
      </c>
      <c r="E62" s="335">
        <v>9</v>
      </c>
      <c r="F62" s="335">
        <v>501230.57142657897</v>
      </c>
    </row>
    <row r="63" spans="1:6">
      <c r="A63" s="1286" t="s">
        <v>49</v>
      </c>
      <c r="B63" s="1286" t="s">
        <v>29</v>
      </c>
      <c r="C63" s="335">
        <v>109</v>
      </c>
      <c r="D63" s="335">
        <v>112552454.27348401</v>
      </c>
      <c r="E63" s="335">
        <v>164</v>
      </c>
      <c r="F63" s="335">
        <v>2648442.3579479898</v>
      </c>
    </row>
    <row r="64" spans="1:6">
      <c r="A64" s="1286" t="s">
        <v>56</v>
      </c>
      <c r="B64" s="1286" t="s">
        <v>57</v>
      </c>
      <c r="C64" s="335">
        <v>0</v>
      </c>
      <c r="D64" s="335">
        <v>0</v>
      </c>
      <c r="E64" s="335">
        <v>0</v>
      </c>
      <c r="F64" s="335">
        <v>0</v>
      </c>
    </row>
    <row r="65" spans="1:6">
      <c r="A65" s="1286" t="s">
        <v>56</v>
      </c>
      <c r="B65" s="1286" t="s">
        <v>29</v>
      </c>
      <c r="C65" s="335">
        <v>2</v>
      </c>
      <c r="D65" s="335">
        <v>25248.945741918</v>
      </c>
      <c r="E65" s="335">
        <v>3</v>
      </c>
      <c r="F65" s="335">
        <v>6897.9522147547996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3</v>
      </c>
      <c r="D68" s="335">
        <v>92275.501799382502</v>
      </c>
      <c r="E68" s="335">
        <v>3</v>
      </c>
      <c r="F68" s="335">
        <v>13047.0593991394</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24531163</v>
      </c>
      <c r="E73" s="335">
        <v>24334830.451623473</v>
      </c>
    </row>
    <row r="74" spans="1:6">
      <c r="A74" s="1286" t="s">
        <v>64</v>
      </c>
      <c r="B74" s="1286" t="s">
        <v>772</v>
      </c>
      <c r="C74" s="1297" t="s">
        <v>766</v>
      </c>
      <c r="D74" s="335">
        <v>1411947.2342470456</v>
      </c>
      <c r="E74" s="335">
        <v>1487225.9620679466</v>
      </c>
    </row>
    <row r="75" spans="1:6">
      <c r="A75" s="1286" t="s">
        <v>65</v>
      </c>
      <c r="B75" s="1286" t="s">
        <v>771</v>
      </c>
      <c r="C75" s="1297" t="s">
        <v>767</v>
      </c>
      <c r="D75" s="335">
        <v>26208066</v>
      </c>
      <c r="E75" s="335">
        <v>26002890.01805605</v>
      </c>
    </row>
    <row r="76" spans="1:6">
      <c r="A76" s="1286" t="s">
        <v>65</v>
      </c>
      <c r="B76" s="1286" t="s">
        <v>772</v>
      </c>
      <c r="C76" s="1297" t="s">
        <v>768</v>
      </c>
      <c r="D76" s="335">
        <v>519803.23424704553</v>
      </c>
      <c r="E76" s="335">
        <v>556412.00186454505</v>
      </c>
    </row>
    <row r="77" spans="1:6">
      <c r="A77" s="1286" t="s">
        <v>66</v>
      </c>
      <c r="B77" s="1286" t="s">
        <v>771</v>
      </c>
      <c r="C77" s="1297" t="s">
        <v>769</v>
      </c>
      <c r="D77" s="335">
        <v>5853481</v>
      </c>
      <c r="E77" s="335">
        <v>6654942.3041345924</v>
      </c>
    </row>
    <row r="78" spans="1:6">
      <c r="A78" s="1282" t="s">
        <v>66</v>
      </c>
      <c r="B78" s="1282" t="s">
        <v>772</v>
      </c>
      <c r="C78" s="1282" t="s">
        <v>770</v>
      </c>
      <c r="D78" s="1282">
        <v>711151</v>
      </c>
      <c r="E78" s="1282">
        <v>764360.98040996678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258491.5315059089</v>
      </c>
      <c r="C83" s="335">
        <v>248274.44908809243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2365.3780209035945</v>
      </c>
    </row>
    <row r="92" spans="1:6">
      <c r="A92" s="1282" t="s">
        <v>69</v>
      </c>
      <c r="B92" s="338">
        <v>723.79623854449255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2673</v>
      </c>
    </row>
    <row r="98" spans="1:6">
      <c r="A98" s="1286" t="s">
        <v>72</v>
      </c>
      <c r="B98" s="335">
        <v>0</v>
      </c>
    </row>
    <row r="99" spans="1:6">
      <c r="A99" s="1286" t="s">
        <v>73</v>
      </c>
      <c r="B99" s="335">
        <v>112</v>
      </c>
    </row>
    <row r="100" spans="1:6">
      <c r="A100" s="1286" t="s">
        <v>74</v>
      </c>
      <c r="B100" s="335">
        <v>655</v>
      </c>
    </row>
    <row r="101" spans="1:6">
      <c r="A101" s="1286" t="s">
        <v>75</v>
      </c>
      <c r="B101" s="335">
        <v>40</v>
      </c>
    </row>
    <row r="102" spans="1:6">
      <c r="A102" s="1286" t="s">
        <v>76</v>
      </c>
      <c r="B102" s="335">
        <v>98</v>
      </c>
    </row>
    <row r="103" spans="1:6">
      <c r="A103" s="1286" t="s">
        <v>77</v>
      </c>
      <c r="B103" s="335">
        <v>226</v>
      </c>
    </row>
    <row r="104" spans="1:6">
      <c r="A104" s="1286" t="s">
        <v>78</v>
      </c>
      <c r="B104" s="335">
        <v>2985</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1</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10</v>
      </c>
      <c r="C123" s="335">
        <v>6</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36</v>
      </c>
    </row>
    <row r="130" spans="1:6">
      <c r="A130" s="1286" t="s">
        <v>295</v>
      </c>
      <c r="B130" s="335">
        <v>0</v>
      </c>
    </row>
    <row r="131" spans="1:6">
      <c r="A131" s="1286" t="s">
        <v>296</v>
      </c>
      <c r="B131" s="335">
        <v>9</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71410.195027039663</v>
      </c>
      <c r="C3" s="44" t="s">
        <v>170</v>
      </c>
      <c r="D3" s="44"/>
      <c r="E3" s="157"/>
      <c r="F3" s="44"/>
      <c r="G3" s="44"/>
      <c r="H3" s="44"/>
      <c r="I3" s="44"/>
      <c r="J3" s="44"/>
      <c r="K3" s="97"/>
    </row>
    <row r="4" spans="1:11">
      <c r="A4" s="365" t="s">
        <v>171</v>
      </c>
      <c r="B4" s="50">
        <f>IF(ISERROR('SEAP template'!B78+'SEAP template'!C78),0,'SEAP template'!B78+'SEAP template'!C78)</f>
        <v>3089.174259448087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0.21143963524984749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1227.7329999999999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1227.7329999999999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0.21143963524984749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259.59141770420098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32829.426378381897</v>
      </c>
      <c r="C5" s="18">
        <f>IF(ISERROR('Eigen informatie GS &amp; warmtenet'!B57),0,'Eigen informatie GS &amp; warmtenet'!B57)</f>
        <v>0</v>
      </c>
      <c r="D5" s="31">
        <f>(SUM(HH_hh_gas_kWh,HH_rest_gas_kWh)/1000)*0.902</f>
        <v>75927.129148583495</v>
      </c>
      <c r="E5" s="18">
        <f>B46*B57</f>
        <v>6199.2546291144308</v>
      </c>
      <c r="F5" s="18">
        <f>B51*B62</f>
        <v>19891.88139866729</v>
      </c>
      <c r="G5" s="19"/>
      <c r="H5" s="18"/>
      <c r="I5" s="18"/>
      <c r="J5" s="18">
        <f>B50*B61+C50*C61</f>
        <v>198.809218575513</v>
      </c>
      <c r="K5" s="18"/>
      <c r="L5" s="18"/>
      <c r="M5" s="18"/>
      <c r="N5" s="18">
        <f>B48*B59+C48*C59</f>
        <v>7190.122309948908</v>
      </c>
      <c r="O5" s="18">
        <f>B69*B70*B71</f>
        <v>65.660000000000011</v>
      </c>
      <c r="P5" s="18">
        <f>B77*B78*B79/1000-B77*B78*B79/1000/B80</f>
        <v>266.93333333333334</v>
      </c>
    </row>
    <row r="6" spans="1:16">
      <c r="A6" s="17" t="s">
        <v>639</v>
      </c>
      <c r="B6" s="780">
        <f>kWh_PV_kleiner_dan_10kW</f>
        <v>2365.3780209035945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35194.804399285495</v>
      </c>
      <c r="C8" s="22">
        <f>C5</f>
        <v>0</v>
      </c>
      <c r="D8" s="22">
        <f>D5</f>
        <v>75927.129148583495</v>
      </c>
      <c r="E8" s="22">
        <f>E5</f>
        <v>6199.2546291144308</v>
      </c>
      <c r="F8" s="22">
        <f>F5</f>
        <v>19891.88139866729</v>
      </c>
      <c r="G8" s="22"/>
      <c r="H8" s="22"/>
      <c r="I8" s="22"/>
      <c r="J8" s="22">
        <f>J5</f>
        <v>198.809218575513</v>
      </c>
      <c r="K8" s="22"/>
      <c r="L8" s="22">
        <f>L5</f>
        <v>0</v>
      </c>
      <c r="M8" s="22">
        <f>M5</f>
        <v>0</v>
      </c>
      <c r="N8" s="22">
        <f>N5</f>
        <v>7190.122309948908</v>
      </c>
      <c r="O8" s="22">
        <f>O5</f>
        <v>65.660000000000011</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0.21143963524984749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7441.5766048746527</v>
      </c>
      <c r="C12" s="24">
        <f ca="1">C10*C8</f>
        <v>0</v>
      </c>
      <c r="D12" s="24">
        <f>D8*D10</f>
        <v>15337.280088013867</v>
      </c>
      <c r="E12" s="24">
        <f>E10*E8</f>
        <v>1407.2308008089758</v>
      </c>
      <c r="F12" s="24">
        <f>F10*F8</f>
        <v>5311.1323334441668</v>
      </c>
      <c r="G12" s="24"/>
      <c r="H12" s="24"/>
      <c r="I12" s="24"/>
      <c r="J12" s="24">
        <f>J10*J8</f>
        <v>70.378463375731599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2673</v>
      </c>
      <c r="C18" s="169" t="s">
        <v>111</v>
      </c>
      <c r="D18" s="231"/>
      <c r="E18" s="16"/>
    </row>
    <row r="19" spans="1:7">
      <c r="A19" s="174" t="s">
        <v>72</v>
      </c>
      <c r="B19" s="38">
        <f>aantalw2001_ander</f>
        <v>0</v>
      </c>
      <c r="C19" s="169" t="s">
        <v>111</v>
      </c>
      <c r="D19" s="232"/>
      <c r="E19" s="16"/>
    </row>
    <row r="20" spans="1:7">
      <c r="A20" s="174" t="s">
        <v>73</v>
      </c>
      <c r="B20" s="38">
        <f>aantalw2001_propaan</f>
        <v>112</v>
      </c>
      <c r="C20" s="170">
        <f>IF(ISERROR(B20/SUM($B$20,$B$21,$B$22)*100),0,B20/SUM($B$20,$B$21,$B$22)*100)</f>
        <v>13.878562577447337</v>
      </c>
      <c r="D20" s="232"/>
      <c r="E20" s="16"/>
    </row>
    <row r="21" spans="1:7">
      <c r="A21" s="174" t="s">
        <v>74</v>
      </c>
      <c r="B21" s="38">
        <f>aantalw2001_elektriciteit</f>
        <v>655</v>
      </c>
      <c r="C21" s="170">
        <f>IF(ISERROR(B21/SUM($B$20,$B$21,$B$22)*100),0,B21/SUM($B$20,$B$21,$B$22)*100)</f>
        <v>81.164807930607182</v>
      </c>
      <c r="D21" s="232"/>
      <c r="E21" s="16"/>
    </row>
    <row r="22" spans="1:7">
      <c r="A22" s="174" t="s">
        <v>75</v>
      </c>
      <c r="B22" s="38">
        <f>aantalw2001_hout</f>
        <v>40</v>
      </c>
      <c r="C22" s="170">
        <f>IF(ISERROR(B22/SUM($B$20,$B$21,$B$22)*100),0,B22/SUM($B$20,$B$21,$B$22)*100)</f>
        <v>4.9566294919454776</v>
      </c>
      <c r="D22" s="232"/>
      <c r="E22" s="16"/>
    </row>
    <row r="23" spans="1:7">
      <c r="A23" s="174" t="s">
        <v>76</v>
      </c>
      <c r="B23" s="38">
        <f>aantalw2001_niet_gespec</f>
        <v>98</v>
      </c>
      <c r="C23" s="169" t="s">
        <v>111</v>
      </c>
      <c r="D23" s="231"/>
      <c r="E23" s="16"/>
    </row>
    <row r="24" spans="1:7">
      <c r="A24" s="174" t="s">
        <v>77</v>
      </c>
      <c r="B24" s="38">
        <f>aantalw2001_steenkool</f>
        <v>226</v>
      </c>
      <c r="C24" s="169" t="s">
        <v>111</v>
      </c>
      <c r="D24" s="232"/>
      <c r="E24" s="16"/>
    </row>
    <row r="25" spans="1:7">
      <c r="A25" s="174" t="s">
        <v>78</v>
      </c>
      <c r="B25" s="38">
        <f>aantalw2001_stookolie</f>
        <v>2985</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7925</v>
      </c>
      <c r="C28" s="37"/>
      <c r="D28" s="231"/>
    </row>
    <row r="29" spans="1:7" s="16" customFormat="1">
      <c r="A29" s="233" t="s">
        <v>666</v>
      </c>
      <c r="B29" s="38">
        <f>SUM(HH_hh_gas_aantal,HH_rest_gas_aantal)</f>
        <v>4870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4870</v>
      </c>
      <c r="C32" s="170">
        <f>IF(ISERROR(B32/SUM($B$32,$B$34,$B$35,$B$36,$B$38,$B$39)*100),0,B32/SUM($B$32,$B$34,$B$35,$B$36,$B$38,$B$39)*100)</f>
        <v>61.55985336872709</v>
      </c>
      <c r="D32" s="236"/>
      <c r="G32" s="16"/>
    </row>
    <row r="33" spans="1:7">
      <c r="A33" s="174" t="s">
        <v>72</v>
      </c>
      <c r="B33" s="35" t="s">
        <v>111</v>
      </c>
      <c r="C33" s="170"/>
      <c r="D33" s="236"/>
      <c r="G33" s="16"/>
    </row>
    <row r="34" spans="1:7">
      <c r="A34" s="174" t="s">
        <v>73</v>
      </c>
      <c r="B34" s="34">
        <f>IF((($B$28-$B$32-$B$39-$B$77-$B$38)*C20/100)&lt;0,0,($B$28-$B$32-$B$39-$B$77-$B$38)*C20/100)</f>
        <v>281.31846344485751</v>
      </c>
      <c r="C34" s="170">
        <f>IF(ISERROR(B34/SUM($B$32,$B$34,$B$35,$B$36,$B$38,$B$39)*100),0,B34/SUM($B$32,$B$34,$B$35,$B$36,$B$38,$B$39)*100)</f>
        <v>3.5560417576141772</v>
      </c>
      <c r="D34" s="236"/>
      <c r="G34" s="16"/>
    </row>
    <row r="35" spans="1:7">
      <c r="A35" s="174" t="s">
        <v>74</v>
      </c>
      <c r="B35" s="34">
        <f>IF((($B$28-$B$32-$B$39-$B$77-$B$38)*C21/100)&lt;0,0,($B$28-$B$32-$B$39-$B$77-$B$38)*C21/100)</f>
        <v>1645.2106567534076</v>
      </c>
      <c r="C35" s="170">
        <f>IF(ISERROR(B35/SUM($B$32,$B$34,$B$35,$B$36,$B$38,$B$39)*100),0,B35/SUM($B$32,$B$34,$B$35,$B$36,$B$38,$B$39)*100)</f>
        <v>20.796494207475767</v>
      </c>
      <c r="D35" s="236"/>
      <c r="G35" s="16"/>
    </row>
    <row r="36" spans="1:7">
      <c r="A36" s="174" t="s">
        <v>75</v>
      </c>
      <c r="B36" s="34">
        <f>IF((($B$28-$B$32-$B$39-$B$77-$B$38)*C22/100)&lt;0,0,($B$28-$B$32-$B$39-$B$77-$B$38)*C22/100)</f>
        <v>100.47087980173482</v>
      </c>
      <c r="C36" s="170">
        <f>IF(ISERROR(B36/SUM($B$32,$B$34,$B$35,$B$36,$B$38,$B$39)*100),0,B36/SUM($B$32,$B$34,$B$35,$B$36,$B$38,$B$39)*100)</f>
        <v>1.2700149134336347</v>
      </c>
      <c r="D36" s="236"/>
      <c r="G36" s="16"/>
    </row>
    <row r="37" spans="1:7">
      <c r="A37" s="174" t="s">
        <v>76</v>
      </c>
      <c r="B37" s="35" t="s">
        <v>111</v>
      </c>
      <c r="C37" s="170"/>
      <c r="D37" s="176"/>
      <c r="G37" s="16"/>
    </row>
    <row r="38" spans="1:7">
      <c r="A38" s="174" t="s">
        <v>77</v>
      </c>
      <c r="B38" s="34">
        <f>IF((B24-(B29-B18)*0.1)&lt;0,0,B24-(B29-B18)*0.1)</f>
        <v>6.2999999999999829</v>
      </c>
      <c r="C38" s="170">
        <f>IF(ISERROR(B38/SUM($B$32,$B$34,$B$35,$B$36,$B$38,$B$39)*100),0,B38/SUM($B$32,$B$34,$B$35,$B$36,$B$38,$B$39)*100)</f>
        <v>7.9635949943116971E-2</v>
      </c>
      <c r="D38" s="237"/>
      <c r="G38" s="16"/>
    </row>
    <row r="39" spans="1:7">
      <c r="A39" s="174" t="s">
        <v>78</v>
      </c>
      <c r="B39" s="34">
        <f>IF((B25-(B29-B18))&lt;0,0,B25-(B29-B18)*0.9)</f>
        <v>1007.7</v>
      </c>
      <c r="C39" s="170">
        <f>IF(ISERROR(B39/SUM($B$32,$B$34,$B$35,$B$36,$B$38,$B$39)*100),0,B39/SUM($B$32,$B$34,$B$35,$B$36,$B$38,$B$39)*100)</f>
        <v>12.73795980280622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4870</v>
      </c>
      <c r="C44" s="35" t="s">
        <v>111</v>
      </c>
      <c r="D44" s="177"/>
    </row>
    <row r="45" spans="1:7">
      <c r="A45" s="174" t="s">
        <v>72</v>
      </c>
      <c r="B45" s="34" t="str">
        <f t="shared" si="0"/>
        <v>-</v>
      </c>
      <c r="C45" s="35" t="s">
        <v>111</v>
      </c>
      <c r="D45" s="177"/>
    </row>
    <row r="46" spans="1:7">
      <c r="A46" s="174" t="s">
        <v>73</v>
      </c>
      <c r="B46" s="34">
        <f t="shared" si="0"/>
        <v>281.31846344485751</v>
      </c>
      <c r="C46" s="35" t="s">
        <v>111</v>
      </c>
      <c r="D46" s="177"/>
    </row>
    <row r="47" spans="1:7">
      <c r="A47" s="174" t="s">
        <v>74</v>
      </c>
      <c r="B47" s="34">
        <f t="shared" si="0"/>
        <v>1645.2106567534076</v>
      </c>
      <c r="C47" s="35" t="s">
        <v>111</v>
      </c>
      <c r="D47" s="177"/>
    </row>
    <row r="48" spans="1:7">
      <c r="A48" s="174" t="s">
        <v>75</v>
      </c>
      <c r="B48" s="34">
        <f t="shared" si="0"/>
        <v>100.47087980173482</v>
      </c>
      <c r="C48" s="34">
        <f>B48*10</f>
        <v>1004.7087980173483</v>
      </c>
      <c r="D48" s="237"/>
    </row>
    <row r="49" spans="1:6">
      <c r="A49" s="174" t="s">
        <v>76</v>
      </c>
      <c r="B49" s="34" t="str">
        <f t="shared" si="0"/>
        <v>-</v>
      </c>
      <c r="C49" s="35" t="s">
        <v>111</v>
      </c>
      <c r="D49" s="237"/>
    </row>
    <row r="50" spans="1:6">
      <c r="A50" s="174" t="s">
        <v>77</v>
      </c>
      <c r="B50" s="34">
        <f t="shared" si="0"/>
        <v>6.2999999999999829</v>
      </c>
      <c r="C50" s="34">
        <f>B50*2</f>
        <v>12.599999999999966</v>
      </c>
      <c r="D50" s="237"/>
    </row>
    <row r="51" spans="1:6">
      <c r="A51" s="174" t="s">
        <v>78</v>
      </c>
      <c r="B51" s="34">
        <f t="shared" si="0"/>
        <v>1007.7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13532.038901860549</v>
      </c>
      <c r="C5" s="18">
        <f>IF(ISERROR('Eigen informatie GS &amp; warmtenet'!B58),0,'Eigen informatie GS &amp; warmtenet'!B58)</f>
        <v>0</v>
      </c>
      <c r="D5" s="31">
        <f>SUM(D6:D12)</f>
        <v>109103.12471159315</v>
      </c>
      <c r="E5" s="18">
        <f>SUM(E6:E12)</f>
        <v>121.83244844030736</v>
      </c>
      <c r="F5" s="18">
        <f>SUM(F6:F12)</f>
        <v>2793.4835565974367</v>
      </c>
      <c r="G5" s="19"/>
      <c r="H5" s="18"/>
      <c r="I5" s="18"/>
      <c r="J5" s="18">
        <f>SUM(J6:J12)</f>
        <v>0</v>
      </c>
      <c r="K5" s="18"/>
      <c r="L5" s="18"/>
      <c r="M5" s="18"/>
      <c r="N5" s="18">
        <f>SUM(N6:N12)</f>
        <v>854.19521491233843</v>
      </c>
      <c r="O5" s="18">
        <f>B38*B39*B40</f>
        <v>0</v>
      </c>
      <c r="P5" s="18">
        <f>B46*B47*B48/1000-B46*B47*B48/1000/B49</f>
        <v>171.6</v>
      </c>
      <c r="R5" s="33"/>
    </row>
    <row r="6" spans="1:18">
      <c r="A6" s="33" t="s">
        <v>54</v>
      </c>
      <c r="B6" s="38">
        <f>B26</f>
        <v>2673.8936918731501</v>
      </c>
      <c r="C6" s="34"/>
      <c r="D6" s="38">
        <f>IF(ISERROR(TER_kantoor_gas_kWh/1000),0,TER_kantoor_gas_kWh/1000)*0.902</f>
        <v>3358.7519238274917</v>
      </c>
      <c r="E6" s="34">
        <f>$C$26*'E Balans VL '!I12/100/3.6*1000000</f>
        <v>4.3884014820379207</v>
      </c>
      <c r="F6" s="34">
        <f>$C$26*('E Balans VL '!L12+'E Balans VL '!N12)/100/3.6*1000000</f>
        <v>315.18915296975285</v>
      </c>
      <c r="G6" s="35"/>
      <c r="H6" s="34"/>
      <c r="I6" s="34"/>
      <c r="J6" s="34">
        <f>$C$26*('E Balans VL '!D12+'E Balans VL '!E12)/100/3.6*1000000</f>
        <v>0</v>
      </c>
      <c r="K6" s="34"/>
      <c r="L6" s="34"/>
      <c r="M6" s="34"/>
      <c r="N6" s="34">
        <f>$C$26*'E Balans VL '!Y12/100/3.6*1000000</f>
        <v>0.54024755851974038</v>
      </c>
      <c r="O6" s="34"/>
      <c r="P6" s="34"/>
      <c r="R6" s="33"/>
    </row>
    <row r="7" spans="1:18">
      <c r="A7" s="33" t="s">
        <v>53</v>
      </c>
      <c r="B7" s="38">
        <f t="shared" ref="B7:B12" si="0">B27</f>
        <v>1105.1492859351699</v>
      </c>
      <c r="C7" s="34"/>
      <c r="D7" s="38">
        <f>IF(ISERROR(TER_horeca_gas_kWh/1000),0,TER_horeca_gas_kWh/1000)*0.902</f>
        <v>1296.798845957099</v>
      </c>
      <c r="E7" s="34">
        <f>$C$27*'E Balans VL '!I9/100/3.6*1000000</f>
        <v>57.349250908672197</v>
      </c>
      <c r="F7" s="34">
        <f>$C$27*('E Balans VL '!L9+'E Balans VL '!N9)/100/3.6*1000000</f>
        <v>252.19586895070205</v>
      </c>
      <c r="G7" s="35"/>
      <c r="H7" s="34"/>
      <c r="I7" s="34"/>
      <c r="J7" s="34">
        <f>$C$27*('E Balans VL '!D9+'E Balans VL '!E9)/100/3.6*1000000</f>
        <v>0</v>
      </c>
      <c r="K7" s="34"/>
      <c r="L7" s="34"/>
      <c r="M7" s="34"/>
      <c r="N7" s="34">
        <f>$C$27*'E Balans VL '!Y9/100/3.6*1000000</f>
        <v>0.11670325813799828</v>
      </c>
      <c r="O7" s="34"/>
      <c r="P7" s="34"/>
      <c r="R7" s="33"/>
    </row>
    <row r="8" spans="1:18">
      <c r="A8" s="6" t="s">
        <v>52</v>
      </c>
      <c r="B8" s="38">
        <f t="shared" si="0"/>
        <v>5068.0835167818095</v>
      </c>
      <c r="C8" s="34"/>
      <c r="D8" s="38">
        <f>IF(ISERROR(TER_handel_gas_kWh/1000),0,TER_handel_gas_kWh/1000)*0.902</f>
        <v>1480.2701378491965</v>
      </c>
      <c r="E8" s="34">
        <f>$C$28*'E Balans VL '!I13/100/3.6*1000000</f>
        <v>27.29225252255948</v>
      </c>
      <c r="F8" s="34">
        <f>$C$28*('E Balans VL '!L13+'E Balans VL '!N13)/100/3.6*1000000</f>
        <v>1033.5328389489857</v>
      </c>
      <c r="G8" s="35"/>
      <c r="H8" s="34"/>
      <c r="I8" s="34"/>
      <c r="J8" s="34">
        <f>$C$28*('E Balans VL '!D13+'E Balans VL '!E13)/100/3.6*1000000</f>
        <v>0</v>
      </c>
      <c r="K8" s="34"/>
      <c r="L8" s="34"/>
      <c r="M8" s="34"/>
      <c r="N8" s="34">
        <f>$C$28*'E Balans VL '!Y13/100/3.6*1000000</f>
        <v>25.200902950730519</v>
      </c>
      <c r="O8" s="34"/>
      <c r="P8" s="34"/>
      <c r="R8" s="33"/>
    </row>
    <row r="9" spans="1:18">
      <c r="A9" s="33" t="s">
        <v>51</v>
      </c>
      <c r="B9" s="38">
        <f t="shared" si="0"/>
        <v>410.24149018929199</v>
      </c>
      <c r="C9" s="34"/>
      <c r="D9" s="38">
        <f>IF(ISERROR(TER_gezond_gas_kWh/1000),0,TER_gezond_gas_kWh/1000)*0.902</f>
        <v>375.61447365637434</v>
      </c>
      <c r="E9" s="34">
        <f>$C$29*'E Balans VL '!I10/100/3.6*1000000</f>
        <v>0.40655398202450715</v>
      </c>
      <c r="F9" s="34">
        <f>$C$29*('E Balans VL '!L10+'E Balans VL '!N10)/100/3.6*1000000</f>
        <v>142.34197233837884</v>
      </c>
      <c r="G9" s="35"/>
      <c r="H9" s="34"/>
      <c r="I9" s="34"/>
      <c r="J9" s="34">
        <f>$C$29*('E Balans VL '!D10+'E Balans VL '!E10)/100/3.6*1000000</f>
        <v>0</v>
      </c>
      <c r="K9" s="34"/>
      <c r="L9" s="34"/>
      <c r="M9" s="34"/>
      <c r="N9" s="34">
        <f>$C$29*'E Balans VL '!Y10/100/3.6*1000000</f>
        <v>3.5350153819112191</v>
      </c>
      <c r="O9" s="34"/>
      <c r="P9" s="34"/>
      <c r="R9" s="33"/>
    </row>
    <row r="10" spans="1:18">
      <c r="A10" s="33" t="s">
        <v>50</v>
      </c>
      <c r="B10" s="38">
        <f t="shared" si="0"/>
        <v>1124.99798770656</v>
      </c>
      <c r="C10" s="34"/>
      <c r="D10" s="38">
        <f>IF(ISERROR(TER_ander_gas_kWh/1000),0,TER_ander_gas_kWh/1000)*0.902</f>
        <v>665.41093631853516</v>
      </c>
      <c r="E10" s="34">
        <f>$C$30*'E Balans VL '!I14/100/3.6*1000000</f>
        <v>9.2036078948542137</v>
      </c>
      <c r="F10" s="34">
        <f>$C$30*('E Balans VL '!L14+'E Balans VL '!N14)/100/3.6*1000000</f>
        <v>328.90361104041955</v>
      </c>
      <c r="G10" s="35"/>
      <c r="H10" s="34"/>
      <c r="I10" s="34"/>
      <c r="J10" s="34">
        <f>$C$30*('E Balans VL '!D14+'E Balans VL '!E14)/100/3.6*1000000</f>
        <v>0</v>
      </c>
      <c r="K10" s="34"/>
      <c r="L10" s="34"/>
      <c r="M10" s="34"/>
      <c r="N10" s="34">
        <f>$C$30*'E Balans VL '!Y14/100/3.6*1000000</f>
        <v>648.97622669828877</v>
      </c>
      <c r="O10" s="34"/>
      <c r="P10" s="34"/>
      <c r="R10" s="33"/>
    </row>
    <row r="11" spans="1:18">
      <c r="A11" s="33" t="s">
        <v>55</v>
      </c>
      <c r="B11" s="38">
        <f t="shared" si="0"/>
        <v>501.23057142657899</v>
      </c>
      <c r="C11" s="34"/>
      <c r="D11" s="38">
        <f>IF(ISERROR(TER_onderwijs_gas_kWh/1000),0,TER_onderwijs_gas_kWh/1000)*0.902</f>
        <v>403.96463930187417</v>
      </c>
      <c r="E11" s="34">
        <f>$C$31*'E Balans VL '!I11/100/3.6*1000000</f>
        <v>0.30893737520982184</v>
      </c>
      <c r="F11" s="34">
        <f>$C$31*('E Balans VL '!L11+'E Balans VL '!N11)/100/3.6*1000000</f>
        <v>193.78385617687013</v>
      </c>
      <c r="G11" s="35"/>
      <c r="H11" s="34"/>
      <c r="I11" s="34"/>
      <c r="J11" s="34">
        <f>$C$31*('E Balans VL '!D11+'E Balans VL '!E11)/100/3.6*1000000</f>
        <v>0</v>
      </c>
      <c r="K11" s="34"/>
      <c r="L11" s="34"/>
      <c r="M11" s="34"/>
      <c r="N11" s="34">
        <f>$C$31*'E Balans VL '!Y11/100/3.6*1000000</f>
        <v>1.6303956374325936</v>
      </c>
      <c r="O11" s="34"/>
      <c r="P11" s="34"/>
      <c r="R11" s="33"/>
    </row>
    <row r="12" spans="1:18">
      <c r="A12" s="33" t="s">
        <v>260</v>
      </c>
      <c r="B12" s="38">
        <f t="shared" si="0"/>
        <v>2648.4423579479899</v>
      </c>
      <c r="C12" s="34"/>
      <c r="D12" s="38">
        <f>IF(ISERROR(TER_rest_gas_kWh/1000),0,TER_rest_gas_kWh/1000)*0.902</f>
        <v>101522.31375468257</v>
      </c>
      <c r="E12" s="34">
        <f>$C$32*'E Balans VL '!I8/100/3.6*1000000</f>
        <v>22.883444274949213</v>
      </c>
      <c r="F12" s="34">
        <f>$C$32*('E Balans VL '!L8+'E Balans VL '!N8)/100/3.6*1000000</f>
        <v>527.53625617232717</v>
      </c>
      <c r="G12" s="35"/>
      <c r="H12" s="34"/>
      <c r="I12" s="34"/>
      <c r="J12" s="34">
        <f>$C$32*('E Balans VL '!D8+'E Balans VL '!E8)/100/3.6*1000000</f>
        <v>0</v>
      </c>
      <c r="K12" s="34"/>
      <c r="L12" s="34"/>
      <c r="M12" s="34"/>
      <c r="N12" s="34">
        <f>$C$32*'E Balans VL '!Y8/100/3.6*1000000</f>
        <v>174.19572342731757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13532.038901860549</v>
      </c>
      <c r="C16" s="22">
        <f t="shared" ca="1" si="1"/>
        <v>0</v>
      </c>
      <c r="D16" s="22">
        <f t="shared" ca="1" si="1"/>
        <v>109103.12471159315</v>
      </c>
      <c r="E16" s="22">
        <f t="shared" si="1"/>
        <v>121.83244844030736</v>
      </c>
      <c r="F16" s="22">
        <f t="shared" ca="1" si="1"/>
        <v>2793.4835565974367</v>
      </c>
      <c r="G16" s="22">
        <f t="shared" si="1"/>
        <v>0</v>
      </c>
      <c r="H16" s="22">
        <f t="shared" si="1"/>
        <v>0</v>
      </c>
      <c r="I16" s="22">
        <f t="shared" si="1"/>
        <v>0</v>
      </c>
      <c r="J16" s="22">
        <f t="shared" si="1"/>
        <v>0</v>
      </c>
      <c r="K16" s="22">
        <f t="shared" si="1"/>
        <v>0</v>
      </c>
      <c r="L16" s="22">
        <f t="shared" ca="1" si="1"/>
        <v>0</v>
      </c>
      <c r="M16" s="22">
        <f t="shared" si="1"/>
        <v>0</v>
      </c>
      <c r="N16" s="22">
        <f t="shared" ca="1" si="1"/>
        <v>854.19521491233843</v>
      </c>
      <c r="O16" s="22">
        <f>O5</f>
        <v>0</v>
      </c>
      <c r="P16" s="22">
        <f>P5</f>
        <v>171.6</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0.21143963524984749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2861.2093695961412</v>
      </c>
      <c r="C20" s="24">
        <f t="shared" ref="C20:P20" ca="1" si="2">C16*C18</f>
        <v>0</v>
      </c>
      <c r="D20" s="24">
        <f t="shared" ca="1" si="2"/>
        <v>22038.831191741818</v>
      </c>
      <c r="E20" s="24">
        <f t="shared" si="2"/>
        <v>27.655965795949772</v>
      </c>
      <c r="F20" s="24">
        <f t="shared" ca="1" si="2"/>
        <v>745.86010961151567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2673.8936918731501</v>
      </c>
      <c r="C26" s="40">
        <f>IF(ISERROR(B26*3.6/1000000/'E Balans VL '!Z12*100),0,B26*3.6/1000000/'E Balans VL '!Z12*100)</f>
        <v>5.6818323420130448E-2</v>
      </c>
      <c r="D26" s="240" t="s">
        <v>707</v>
      </c>
      <c r="F26" s="6"/>
    </row>
    <row r="27" spans="1:18">
      <c r="A27" s="234" t="s">
        <v>53</v>
      </c>
      <c r="B27" s="34">
        <f>IF(ISERROR(TER_horeca_ele_kWh/1000),0,TER_horeca_ele_kWh/1000)</f>
        <v>1105.1492859351699</v>
      </c>
      <c r="C27" s="40">
        <f>IF(ISERROR(B27*3.6/1000000/'E Balans VL '!Z9*100),0,B27*3.6/1000000/'E Balans VL '!Z9*100)</f>
        <v>8.6983794885464566E-2</v>
      </c>
      <c r="D27" s="240" t="s">
        <v>707</v>
      </c>
      <c r="F27" s="6"/>
    </row>
    <row r="28" spans="1:18">
      <c r="A28" s="174" t="s">
        <v>52</v>
      </c>
      <c r="B28" s="34">
        <f>IF(ISERROR(TER_handel_ele_kWh/1000),0,TER_handel_ele_kWh/1000)</f>
        <v>5068.0835167818095</v>
      </c>
      <c r="C28" s="40">
        <f>IF(ISERROR(B28*3.6/1000000/'E Balans VL '!Z13*100),0,B28*3.6/1000000/'E Balans VL '!Z13*100)</f>
        <v>0.14195973163627462</v>
      </c>
      <c r="D28" s="240" t="s">
        <v>707</v>
      </c>
      <c r="F28" s="6"/>
    </row>
    <row r="29" spans="1:18">
      <c r="A29" s="234" t="s">
        <v>51</v>
      </c>
      <c r="B29" s="34">
        <f>IF(ISERROR(TER_gezond_ele_kWh/1000),0,TER_gezond_ele_kWh/1000)</f>
        <v>410.24149018929199</v>
      </c>
      <c r="C29" s="40">
        <f>IF(ISERROR(B29*3.6/1000000/'E Balans VL '!Z10*100),0,B29*3.6/1000000/'E Balans VL '!Z10*100)</f>
        <v>5.2482291798261763E-2</v>
      </c>
      <c r="D29" s="240" t="s">
        <v>707</v>
      </c>
      <c r="F29" s="6"/>
    </row>
    <row r="30" spans="1:18">
      <c r="A30" s="234" t="s">
        <v>50</v>
      </c>
      <c r="B30" s="34">
        <f>IF(ISERROR(TER_ander_ele_kWh/1000),0,TER_ander_ele_kWh/1000)</f>
        <v>1124.99798770656</v>
      </c>
      <c r="C30" s="40">
        <f>IF(ISERROR(B30*3.6/1000000/'E Balans VL '!Z14*100),0,B30*3.6/1000000/'E Balans VL '!Z14*100)</f>
        <v>8.4140370081811605E-2</v>
      </c>
      <c r="D30" s="240" t="s">
        <v>707</v>
      </c>
      <c r="F30" s="6"/>
    </row>
    <row r="31" spans="1:18">
      <c r="A31" s="234" t="s">
        <v>55</v>
      </c>
      <c r="B31" s="34">
        <f>IF(ISERROR(TER_onderwijs_ele_kWh/1000),0,TER_onderwijs_ele_kWh/1000)</f>
        <v>501.23057142657899</v>
      </c>
      <c r="C31" s="40">
        <f>IF(ISERROR(B31*3.6/1000000/'E Balans VL '!Z11*100),0,B31*3.6/1000000/'E Balans VL '!Z11*100)</f>
        <v>0.10583548441626701</v>
      </c>
      <c r="D31" s="240" t="s">
        <v>707</v>
      </c>
    </row>
    <row r="32" spans="1:18">
      <c r="A32" s="234" t="s">
        <v>260</v>
      </c>
      <c r="B32" s="34">
        <f>IF(ISERROR(TER_rest_ele_kWh/1000),0,TER_rest_ele_kWh/1000)</f>
        <v>2648.4423579479899</v>
      </c>
      <c r="C32" s="40">
        <f>IF(ISERROR(B32*3.6/1000000/'E Balans VL '!Z8*100),0,B32*3.6/1000000/'E Balans VL '!Z8*100)</f>
        <v>2.1817688224008383E-2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9</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20618.511503963506</v>
      </c>
      <c r="C5" s="18">
        <f>IF(ISERROR('Eigen informatie GS &amp; warmtenet'!B59),0,'Eigen informatie GS &amp; warmtenet'!B59)</f>
        <v>0</v>
      </c>
      <c r="D5" s="31">
        <f>SUM(D6:D15)</f>
        <v>2851.6109073415037</v>
      </c>
      <c r="E5" s="18">
        <f>SUM(E6:E15)</f>
        <v>181.20106520381165</v>
      </c>
      <c r="F5" s="18">
        <f>SUM(F6:F15)</f>
        <v>4815.267524543191</v>
      </c>
      <c r="G5" s="19"/>
      <c r="H5" s="18"/>
      <c r="I5" s="18"/>
      <c r="J5" s="18">
        <f>SUM(J6:J15)</f>
        <v>102.49787177727076</v>
      </c>
      <c r="K5" s="18"/>
      <c r="L5" s="18"/>
      <c r="M5" s="18"/>
      <c r="N5" s="18">
        <f>SUM(N6:N15)</f>
        <v>673.15241960644698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619.88928967628704</v>
      </c>
      <c r="C8" s="34"/>
      <c r="D8" s="38">
        <f>IF( ISERROR(IND_metaal_Gas_kWH/1000),0,IND_metaal_Gas_kWH/1000)*0.902</f>
        <v>0</v>
      </c>
      <c r="E8" s="34">
        <f>C30*'E Balans VL '!I18/100/3.6*1000000</f>
        <v>5.6452200493735658</v>
      </c>
      <c r="F8" s="34">
        <f>C30*'E Balans VL '!L18/100/3.6*1000000+C30*'E Balans VL '!N18/100/3.6*1000000</f>
        <v>81.758689788182267</v>
      </c>
      <c r="G8" s="35"/>
      <c r="H8" s="34"/>
      <c r="I8" s="34"/>
      <c r="J8" s="41">
        <f>C30*'E Balans VL '!D18/100/3.6*1000000+C30*'E Balans VL '!E18/100/3.6*1000000</f>
        <v>10.165284303852214</v>
      </c>
      <c r="K8" s="34"/>
      <c r="L8" s="34"/>
      <c r="M8" s="34"/>
      <c r="N8" s="34">
        <f>C30*'E Balans VL '!Y18/100/3.6*1000000</f>
        <v>2.1303132382287546</v>
      </c>
      <c r="O8" s="34"/>
      <c r="P8" s="34"/>
      <c r="R8" s="33"/>
    </row>
    <row r="9" spans="1:18">
      <c r="A9" s="6" t="s">
        <v>33</v>
      </c>
      <c r="B9" s="38">
        <f t="shared" si="0"/>
        <v>1370.6908675525001</v>
      </c>
      <c r="C9" s="34"/>
      <c r="D9" s="38">
        <f>IF( ISERROR(IND_andere_gas_kWh/1000),0,IND_andere_gas_kWh/1000)*0.902</f>
        <v>373.45327924101861</v>
      </c>
      <c r="E9" s="34">
        <f>C31*'E Balans VL '!I19/100/3.6*1000000</f>
        <v>7.9227980472612733</v>
      </c>
      <c r="F9" s="34">
        <f>C31*'E Balans VL '!L19/100/3.6*1000000+C31*'E Balans VL '!N19/100/3.6*1000000</f>
        <v>1090.4505401726237</v>
      </c>
      <c r="G9" s="35"/>
      <c r="H9" s="34"/>
      <c r="I9" s="34"/>
      <c r="J9" s="41">
        <f>C31*'E Balans VL '!D19/100/3.6*1000000+C31*'E Balans VL '!E19/100/3.6*1000000</f>
        <v>0.12965213086754529</v>
      </c>
      <c r="K9" s="34"/>
      <c r="L9" s="34"/>
      <c r="M9" s="34"/>
      <c r="N9" s="34">
        <f>C31*'E Balans VL '!Y19/100/3.6*1000000</f>
        <v>103.850576303146</v>
      </c>
      <c r="O9" s="34"/>
      <c r="P9" s="34"/>
      <c r="R9" s="33"/>
    </row>
    <row r="10" spans="1:18">
      <c r="A10" s="6" t="s">
        <v>41</v>
      </c>
      <c r="B10" s="38">
        <f t="shared" si="0"/>
        <v>293.07554544001704</v>
      </c>
      <c r="C10" s="34"/>
      <c r="D10" s="38">
        <f>IF( ISERROR(IND_voed_gas_kWh/1000),0,IND_voed_gas_kWh/1000)*0.902</f>
        <v>281.44435955767426</v>
      </c>
      <c r="E10" s="34">
        <f>C32*'E Balans VL '!I20/100/3.6*1000000</f>
        <v>2.8816993416488796</v>
      </c>
      <c r="F10" s="34">
        <f>C32*'E Balans VL '!L20/100/3.6*1000000+C32*'E Balans VL '!N20/100/3.6*1000000</f>
        <v>32.549864731988393</v>
      </c>
      <c r="G10" s="35"/>
      <c r="H10" s="34"/>
      <c r="I10" s="34"/>
      <c r="J10" s="41">
        <f>C32*'E Balans VL '!D20/100/3.6*1000000+C32*'E Balans VL '!E20/100/3.6*1000000</f>
        <v>1.1551437728709146E-3</v>
      </c>
      <c r="K10" s="34"/>
      <c r="L10" s="34"/>
      <c r="M10" s="34"/>
      <c r="N10" s="34">
        <f>C32*'E Balans VL '!Y20/100/3.6*1000000</f>
        <v>4.3397594416171286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18334.8558012947</v>
      </c>
      <c r="C15" s="34"/>
      <c r="D15" s="38">
        <f>IF( ISERROR(IND_rest_gas_kWh/1000),0,IND_rest_gas_kWh/1000)*0.902</f>
        <v>2196.7132685428105</v>
      </c>
      <c r="E15" s="34">
        <f>C37*'E Balans VL '!I15/100/3.6*1000000</f>
        <v>164.75134776552792</v>
      </c>
      <c r="F15" s="34">
        <f>C37*'E Balans VL '!L15/100/3.6*1000000+C37*'E Balans VL '!N15/100/3.6*1000000</f>
        <v>3610.5084298503971</v>
      </c>
      <c r="G15" s="35"/>
      <c r="H15" s="34"/>
      <c r="I15" s="34"/>
      <c r="J15" s="41">
        <f>C37*'E Balans VL '!D15/100/3.6*1000000+C37*'E Balans VL '!E15/100/3.6*1000000</f>
        <v>92.201780198778124</v>
      </c>
      <c r="K15" s="34"/>
      <c r="L15" s="34"/>
      <c r="M15" s="34"/>
      <c r="N15" s="34">
        <f>C37*'E Balans VL '!Y15/100/3.6*1000000</f>
        <v>562.8317706234551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20618.511503963506</v>
      </c>
      <c r="C18" s="22">
        <f>C5+C16</f>
        <v>0</v>
      </c>
      <c r="D18" s="22">
        <f>MAX((D5+D16),0)</f>
        <v>2851.6109073415037</v>
      </c>
      <c r="E18" s="22">
        <f>MAX((E5+E16),0)</f>
        <v>181.20106520381165</v>
      </c>
      <c r="F18" s="22">
        <f>MAX((F5+F16),0)</f>
        <v>4815.267524543191</v>
      </c>
      <c r="G18" s="22"/>
      <c r="H18" s="22"/>
      <c r="I18" s="22"/>
      <c r="J18" s="22">
        <f>MAX((J5+J16),0)</f>
        <v>102.49787177727076</v>
      </c>
      <c r="K18" s="22"/>
      <c r="L18" s="22">
        <f>MAX((L5+L16),0)</f>
        <v>0</v>
      </c>
      <c r="M18" s="22"/>
      <c r="N18" s="22">
        <f>MAX((N5+N16),0)</f>
        <v>673.15241960644698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0.21143963524984749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4359.5705517928282</v>
      </c>
      <c r="C22" s="24">
        <f ca="1">C18*C20</f>
        <v>0</v>
      </c>
      <c r="D22" s="24">
        <f>D18*D20</f>
        <v>576.0254032829838</v>
      </c>
      <c r="E22" s="24">
        <f>E18*E20</f>
        <v>41.132641801265244</v>
      </c>
      <c r="F22" s="24">
        <f>F18*F20</f>
        <v>1285.6764290530321</v>
      </c>
      <c r="G22" s="24"/>
      <c r="H22" s="24"/>
      <c r="I22" s="24"/>
      <c r="J22" s="24">
        <f>J18*J20</f>
        <v>36.284246609153847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619.88928967628704</v>
      </c>
      <c r="C30" s="40">
        <f>IF(ISERROR(B30*3.6/1000000/'E Balans VL '!Z18*100),0,B30*3.6/1000000/'E Balans VL '!Z18*100)</f>
        <v>3.449269380636974E-2</v>
      </c>
      <c r="D30" s="240" t="s">
        <v>707</v>
      </c>
    </row>
    <row r="31" spans="1:18">
      <c r="A31" s="6" t="s">
        <v>33</v>
      </c>
      <c r="B31" s="38">
        <f>IF( ISERROR(IND_ander_ele_kWh/1000),0,IND_ander_ele_kWh/1000)</f>
        <v>1370.6908675525001</v>
      </c>
      <c r="C31" s="40">
        <f>IF(ISERROR(B31*3.6/1000000/'E Balans VL '!Z19*100),0,B31*3.6/1000000/'E Balans VL '!Z19*100)</f>
        <v>6.3719818583366977E-2</v>
      </c>
      <c r="D31" s="240" t="s">
        <v>707</v>
      </c>
    </row>
    <row r="32" spans="1:18">
      <c r="A32" s="174" t="s">
        <v>41</v>
      </c>
      <c r="B32" s="38">
        <f>IF( ISERROR(IND_voed_ele_kWh/1000),0,IND_voed_ele_kWh/1000)</f>
        <v>293.07554544001704</v>
      </c>
      <c r="C32" s="40">
        <f>IF(ISERROR(B32*3.6/1000000/'E Balans VL '!Z20*100),0,B32*3.6/1000000/'E Balans VL '!Z20*100)</f>
        <v>1.0359628640173738E-2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18334.8558012947</v>
      </c>
      <c r="C37" s="40">
        <f>IF(ISERROR(B37*3.6/1000000/'E Balans VL '!Z15*100),0,B37*3.6/1000000/'E Balans VL '!Z15*100)</f>
        <v>0.13845524597740214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101.78644402509799</v>
      </c>
      <c r="C5" s="18">
        <f>'Eigen informatie GS &amp; warmtenet'!B60</f>
        <v>0</v>
      </c>
      <c r="D5" s="31">
        <f>IF(ISERROR(SUM(LB_lb_gas_kWh,LB_rest_gas_kWh)/1000),0,SUM(LB_lb_gas_kWh,LB_rest_gas_kWh)/1000)*0.902</f>
        <v>12.617682147069516</v>
      </c>
      <c r="E5" s="18">
        <f>B17*'E Balans VL '!I25/3.6*1000000/100</f>
        <v>0.95889650187106323</v>
      </c>
      <c r="F5" s="18">
        <f>B17*('E Balans VL '!L25/3.6*1000000+'E Balans VL '!N25/3.6*1000000)/100</f>
        <v>332.16294680800087</v>
      </c>
      <c r="G5" s="19"/>
      <c r="H5" s="18"/>
      <c r="I5" s="18"/>
      <c r="J5" s="18">
        <f>('E Balans VL '!D25+'E Balans VL '!E25)/3.6*1000000*landbouw!B17/100</f>
        <v>12.591478215073256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101.78644402509799</v>
      </c>
      <c r="C8" s="22">
        <f>C5+C6</f>
        <v>0</v>
      </c>
      <c r="D8" s="22">
        <f>MAX((D5+D6),0)</f>
        <v>12.617682147069516</v>
      </c>
      <c r="E8" s="22">
        <f>MAX((E5+E6),0)</f>
        <v>0.95889650187106323</v>
      </c>
      <c r="F8" s="22">
        <f>MAX((F5+F6),0)</f>
        <v>332.16294680800087</v>
      </c>
      <c r="G8" s="22"/>
      <c r="H8" s="22"/>
      <c r="I8" s="22"/>
      <c r="J8" s="22">
        <f>MAX((J5+J6),0)</f>
        <v>12.591478215073256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0.21143963524984749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21.521688598045738</v>
      </c>
      <c r="C12" s="24">
        <f ca="1">C8*C10</f>
        <v>0</v>
      </c>
      <c r="D12" s="24">
        <f>D8*D10</f>
        <v>2.5487717937080423</v>
      </c>
      <c r="E12" s="24">
        <f>E8*E10</f>
        <v>0.21766950592473136</v>
      </c>
      <c r="F12" s="24">
        <f>F8*F10</f>
        <v>88.687506797736233</v>
      </c>
      <c r="G12" s="24"/>
      <c r="H12" s="24"/>
      <c r="I12" s="24"/>
      <c r="J12" s="24">
        <f>J8*J10</f>
        <v>4.4573832881359321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1.3780258025616873E-2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34.251386031739386</v>
      </c>
      <c r="C26" s="250">
        <f>B26*'GWP N2O_CH4'!B5</f>
        <v>719.27910666652713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5.5148143694213605</v>
      </c>
      <c r="C27" s="250">
        <f>B27*'GWP N2O_CH4'!B5</f>
        <v>115.81110175784858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0.44862384892445833</v>
      </c>
      <c r="C28" s="250">
        <f>B28*'GWP N2O_CH4'!B4</f>
        <v>139.07339316658209</v>
      </c>
      <c r="D28" s="51"/>
    </row>
    <row r="29" spans="1:4">
      <c r="A29" s="42" t="s">
        <v>277</v>
      </c>
      <c r="B29" s="250">
        <f>B34*'ha_N2O bodem landbouw'!B4</f>
        <v>2.1785691173854844</v>
      </c>
      <c r="C29" s="250">
        <f>B29*'GWP N2O_CH4'!B4</f>
        <v>675.35642638950014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5.8814507975693976E-4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4.286564066921818E-6</v>
      </c>
      <c r="C5" s="447" t="s">
        <v>211</v>
      </c>
      <c r="D5" s="432">
        <f>SUM(D6:D11)</f>
        <v>1.4355551228716841E-5</v>
      </c>
      <c r="E5" s="432">
        <f>SUM(E6:E11)</f>
        <v>8.2502744670505097E-4</v>
      </c>
      <c r="F5" s="445" t="s">
        <v>211</v>
      </c>
      <c r="G5" s="432">
        <f>SUM(G6:G11)</f>
        <v>0.14066207555083401</v>
      </c>
      <c r="H5" s="432">
        <f>SUM(H6:H11)</f>
        <v>3.1561830597759868E-2</v>
      </c>
      <c r="I5" s="447" t="s">
        <v>211</v>
      </c>
      <c r="J5" s="447" t="s">
        <v>211</v>
      </c>
      <c r="K5" s="447" t="s">
        <v>211</v>
      </c>
      <c r="L5" s="447" t="s">
        <v>211</v>
      </c>
      <c r="M5" s="432">
        <f>SUM(M6:M11)</f>
        <v>7.7074339987875662E-3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1.8580909420241942E-6</v>
      </c>
      <c r="C6" s="433"/>
      <c r="D6" s="433">
        <f>vkm_2011_GW_PW*SUMIFS(TableVerdeelsleutelVkm[CNG],TableVerdeelsleutelVkm[Voertuigtype],"Lichte voertuigen")*SUMIFS(TableECFTransport[EnergieConsumptieFactor (PJ per km)],TableECFTransport[Index],CONCATENATE($A6,"_CNG_CNG"))</f>
        <v>4.5374891980698778E-6</v>
      </c>
      <c r="E6" s="435">
        <f>vkm_2011_GW_PW*SUMIFS(TableVerdeelsleutelVkm[LPG],TableVerdeelsleutelVkm[Voertuigtype],"Lichte voertuigen")*SUMIFS(TableECFTransport[EnergieConsumptieFactor (PJ per km)],TableECFTransport[Index],CONCATENATE($A6,"_LPG_LPG"))</f>
        <v>2.6895891054801732E-4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3.8881174411509352E-2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1.0189638777807677E-2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2.1974813840628265E-3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1.3127636529848002E-2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5.2964895362645777E-6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5.8483214574242581E-4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1.9851064559218921E-6</v>
      </c>
      <c r="C8" s="433"/>
      <c r="D8" s="435">
        <f>vkm_2011_NGW_PW*SUMIFS(TableVerdeelsleutelVkm[CNG],TableVerdeelsleutelVkm[Voertuigtype],"Lichte voertuigen")*SUMIFS(TableECFTransport[EnergieConsumptieFactor (PJ per km)],TableECFTransport[Index],CONCATENATE($A8,"_CNG_CNG"))</f>
        <v>8.6975314222957915E-6</v>
      </c>
      <c r="E8" s="435">
        <f>vkm_2011_NGW_PW*SUMIFS(TableVerdeelsleutelVkm[LPG],TableVerdeelsleutelVkm[Voertuigtype],"Lichte voertuigen")*SUMIFS(TableECFTransport[EnergieConsumptieFactor (PJ per km)],TableECFTransport[Index],CONCATENATE($A8,"_LPG_LPG"))</f>
        <v>4.7296057706920419E-4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6.4590014197314943E-2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1.8703463675283263E-2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3.7317338904726042E-3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6.7002611605797777E-3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2.3537463213971058E-6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2.9847857400808637E-4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4.4336666897573189E-7</v>
      </c>
      <c r="C10" s="433"/>
      <c r="D10" s="435">
        <f>vkm_2011_SW_PW*SUMIFS(TableVerdeelsleutelVkm[CNG],TableVerdeelsleutelVkm[Voertuigtype],"Lichte voertuigen")*SUMIFS(TableECFTransport[EnergieConsumptieFactor (PJ per km)],TableECFTransport[Index],CONCATENATE($A10,"_CNG_CNG"))</f>
        <v>1.1205306083511707E-6</v>
      </c>
      <c r="E10" s="435">
        <f>vkm_2011_SW_PW*SUMIFS(TableVerdeelsleutelVkm[LPG],TableVerdeelsleutelVkm[Voertuigtype],"Lichte voertuigen")*SUMIFS(TableECFTransport[EnergieConsumptieFactor (PJ per km)],TableECFTransport[Index],CONCATENATE($A10,"_LPG_LPG"))</f>
        <v>8.3107959087829503E-5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1.0949008784230815E-2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2.6583323955269556E-3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6.0915994523984534E-4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6.4139804673511045E-3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2.7455132843127001E-6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2.8574805926177821E-4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1.1907122408116162</v>
      </c>
      <c r="C14" s="22"/>
      <c r="D14" s="22">
        <f t="shared" ref="D14:M14" si="0">((D5)*10^9/3600)+D12</f>
        <v>3.9876531190880113</v>
      </c>
      <c r="E14" s="22">
        <f t="shared" si="0"/>
        <v>229.17429075140305</v>
      </c>
      <c r="F14" s="22"/>
      <c r="G14" s="22">
        <f t="shared" si="0"/>
        <v>39072.798764120555</v>
      </c>
      <c r="H14" s="22">
        <f t="shared" si="0"/>
        <v>8767.1751660444079</v>
      </c>
      <c r="I14" s="22"/>
      <c r="J14" s="22"/>
      <c r="K14" s="22"/>
      <c r="L14" s="22"/>
      <c r="M14" s="22">
        <f t="shared" si="0"/>
        <v>2140.9538885521015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0.21143963524984749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0.2517637618847367</v>
      </c>
      <c r="C18" s="24"/>
      <c r="D18" s="24">
        <f t="shared" ref="D18:M18" si="1">D14*D16</f>
        <v>0.80550593005577831</v>
      </c>
      <c r="E18" s="24">
        <f t="shared" si="1"/>
        <v>52.022564000568494</v>
      </c>
      <c r="F18" s="24"/>
      <c r="G18" s="24">
        <f t="shared" si="1"/>
        <v>10432.437270020189</v>
      </c>
      <c r="H18" s="24">
        <f t="shared" si="1"/>
        <v>2183.0266163450574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3.3881178801042529E-3</v>
      </c>
      <c r="H50" s="323">
        <f t="shared" si="2"/>
        <v>0</v>
      </c>
      <c r="I50" s="323">
        <f t="shared" si="2"/>
        <v>0</v>
      </c>
      <c r="J50" s="323">
        <f t="shared" si="2"/>
        <v>0</v>
      </c>
      <c r="K50" s="323">
        <f t="shared" si="2"/>
        <v>0</v>
      </c>
      <c r="L50" s="323">
        <f t="shared" si="2"/>
        <v>0</v>
      </c>
      <c r="M50" s="323">
        <f t="shared" si="2"/>
        <v>1.4877784516542216E-4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3.3881178801042529E-3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1.4877784516542216E-4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941.14385558451477</v>
      </c>
      <c r="H54" s="22">
        <f t="shared" si="3"/>
        <v>0</v>
      </c>
      <c r="I54" s="22">
        <f t="shared" si="3"/>
        <v>0</v>
      </c>
      <c r="J54" s="22">
        <f t="shared" si="3"/>
        <v>0</v>
      </c>
      <c r="K54" s="22">
        <f t="shared" si="3"/>
        <v>0</v>
      </c>
      <c r="L54" s="22">
        <f t="shared" si="3"/>
        <v>0</v>
      </c>
      <c r="M54" s="22">
        <f t="shared" si="3"/>
        <v>41.327179212617267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0.21143963524984749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251.28540944106547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14759.771901860549</v>
      </c>
      <c r="D10" s="688">
        <f ca="1">tertiair!C16</f>
        <v>0</v>
      </c>
      <c r="E10" s="688">
        <f ca="1">tertiair!D16</f>
        <v>109103.12471159315</v>
      </c>
      <c r="F10" s="688">
        <f>tertiair!E16</f>
        <v>121.83244844030736</v>
      </c>
      <c r="G10" s="688">
        <f ca="1">tertiair!F16</f>
        <v>2793.4835565974367</v>
      </c>
      <c r="H10" s="688">
        <f>tertiair!G16</f>
        <v>0</v>
      </c>
      <c r="I10" s="688">
        <f>tertiair!H16</f>
        <v>0</v>
      </c>
      <c r="J10" s="688">
        <f>tertiair!I16</f>
        <v>0</v>
      </c>
      <c r="K10" s="688">
        <f>tertiair!J16</f>
        <v>0</v>
      </c>
      <c r="L10" s="688">
        <f>tertiair!K16</f>
        <v>0</v>
      </c>
      <c r="M10" s="688">
        <f ca="1">tertiair!L16</f>
        <v>0</v>
      </c>
      <c r="N10" s="688">
        <f>tertiair!M16</f>
        <v>0</v>
      </c>
      <c r="O10" s="688">
        <f ca="1">tertiair!N16</f>
        <v>854.19521491233843</v>
      </c>
      <c r="P10" s="688">
        <f>tertiair!O16</f>
        <v>0</v>
      </c>
      <c r="Q10" s="689">
        <f>tertiair!P16</f>
        <v>171.6</v>
      </c>
      <c r="R10" s="691">
        <f ca="1">SUM(C10:Q10)</f>
        <v>127804.00783340378</v>
      </c>
      <c r="S10" s="68"/>
    </row>
    <row r="11" spans="1:19" s="457" customFormat="1">
      <c r="A11" s="803" t="s">
        <v>225</v>
      </c>
      <c r="B11" s="808"/>
      <c r="C11" s="688">
        <f>huishoudens!B8</f>
        <v>35194.804399285495</v>
      </c>
      <c r="D11" s="688">
        <f>huishoudens!C8</f>
        <v>0</v>
      </c>
      <c r="E11" s="688">
        <f>huishoudens!D8</f>
        <v>75927.129148583495</v>
      </c>
      <c r="F11" s="688">
        <f>huishoudens!E8</f>
        <v>6199.2546291144308</v>
      </c>
      <c r="G11" s="688">
        <f>huishoudens!F8</f>
        <v>19891.88139866729</v>
      </c>
      <c r="H11" s="688">
        <f>huishoudens!G8</f>
        <v>0</v>
      </c>
      <c r="I11" s="688">
        <f>huishoudens!H8</f>
        <v>0</v>
      </c>
      <c r="J11" s="688">
        <f>huishoudens!I8</f>
        <v>0</v>
      </c>
      <c r="K11" s="688">
        <f>huishoudens!J8</f>
        <v>198.809218575513</v>
      </c>
      <c r="L11" s="688">
        <f>huishoudens!K8</f>
        <v>0</v>
      </c>
      <c r="M11" s="688">
        <f>huishoudens!L8</f>
        <v>0</v>
      </c>
      <c r="N11" s="688">
        <f>huishoudens!M8</f>
        <v>0</v>
      </c>
      <c r="O11" s="688">
        <f>huishoudens!N8</f>
        <v>7190.122309948908</v>
      </c>
      <c r="P11" s="688">
        <f>huishoudens!O8</f>
        <v>65.660000000000011</v>
      </c>
      <c r="Q11" s="689">
        <f>huishoudens!P8</f>
        <v>266.93333333333334</v>
      </c>
      <c r="R11" s="691">
        <f>SUM(C11:Q11)</f>
        <v>144934.59443750844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20618.511503963506</v>
      </c>
      <c r="D13" s="688">
        <f>industrie!C18</f>
        <v>0</v>
      </c>
      <c r="E13" s="688">
        <f>industrie!D18</f>
        <v>2851.6109073415037</v>
      </c>
      <c r="F13" s="688">
        <f>industrie!E18</f>
        <v>181.20106520381165</v>
      </c>
      <c r="G13" s="688">
        <f>industrie!F18</f>
        <v>4815.267524543191</v>
      </c>
      <c r="H13" s="688">
        <f>industrie!G18</f>
        <v>0</v>
      </c>
      <c r="I13" s="688">
        <f>industrie!H18</f>
        <v>0</v>
      </c>
      <c r="J13" s="688">
        <f>industrie!I18</f>
        <v>0</v>
      </c>
      <c r="K13" s="688">
        <f>industrie!J18</f>
        <v>102.49787177727076</v>
      </c>
      <c r="L13" s="688">
        <f>industrie!K18</f>
        <v>0</v>
      </c>
      <c r="M13" s="688">
        <f>industrie!L18</f>
        <v>0</v>
      </c>
      <c r="N13" s="688">
        <f>industrie!M18</f>
        <v>0</v>
      </c>
      <c r="O13" s="688">
        <f>industrie!N18</f>
        <v>673.15241960644698</v>
      </c>
      <c r="P13" s="688">
        <f>industrie!O18</f>
        <v>0</v>
      </c>
      <c r="Q13" s="689">
        <f>industrie!P18</f>
        <v>0</v>
      </c>
      <c r="R13" s="691">
        <f>SUM(C13:Q13)</f>
        <v>29242.241292435727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70573.08780510955</v>
      </c>
      <c r="D16" s="721">
        <f t="shared" ref="D16:R16" ca="1" si="0">SUM(D9:D15)</f>
        <v>0</v>
      </c>
      <c r="E16" s="721">
        <f t="shared" ca="1" si="0"/>
        <v>187881.86476751816</v>
      </c>
      <c r="F16" s="721">
        <f t="shared" si="0"/>
        <v>6502.2881427585498</v>
      </c>
      <c r="G16" s="721">
        <f t="shared" ca="1" si="0"/>
        <v>27500.632479807915</v>
      </c>
      <c r="H16" s="721">
        <f t="shared" si="0"/>
        <v>0</v>
      </c>
      <c r="I16" s="721">
        <f t="shared" si="0"/>
        <v>0</v>
      </c>
      <c r="J16" s="721">
        <f t="shared" si="0"/>
        <v>0</v>
      </c>
      <c r="K16" s="721">
        <f t="shared" si="0"/>
        <v>301.30709035278375</v>
      </c>
      <c r="L16" s="721">
        <f t="shared" si="0"/>
        <v>0</v>
      </c>
      <c r="M16" s="721">
        <f t="shared" ca="1" si="0"/>
        <v>0</v>
      </c>
      <c r="N16" s="721">
        <f t="shared" si="0"/>
        <v>0</v>
      </c>
      <c r="O16" s="721">
        <f t="shared" ca="1" si="0"/>
        <v>8717.4699444676935</v>
      </c>
      <c r="P16" s="721">
        <f t="shared" si="0"/>
        <v>65.660000000000011</v>
      </c>
      <c r="Q16" s="721">
        <f t="shared" si="0"/>
        <v>438.5333333333333</v>
      </c>
      <c r="R16" s="721">
        <f t="shared" ca="1" si="0"/>
        <v>301980.84356334794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941.14385558451477</v>
      </c>
      <c r="I19" s="688">
        <f>transport!H54</f>
        <v>0</v>
      </c>
      <c r="J19" s="688">
        <f>transport!I54</f>
        <v>0</v>
      </c>
      <c r="K19" s="688">
        <f>transport!J54</f>
        <v>0</v>
      </c>
      <c r="L19" s="688">
        <f>transport!K54</f>
        <v>0</v>
      </c>
      <c r="M19" s="688">
        <f>transport!L54</f>
        <v>0</v>
      </c>
      <c r="N19" s="688">
        <f>transport!M54</f>
        <v>41.327179212617267</v>
      </c>
      <c r="O19" s="688">
        <f>transport!N54</f>
        <v>0</v>
      </c>
      <c r="P19" s="688">
        <f>transport!O54</f>
        <v>0</v>
      </c>
      <c r="Q19" s="689">
        <f>transport!P54</f>
        <v>0</v>
      </c>
      <c r="R19" s="691">
        <f>SUM(C19:Q19)</f>
        <v>982.47103479713201</v>
      </c>
      <c r="S19" s="68"/>
    </row>
    <row r="20" spans="1:19" s="457" customFormat="1">
      <c r="A20" s="803" t="s">
        <v>307</v>
      </c>
      <c r="B20" s="808"/>
      <c r="C20" s="688">
        <f>transport!B14</f>
        <v>1.1907122408116162</v>
      </c>
      <c r="D20" s="688">
        <f>transport!C14</f>
        <v>0</v>
      </c>
      <c r="E20" s="688">
        <f>transport!D14</f>
        <v>3.9876531190880113</v>
      </c>
      <c r="F20" s="688">
        <f>transport!E14</f>
        <v>229.17429075140305</v>
      </c>
      <c r="G20" s="688">
        <f>transport!F14</f>
        <v>0</v>
      </c>
      <c r="H20" s="688">
        <f>transport!G14</f>
        <v>39072.798764120555</v>
      </c>
      <c r="I20" s="688">
        <f>transport!H14</f>
        <v>8767.1751660444079</v>
      </c>
      <c r="J20" s="688">
        <f>transport!I14</f>
        <v>0</v>
      </c>
      <c r="K20" s="688">
        <f>transport!J14</f>
        <v>0</v>
      </c>
      <c r="L20" s="688">
        <f>transport!K14</f>
        <v>0</v>
      </c>
      <c r="M20" s="688">
        <f>transport!L14</f>
        <v>0</v>
      </c>
      <c r="N20" s="688">
        <f>transport!M14</f>
        <v>2140.9538885521015</v>
      </c>
      <c r="O20" s="688">
        <f>transport!N14</f>
        <v>0</v>
      </c>
      <c r="P20" s="688">
        <f>transport!O14</f>
        <v>0</v>
      </c>
      <c r="Q20" s="689">
        <f>transport!P14</f>
        <v>0</v>
      </c>
      <c r="R20" s="691">
        <f>SUM(C20:Q20)</f>
        <v>50215.280474828367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1.1907122408116162</v>
      </c>
      <c r="D22" s="806">
        <f t="shared" ref="D22:R22" si="1">SUM(D18:D21)</f>
        <v>0</v>
      </c>
      <c r="E22" s="806">
        <f t="shared" si="1"/>
        <v>3.9876531190880113</v>
      </c>
      <c r="F22" s="806">
        <f t="shared" si="1"/>
        <v>229.17429075140305</v>
      </c>
      <c r="G22" s="806">
        <f t="shared" si="1"/>
        <v>0</v>
      </c>
      <c r="H22" s="806">
        <f t="shared" si="1"/>
        <v>40013.942619705071</v>
      </c>
      <c r="I22" s="806">
        <f t="shared" si="1"/>
        <v>8767.1751660444079</v>
      </c>
      <c r="J22" s="806">
        <f t="shared" si="1"/>
        <v>0</v>
      </c>
      <c r="K22" s="806">
        <f t="shared" si="1"/>
        <v>0</v>
      </c>
      <c r="L22" s="806">
        <f t="shared" si="1"/>
        <v>0</v>
      </c>
      <c r="M22" s="806">
        <f t="shared" si="1"/>
        <v>0</v>
      </c>
      <c r="N22" s="806">
        <f t="shared" si="1"/>
        <v>2182.281067764719</v>
      </c>
      <c r="O22" s="806">
        <f t="shared" si="1"/>
        <v>0</v>
      </c>
      <c r="P22" s="806">
        <f t="shared" si="1"/>
        <v>0</v>
      </c>
      <c r="Q22" s="806">
        <f t="shared" si="1"/>
        <v>0</v>
      </c>
      <c r="R22" s="806">
        <f t="shared" si="1"/>
        <v>51197.751509625501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101.78644402509799</v>
      </c>
      <c r="D24" s="688">
        <f>+landbouw!C8</f>
        <v>0</v>
      </c>
      <c r="E24" s="688">
        <f>+landbouw!D8</f>
        <v>12.617682147069516</v>
      </c>
      <c r="F24" s="688">
        <f>+landbouw!E8</f>
        <v>0.95889650187106323</v>
      </c>
      <c r="G24" s="688">
        <f>+landbouw!F8</f>
        <v>332.16294680800087</v>
      </c>
      <c r="H24" s="688">
        <f>+landbouw!G8</f>
        <v>0</v>
      </c>
      <c r="I24" s="688">
        <f>+landbouw!H8</f>
        <v>0</v>
      </c>
      <c r="J24" s="688">
        <f>+landbouw!I8</f>
        <v>0</v>
      </c>
      <c r="K24" s="688">
        <f>+landbouw!J8</f>
        <v>12.591478215073256</v>
      </c>
      <c r="L24" s="688">
        <f>+landbouw!K8</f>
        <v>0</v>
      </c>
      <c r="M24" s="688">
        <f>+landbouw!L8</f>
        <v>0</v>
      </c>
      <c r="N24" s="688">
        <f>+landbouw!M8</f>
        <v>0</v>
      </c>
      <c r="O24" s="688">
        <f>+landbouw!N8</f>
        <v>0</v>
      </c>
      <c r="P24" s="688">
        <f>+landbouw!O8</f>
        <v>0</v>
      </c>
      <c r="Q24" s="689">
        <f>+landbouw!P8</f>
        <v>0</v>
      </c>
      <c r="R24" s="691">
        <f>SUM(C24:Q24)</f>
        <v>460.11744769711271</v>
      </c>
      <c r="S24" s="68"/>
    </row>
    <row r="25" spans="1:19" s="457" customFormat="1" ht="15" thickBot="1">
      <c r="A25" s="825" t="s">
        <v>912</v>
      </c>
      <c r="B25" s="1001"/>
      <c r="C25" s="1002">
        <f>IF(Onbekend_ele_kWh="---",0,Onbekend_ele_kWh)/1000+IF(REST_rest_ele_kWh="---",0,REST_rest_ele_kWh)/1000</f>
        <v>734.13006566420108</v>
      </c>
      <c r="D25" s="1002"/>
      <c r="E25" s="1002">
        <f>IF(onbekend_gas_kWh="---",0,onbekend_gas_kWh)/1000+IF(REST_rest_gas_kWh="---",0,REST_rest_gas_kWh)/1000</f>
        <v>3842.7569345031902</v>
      </c>
      <c r="F25" s="1002"/>
      <c r="G25" s="1002"/>
      <c r="H25" s="1002"/>
      <c r="I25" s="1002"/>
      <c r="J25" s="1002"/>
      <c r="K25" s="1002"/>
      <c r="L25" s="1002"/>
      <c r="M25" s="1002"/>
      <c r="N25" s="1002"/>
      <c r="O25" s="1002"/>
      <c r="P25" s="1002"/>
      <c r="Q25" s="1003"/>
      <c r="R25" s="691">
        <f>SUM(C25:Q25)</f>
        <v>4576.8870001673913</v>
      </c>
      <c r="S25" s="68"/>
    </row>
    <row r="26" spans="1:19" s="457" customFormat="1" ht="15.75" thickBot="1">
      <c r="A26" s="694" t="s">
        <v>913</v>
      </c>
      <c r="B26" s="811"/>
      <c r="C26" s="806">
        <f>SUM(C24:C25)</f>
        <v>835.91650968929912</v>
      </c>
      <c r="D26" s="806">
        <f t="shared" ref="D26:R26" si="2">SUM(D24:D25)</f>
        <v>0</v>
      </c>
      <c r="E26" s="806">
        <f t="shared" si="2"/>
        <v>3855.3746166502597</v>
      </c>
      <c r="F26" s="806">
        <f t="shared" si="2"/>
        <v>0.95889650187106323</v>
      </c>
      <c r="G26" s="806">
        <f t="shared" si="2"/>
        <v>332.16294680800087</v>
      </c>
      <c r="H26" s="806">
        <f t="shared" si="2"/>
        <v>0</v>
      </c>
      <c r="I26" s="806">
        <f t="shared" si="2"/>
        <v>0</v>
      </c>
      <c r="J26" s="806">
        <f t="shared" si="2"/>
        <v>0</v>
      </c>
      <c r="K26" s="806">
        <f t="shared" si="2"/>
        <v>12.591478215073256</v>
      </c>
      <c r="L26" s="806">
        <f t="shared" si="2"/>
        <v>0</v>
      </c>
      <c r="M26" s="806">
        <f t="shared" si="2"/>
        <v>0</v>
      </c>
      <c r="N26" s="806">
        <f t="shared" si="2"/>
        <v>0</v>
      </c>
      <c r="O26" s="806">
        <f t="shared" si="2"/>
        <v>0</v>
      </c>
      <c r="P26" s="806">
        <f t="shared" si="2"/>
        <v>0</v>
      </c>
      <c r="Q26" s="806">
        <f t="shared" si="2"/>
        <v>0</v>
      </c>
      <c r="R26" s="806">
        <f t="shared" si="2"/>
        <v>5037.0044478645041</v>
      </c>
      <c r="S26" s="68"/>
    </row>
    <row r="27" spans="1:19" s="457" customFormat="1" ht="17.25" thickTop="1" thickBot="1">
      <c r="A27" s="695" t="s">
        <v>116</v>
      </c>
      <c r="B27" s="798"/>
      <c r="C27" s="696">
        <f ca="1">C22+C16+C26</f>
        <v>71410.195027039663</v>
      </c>
      <c r="D27" s="696">
        <f t="shared" ref="D27:R27" ca="1" si="3">D22+D16+D26</f>
        <v>0</v>
      </c>
      <c r="E27" s="696">
        <f t="shared" ca="1" si="3"/>
        <v>191741.22703728749</v>
      </c>
      <c r="F27" s="696">
        <f t="shared" si="3"/>
        <v>6732.4213300118236</v>
      </c>
      <c r="G27" s="696">
        <f t="shared" ca="1" si="3"/>
        <v>27832.795426615914</v>
      </c>
      <c r="H27" s="696">
        <f t="shared" si="3"/>
        <v>40013.942619705071</v>
      </c>
      <c r="I27" s="696">
        <f t="shared" si="3"/>
        <v>8767.1751660444079</v>
      </c>
      <c r="J27" s="696">
        <f t="shared" si="3"/>
        <v>0</v>
      </c>
      <c r="K27" s="696">
        <f t="shared" si="3"/>
        <v>313.89856856785701</v>
      </c>
      <c r="L27" s="696">
        <f t="shared" si="3"/>
        <v>0</v>
      </c>
      <c r="M27" s="696">
        <f t="shared" ca="1" si="3"/>
        <v>0</v>
      </c>
      <c r="N27" s="696">
        <f t="shared" si="3"/>
        <v>2182.281067764719</v>
      </c>
      <c r="O27" s="696">
        <f t="shared" ca="1" si="3"/>
        <v>8717.4699444676935</v>
      </c>
      <c r="P27" s="696">
        <f t="shared" si="3"/>
        <v>65.660000000000011</v>
      </c>
      <c r="Q27" s="696">
        <f t="shared" si="3"/>
        <v>438.5333333333333</v>
      </c>
      <c r="R27" s="696">
        <f t="shared" ca="1" si="3"/>
        <v>358215.59952083795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3120.8007873003421</v>
      </c>
      <c r="D40" s="688">
        <f ca="1">tertiair!C20</f>
        <v>0</v>
      </c>
      <c r="E40" s="688">
        <f ca="1">tertiair!D20</f>
        <v>22038.831191741818</v>
      </c>
      <c r="F40" s="688">
        <f>tertiair!E20</f>
        <v>27.655965795949772</v>
      </c>
      <c r="G40" s="688">
        <f ca="1">tertiair!F20</f>
        <v>745.86010961151567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25933.148054449626</v>
      </c>
    </row>
    <row r="41" spans="1:18">
      <c r="A41" s="816" t="s">
        <v>225</v>
      </c>
      <c r="B41" s="823"/>
      <c r="C41" s="688">
        <f ca="1">huishoudens!B12</f>
        <v>7441.5766048746527</v>
      </c>
      <c r="D41" s="688">
        <f ca="1">huishoudens!C12</f>
        <v>0</v>
      </c>
      <c r="E41" s="688">
        <f>huishoudens!D12</f>
        <v>15337.280088013867</v>
      </c>
      <c r="F41" s="688">
        <f>huishoudens!E12</f>
        <v>1407.2308008089758</v>
      </c>
      <c r="G41" s="688">
        <f>huishoudens!F12</f>
        <v>5311.1323334441668</v>
      </c>
      <c r="H41" s="688">
        <f>huishoudens!G12</f>
        <v>0</v>
      </c>
      <c r="I41" s="688">
        <f>huishoudens!H12</f>
        <v>0</v>
      </c>
      <c r="J41" s="688">
        <f>huishoudens!I12</f>
        <v>0</v>
      </c>
      <c r="K41" s="688">
        <f>huishoudens!J12</f>
        <v>70.378463375731599</v>
      </c>
      <c r="L41" s="688">
        <f>huishoudens!K12</f>
        <v>0</v>
      </c>
      <c r="M41" s="688">
        <f>huishoudens!L12</f>
        <v>0</v>
      </c>
      <c r="N41" s="688">
        <f>huishoudens!M12</f>
        <v>0</v>
      </c>
      <c r="O41" s="688">
        <f>huishoudens!N12</f>
        <v>0</v>
      </c>
      <c r="P41" s="688">
        <f>huishoudens!O12</f>
        <v>0</v>
      </c>
      <c r="Q41" s="763">
        <f>huishoudens!P12</f>
        <v>0</v>
      </c>
      <c r="R41" s="844">
        <f t="shared" ca="1" si="4"/>
        <v>29567.598290517391</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4359.5705517928282</v>
      </c>
      <c r="D43" s="688">
        <f ca="1">industrie!C22</f>
        <v>0</v>
      </c>
      <c r="E43" s="688">
        <f>industrie!D22</f>
        <v>576.0254032829838</v>
      </c>
      <c r="F43" s="688">
        <f>industrie!E22</f>
        <v>41.132641801265244</v>
      </c>
      <c r="G43" s="688">
        <f>industrie!F22</f>
        <v>1285.6764290530321</v>
      </c>
      <c r="H43" s="688">
        <f>industrie!G22</f>
        <v>0</v>
      </c>
      <c r="I43" s="688">
        <f>industrie!H22</f>
        <v>0</v>
      </c>
      <c r="J43" s="688">
        <f>industrie!I22</f>
        <v>0</v>
      </c>
      <c r="K43" s="688">
        <f>industrie!J22</f>
        <v>36.284246609153847</v>
      </c>
      <c r="L43" s="688">
        <f>industrie!K22</f>
        <v>0</v>
      </c>
      <c r="M43" s="688">
        <f>industrie!L22</f>
        <v>0</v>
      </c>
      <c r="N43" s="688">
        <f>industrie!M22</f>
        <v>0</v>
      </c>
      <c r="O43" s="688">
        <f>industrie!N22</f>
        <v>0</v>
      </c>
      <c r="P43" s="688">
        <f>industrie!O22</f>
        <v>0</v>
      </c>
      <c r="Q43" s="763">
        <f>industrie!P22</f>
        <v>0</v>
      </c>
      <c r="R43" s="843">
        <f t="shared" ca="1" si="4"/>
        <v>6298.6892725392627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14921.947943967822</v>
      </c>
      <c r="D46" s="721">
        <f t="shared" ref="D46:Q46" ca="1" si="5">SUM(D39:D45)</f>
        <v>0</v>
      </c>
      <c r="E46" s="721">
        <f t="shared" ca="1" si="5"/>
        <v>37952.136683038669</v>
      </c>
      <c r="F46" s="721">
        <f t="shared" si="5"/>
        <v>1476.0194084061907</v>
      </c>
      <c r="G46" s="721">
        <f t="shared" ca="1" si="5"/>
        <v>7342.6688721087139</v>
      </c>
      <c r="H46" s="721">
        <f t="shared" si="5"/>
        <v>0</v>
      </c>
      <c r="I46" s="721">
        <f t="shared" si="5"/>
        <v>0</v>
      </c>
      <c r="J46" s="721">
        <f t="shared" si="5"/>
        <v>0</v>
      </c>
      <c r="K46" s="721">
        <f t="shared" si="5"/>
        <v>106.66270998488545</v>
      </c>
      <c r="L46" s="721">
        <f t="shared" si="5"/>
        <v>0</v>
      </c>
      <c r="M46" s="721">
        <f t="shared" ca="1" si="5"/>
        <v>0</v>
      </c>
      <c r="N46" s="721">
        <f t="shared" si="5"/>
        <v>0</v>
      </c>
      <c r="O46" s="721">
        <f t="shared" ca="1" si="5"/>
        <v>0</v>
      </c>
      <c r="P46" s="721">
        <f t="shared" si="5"/>
        <v>0</v>
      </c>
      <c r="Q46" s="721">
        <f t="shared" si="5"/>
        <v>0</v>
      </c>
      <c r="R46" s="721">
        <f ca="1">SUM(R39:R45)</f>
        <v>61799.435617506279</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251.28540944106547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251.28540944106547</v>
      </c>
    </row>
    <row r="50" spans="1:18">
      <c r="A50" s="819" t="s">
        <v>307</v>
      </c>
      <c r="B50" s="829"/>
      <c r="C50" s="1008">
        <f ca="1">transport!B18</f>
        <v>0.2517637618847367</v>
      </c>
      <c r="D50" s="1008">
        <f>transport!C18</f>
        <v>0</v>
      </c>
      <c r="E50" s="1008">
        <f>transport!D18</f>
        <v>0.80550593005577831</v>
      </c>
      <c r="F50" s="1008">
        <f>transport!E18</f>
        <v>52.022564000568494</v>
      </c>
      <c r="G50" s="1008">
        <f>transport!F18</f>
        <v>0</v>
      </c>
      <c r="H50" s="1008">
        <f>transport!G18</f>
        <v>10432.437270020189</v>
      </c>
      <c r="I50" s="1008">
        <f>transport!H18</f>
        <v>2183.0266163450574</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12668.543720057756</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0.2517637618847367</v>
      </c>
      <c r="D52" s="721">
        <f t="shared" ref="D52:Q52" ca="1" si="6">SUM(D48:D51)</f>
        <v>0</v>
      </c>
      <c r="E52" s="721">
        <f t="shared" si="6"/>
        <v>0.80550593005577831</v>
      </c>
      <c r="F52" s="721">
        <f t="shared" si="6"/>
        <v>52.022564000568494</v>
      </c>
      <c r="G52" s="721">
        <f t="shared" si="6"/>
        <v>0</v>
      </c>
      <c r="H52" s="721">
        <f t="shared" si="6"/>
        <v>10683.722679461254</v>
      </c>
      <c r="I52" s="721">
        <f t="shared" si="6"/>
        <v>2183.0266163450574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12919.829129498821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21.521688598045738</v>
      </c>
      <c r="D54" s="1008">
        <f ca="1">+landbouw!C12</f>
        <v>0</v>
      </c>
      <c r="E54" s="1008">
        <f>+landbouw!D12</f>
        <v>2.5487717937080423</v>
      </c>
      <c r="F54" s="1008">
        <f>+landbouw!E12</f>
        <v>0.21766950592473136</v>
      </c>
      <c r="G54" s="1008">
        <f>+landbouw!F12</f>
        <v>88.687506797736233</v>
      </c>
      <c r="H54" s="1008">
        <f>+landbouw!G12</f>
        <v>0</v>
      </c>
      <c r="I54" s="1008">
        <f>+landbouw!H12</f>
        <v>0</v>
      </c>
      <c r="J54" s="1008">
        <f>+landbouw!I12</f>
        <v>0</v>
      </c>
      <c r="K54" s="1008">
        <f>+landbouw!J12</f>
        <v>4.4573832881359321</v>
      </c>
      <c r="L54" s="1008">
        <f>+landbouw!K12</f>
        <v>0</v>
      </c>
      <c r="M54" s="1008">
        <f>+landbouw!L12</f>
        <v>0</v>
      </c>
      <c r="N54" s="1008">
        <f>+landbouw!M12</f>
        <v>0</v>
      </c>
      <c r="O54" s="1008">
        <f>+landbouw!N12</f>
        <v>0</v>
      </c>
      <c r="P54" s="1008">
        <f>+landbouw!O12</f>
        <v>0</v>
      </c>
      <c r="Q54" s="1009">
        <f>+landbouw!P12</f>
        <v>0</v>
      </c>
      <c r="R54" s="720">
        <f ca="1">SUM(C54:Q54)</f>
        <v>117.43301998355068</v>
      </c>
    </row>
    <row r="55" spans="1:18" ht="15" thickBot="1">
      <c r="A55" s="819" t="s">
        <v>912</v>
      </c>
      <c r="B55" s="829"/>
      <c r="C55" s="1008">
        <f ca="1">C25*'EF ele_warmte'!B12</f>
        <v>155.22419330998525</v>
      </c>
      <c r="D55" s="1008"/>
      <c r="E55" s="1008">
        <f>E25*EF_CO2_aardgas</f>
        <v>776.23690076964442</v>
      </c>
      <c r="F55" s="1008"/>
      <c r="G55" s="1008"/>
      <c r="H55" s="1008"/>
      <c r="I55" s="1008"/>
      <c r="J55" s="1008"/>
      <c r="K55" s="1008"/>
      <c r="L55" s="1008"/>
      <c r="M55" s="1008"/>
      <c r="N55" s="1008"/>
      <c r="O55" s="1008"/>
      <c r="P55" s="1008"/>
      <c r="Q55" s="1009"/>
      <c r="R55" s="720">
        <f ca="1">SUM(C55:Q55)</f>
        <v>931.46109407962967</v>
      </c>
    </row>
    <row r="56" spans="1:18" ht="15.75" thickBot="1">
      <c r="A56" s="817" t="s">
        <v>913</v>
      </c>
      <c r="B56" s="830"/>
      <c r="C56" s="721">
        <f ca="1">SUM(C54:C55)</f>
        <v>176.74588190803098</v>
      </c>
      <c r="D56" s="721">
        <f t="shared" ref="D56:Q56" ca="1" si="7">SUM(D54:D55)</f>
        <v>0</v>
      </c>
      <c r="E56" s="721">
        <f t="shared" si="7"/>
        <v>778.78567256335248</v>
      </c>
      <c r="F56" s="721">
        <f t="shared" si="7"/>
        <v>0.21766950592473136</v>
      </c>
      <c r="G56" s="721">
        <f t="shared" si="7"/>
        <v>88.687506797736233</v>
      </c>
      <c r="H56" s="721">
        <f t="shared" si="7"/>
        <v>0</v>
      </c>
      <c r="I56" s="721">
        <f t="shared" si="7"/>
        <v>0</v>
      </c>
      <c r="J56" s="721">
        <f t="shared" si="7"/>
        <v>0</v>
      </c>
      <c r="K56" s="721">
        <f t="shared" si="7"/>
        <v>4.4573832881359321</v>
      </c>
      <c r="L56" s="721">
        <f t="shared" si="7"/>
        <v>0</v>
      </c>
      <c r="M56" s="721">
        <f t="shared" si="7"/>
        <v>0</v>
      </c>
      <c r="N56" s="721">
        <f t="shared" si="7"/>
        <v>0</v>
      </c>
      <c r="O56" s="721">
        <f t="shared" si="7"/>
        <v>0</v>
      </c>
      <c r="P56" s="721">
        <f t="shared" si="7"/>
        <v>0</v>
      </c>
      <c r="Q56" s="722">
        <f t="shared" si="7"/>
        <v>0</v>
      </c>
      <c r="R56" s="723">
        <f ca="1">SUM(R54:R55)</f>
        <v>1048.8941140631803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15098.945589637737</v>
      </c>
      <c r="D61" s="729">
        <f t="shared" ref="D61:Q61" ca="1" si="8">D46+D52+D56</f>
        <v>0</v>
      </c>
      <c r="E61" s="729">
        <f t="shared" ca="1" si="8"/>
        <v>38731.727861532076</v>
      </c>
      <c r="F61" s="729">
        <f t="shared" si="8"/>
        <v>1528.2596419126839</v>
      </c>
      <c r="G61" s="729">
        <f t="shared" ca="1" si="8"/>
        <v>7431.3563789064501</v>
      </c>
      <c r="H61" s="729">
        <f t="shared" si="8"/>
        <v>10683.722679461254</v>
      </c>
      <c r="I61" s="729">
        <f t="shared" si="8"/>
        <v>2183.0266163450574</v>
      </c>
      <c r="J61" s="729">
        <f t="shared" si="8"/>
        <v>0</v>
      </c>
      <c r="K61" s="729">
        <f t="shared" si="8"/>
        <v>111.12009327302138</v>
      </c>
      <c r="L61" s="729">
        <f t="shared" si="8"/>
        <v>0</v>
      </c>
      <c r="M61" s="729">
        <f t="shared" ca="1" si="8"/>
        <v>0</v>
      </c>
      <c r="N61" s="729">
        <f t="shared" si="8"/>
        <v>0</v>
      </c>
      <c r="O61" s="729">
        <f t="shared" ca="1" si="8"/>
        <v>0</v>
      </c>
      <c r="P61" s="729">
        <f t="shared" si="8"/>
        <v>0</v>
      </c>
      <c r="Q61" s="729">
        <f t="shared" si="8"/>
        <v>0</v>
      </c>
      <c r="R61" s="729">
        <f ca="1">R46+R52+R56</f>
        <v>75768.158861068281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0.21143963524984746</v>
      </c>
      <c r="D63" s="773">
        <f t="shared" ca="1" si="9"/>
        <v>0</v>
      </c>
      <c r="E63" s="1010">
        <f t="shared" ca="1" si="9"/>
        <v>0.20200000000000001</v>
      </c>
      <c r="F63" s="773">
        <f t="shared" si="9"/>
        <v>0.22700000000000001</v>
      </c>
      <c r="G63" s="773">
        <f t="shared" ca="1" si="9"/>
        <v>0.26700000000000002</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3089.174259448087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3089.174259448087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3089.174259448087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3089.174259448087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35194.804399285495</v>
      </c>
      <c r="C4" s="461">
        <f>huishoudens!C8</f>
        <v>0</v>
      </c>
      <c r="D4" s="461">
        <f>huishoudens!D8</f>
        <v>75927.129148583495</v>
      </c>
      <c r="E4" s="461">
        <f>huishoudens!E8</f>
        <v>6199.2546291144308</v>
      </c>
      <c r="F4" s="461">
        <f>huishoudens!F8</f>
        <v>19891.88139866729</v>
      </c>
      <c r="G4" s="461">
        <f>huishoudens!G8</f>
        <v>0</v>
      </c>
      <c r="H4" s="461">
        <f>huishoudens!H8</f>
        <v>0</v>
      </c>
      <c r="I4" s="461">
        <f>huishoudens!I8</f>
        <v>0</v>
      </c>
      <c r="J4" s="461">
        <f>huishoudens!J8</f>
        <v>198.809218575513</v>
      </c>
      <c r="K4" s="461">
        <f>huishoudens!K8</f>
        <v>0</v>
      </c>
      <c r="L4" s="461">
        <f>huishoudens!L8</f>
        <v>0</v>
      </c>
      <c r="M4" s="461">
        <f>huishoudens!M8</f>
        <v>0</v>
      </c>
      <c r="N4" s="461">
        <f>huishoudens!N8</f>
        <v>7190.122309948908</v>
      </c>
      <c r="O4" s="461">
        <f>huishoudens!O8</f>
        <v>65.660000000000011</v>
      </c>
      <c r="P4" s="462">
        <f>huishoudens!P8</f>
        <v>266.93333333333334</v>
      </c>
      <c r="Q4" s="463">
        <f>SUM(B4:P4)</f>
        <v>144934.59443750844</v>
      </c>
    </row>
    <row r="5" spans="1:17">
      <c r="A5" s="460" t="s">
        <v>156</v>
      </c>
      <c r="B5" s="461">
        <f ca="1">tertiair!B16</f>
        <v>13532.038901860549</v>
      </c>
      <c r="C5" s="461">
        <f ca="1">tertiair!C16</f>
        <v>0</v>
      </c>
      <c r="D5" s="461">
        <f ca="1">tertiair!D16</f>
        <v>109103.12471159315</v>
      </c>
      <c r="E5" s="461">
        <f>tertiair!E16</f>
        <v>121.83244844030736</v>
      </c>
      <c r="F5" s="461">
        <f ca="1">tertiair!F16</f>
        <v>2793.4835565974367</v>
      </c>
      <c r="G5" s="461">
        <f>tertiair!G16</f>
        <v>0</v>
      </c>
      <c r="H5" s="461">
        <f>tertiair!H16</f>
        <v>0</v>
      </c>
      <c r="I5" s="461">
        <f>tertiair!I16</f>
        <v>0</v>
      </c>
      <c r="J5" s="461">
        <f>tertiair!J16</f>
        <v>0</v>
      </c>
      <c r="K5" s="461">
        <f>tertiair!K16</f>
        <v>0</v>
      </c>
      <c r="L5" s="461">
        <f ca="1">tertiair!L16</f>
        <v>0</v>
      </c>
      <c r="M5" s="461">
        <f>tertiair!M16</f>
        <v>0</v>
      </c>
      <c r="N5" s="461">
        <f ca="1">tertiair!N16</f>
        <v>854.19521491233843</v>
      </c>
      <c r="O5" s="461">
        <f>tertiair!O16</f>
        <v>0</v>
      </c>
      <c r="P5" s="462">
        <f>tertiair!P16</f>
        <v>171.6</v>
      </c>
      <c r="Q5" s="460">
        <f t="shared" ref="Q5:Q14" ca="1" si="0">SUM(B5:P5)</f>
        <v>126576.27483340379</v>
      </c>
    </row>
    <row r="6" spans="1:17">
      <c r="A6" s="460" t="s">
        <v>194</v>
      </c>
      <c r="B6" s="461">
        <f>'openbare verlichting'!B8</f>
        <v>1227.7329999999999</v>
      </c>
      <c r="C6" s="461"/>
      <c r="D6" s="461"/>
      <c r="E6" s="461"/>
      <c r="F6" s="461"/>
      <c r="G6" s="461"/>
      <c r="H6" s="461"/>
      <c r="I6" s="461"/>
      <c r="J6" s="461"/>
      <c r="K6" s="461"/>
      <c r="L6" s="461"/>
      <c r="M6" s="461"/>
      <c r="N6" s="461"/>
      <c r="O6" s="461"/>
      <c r="P6" s="462"/>
      <c r="Q6" s="460">
        <f t="shared" si="0"/>
        <v>1227.7329999999999</v>
      </c>
    </row>
    <row r="7" spans="1:17">
      <c r="A7" s="460" t="s">
        <v>112</v>
      </c>
      <c r="B7" s="461">
        <f>landbouw!B8</f>
        <v>101.78644402509799</v>
      </c>
      <c r="C7" s="461">
        <f>landbouw!C8</f>
        <v>0</v>
      </c>
      <c r="D7" s="461">
        <f>landbouw!D8</f>
        <v>12.617682147069516</v>
      </c>
      <c r="E7" s="461">
        <f>landbouw!E8</f>
        <v>0.95889650187106323</v>
      </c>
      <c r="F7" s="461">
        <f>landbouw!F8</f>
        <v>332.16294680800087</v>
      </c>
      <c r="G7" s="461">
        <f>landbouw!G8</f>
        <v>0</v>
      </c>
      <c r="H7" s="461">
        <f>landbouw!H8</f>
        <v>0</v>
      </c>
      <c r="I7" s="461">
        <f>landbouw!I8</f>
        <v>0</v>
      </c>
      <c r="J7" s="461">
        <f>landbouw!J8</f>
        <v>12.591478215073256</v>
      </c>
      <c r="K7" s="461">
        <f>landbouw!K8</f>
        <v>0</v>
      </c>
      <c r="L7" s="461">
        <f>landbouw!L8</f>
        <v>0</v>
      </c>
      <c r="M7" s="461">
        <f>landbouw!M8</f>
        <v>0</v>
      </c>
      <c r="N7" s="461">
        <f>landbouw!N8</f>
        <v>0</v>
      </c>
      <c r="O7" s="461">
        <f>landbouw!O8</f>
        <v>0</v>
      </c>
      <c r="P7" s="462">
        <f>landbouw!P8</f>
        <v>0</v>
      </c>
      <c r="Q7" s="460">
        <f t="shared" si="0"/>
        <v>460.11744769711271</v>
      </c>
    </row>
    <row r="8" spans="1:17">
      <c r="A8" s="460" t="s">
        <v>685</v>
      </c>
      <c r="B8" s="461">
        <f>industrie!B18</f>
        <v>20618.511503963506</v>
      </c>
      <c r="C8" s="461">
        <f>industrie!C18</f>
        <v>0</v>
      </c>
      <c r="D8" s="461">
        <f>industrie!D18</f>
        <v>2851.6109073415037</v>
      </c>
      <c r="E8" s="461">
        <f>industrie!E18</f>
        <v>181.20106520381165</v>
      </c>
      <c r="F8" s="461">
        <f>industrie!F18</f>
        <v>4815.267524543191</v>
      </c>
      <c r="G8" s="461">
        <f>industrie!G18</f>
        <v>0</v>
      </c>
      <c r="H8" s="461">
        <f>industrie!H18</f>
        <v>0</v>
      </c>
      <c r="I8" s="461">
        <f>industrie!I18</f>
        <v>0</v>
      </c>
      <c r="J8" s="461">
        <f>industrie!J18</f>
        <v>102.49787177727076</v>
      </c>
      <c r="K8" s="461">
        <f>industrie!K18</f>
        <v>0</v>
      </c>
      <c r="L8" s="461">
        <f>industrie!L18</f>
        <v>0</v>
      </c>
      <c r="M8" s="461">
        <f>industrie!M18</f>
        <v>0</v>
      </c>
      <c r="N8" s="461">
        <f>industrie!N18</f>
        <v>673.15241960644698</v>
      </c>
      <c r="O8" s="461">
        <f>industrie!O18</f>
        <v>0</v>
      </c>
      <c r="P8" s="462">
        <f>industrie!P18</f>
        <v>0</v>
      </c>
      <c r="Q8" s="460">
        <f t="shared" si="0"/>
        <v>29242.241292435727</v>
      </c>
    </row>
    <row r="9" spans="1:17" s="466" customFormat="1">
      <c r="A9" s="464" t="s">
        <v>579</v>
      </c>
      <c r="B9" s="465">
        <f>transport!B14</f>
        <v>1.1907122408116162</v>
      </c>
      <c r="C9" s="465">
        <f>transport!C14</f>
        <v>0</v>
      </c>
      <c r="D9" s="465">
        <f>transport!D14</f>
        <v>3.9876531190880113</v>
      </c>
      <c r="E9" s="465">
        <f>transport!E14</f>
        <v>229.17429075140305</v>
      </c>
      <c r="F9" s="465">
        <f>transport!F14</f>
        <v>0</v>
      </c>
      <c r="G9" s="465">
        <f>transport!G14</f>
        <v>39072.798764120555</v>
      </c>
      <c r="H9" s="465">
        <f>transport!H14</f>
        <v>8767.1751660444079</v>
      </c>
      <c r="I9" s="465">
        <f>transport!I14</f>
        <v>0</v>
      </c>
      <c r="J9" s="465">
        <f>transport!J14</f>
        <v>0</v>
      </c>
      <c r="K9" s="465">
        <f>transport!K14</f>
        <v>0</v>
      </c>
      <c r="L9" s="465">
        <f>transport!L14</f>
        <v>0</v>
      </c>
      <c r="M9" s="465">
        <f>transport!M14</f>
        <v>2140.9538885521015</v>
      </c>
      <c r="N9" s="465">
        <f>transport!N14</f>
        <v>0</v>
      </c>
      <c r="O9" s="465">
        <f>transport!O14</f>
        <v>0</v>
      </c>
      <c r="P9" s="465">
        <f>transport!P14</f>
        <v>0</v>
      </c>
      <c r="Q9" s="464">
        <f>SUM(B9:P9)</f>
        <v>50215.280474828367</v>
      </c>
    </row>
    <row r="10" spans="1:17">
      <c r="A10" s="460" t="s">
        <v>569</v>
      </c>
      <c r="B10" s="461">
        <f>transport!B54</f>
        <v>0</v>
      </c>
      <c r="C10" s="461">
        <f>transport!C54</f>
        <v>0</v>
      </c>
      <c r="D10" s="461">
        <f>transport!D54</f>
        <v>0</v>
      </c>
      <c r="E10" s="461">
        <f>transport!E54</f>
        <v>0</v>
      </c>
      <c r="F10" s="461">
        <f>transport!F54</f>
        <v>0</v>
      </c>
      <c r="G10" s="461">
        <f>transport!G54</f>
        <v>941.14385558451477</v>
      </c>
      <c r="H10" s="461">
        <f>transport!H54</f>
        <v>0</v>
      </c>
      <c r="I10" s="461">
        <f>transport!I54</f>
        <v>0</v>
      </c>
      <c r="J10" s="461">
        <f>transport!J54</f>
        <v>0</v>
      </c>
      <c r="K10" s="461">
        <f>transport!K54</f>
        <v>0</v>
      </c>
      <c r="L10" s="461">
        <f>transport!L54</f>
        <v>0</v>
      </c>
      <c r="M10" s="461">
        <f>transport!M54</f>
        <v>41.327179212617267</v>
      </c>
      <c r="N10" s="461">
        <f>transport!N54</f>
        <v>0</v>
      </c>
      <c r="O10" s="461">
        <f>transport!O54</f>
        <v>0</v>
      </c>
      <c r="P10" s="462">
        <f>transport!P54</f>
        <v>0</v>
      </c>
      <c r="Q10" s="460">
        <f t="shared" si="0"/>
        <v>982.47103479713201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734.13006566420108</v>
      </c>
      <c r="C14" s="468"/>
      <c r="D14" s="468">
        <f>'SEAP template'!E25</f>
        <v>3842.7569345031902</v>
      </c>
      <c r="E14" s="468"/>
      <c r="F14" s="468"/>
      <c r="G14" s="468"/>
      <c r="H14" s="468"/>
      <c r="I14" s="468"/>
      <c r="J14" s="468"/>
      <c r="K14" s="468"/>
      <c r="L14" s="468"/>
      <c r="M14" s="468"/>
      <c r="N14" s="468"/>
      <c r="O14" s="468"/>
      <c r="P14" s="469"/>
      <c r="Q14" s="460">
        <f t="shared" si="0"/>
        <v>4576.8870001673913</v>
      </c>
    </row>
    <row r="15" spans="1:17" s="473" customFormat="1">
      <c r="A15" s="470" t="s">
        <v>573</v>
      </c>
      <c r="B15" s="471">
        <f ca="1">SUM(B4:B14)</f>
        <v>71410.195027039663</v>
      </c>
      <c r="C15" s="471">
        <f t="shared" ref="C15:Q15" ca="1" si="1">SUM(C4:C14)</f>
        <v>0</v>
      </c>
      <c r="D15" s="471">
        <f t="shared" ca="1" si="1"/>
        <v>191741.22703728749</v>
      </c>
      <c r="E15" s="471">
        <f t="shared" si="1"/>
        <v>6732.4213300118236</v>
      </c>
      <c r="F15" s="471">
        <f t="shared" ca="1" si="1"/>
        <v>27832.795426615914</v>
      </c>
      <c r="G15" s="471">
        <f t="shared" si="1"/>
        <v>40013.942619705071</v>
      </c>
      <c r="H15" s="471">
        <f t="shared" si="1"/>
        <v>8767.1751660444079</v>
      </c>
      <c r="I15" s="471">
        <f t="shared" si="1"/>
        <v>0</v>
      </c>
      <c r="J15" s="471">
        <f t="shared" si="1"/>
        <v>313.89856856785701</v>
      </c>
      <c r="K15" s="471">
        <f t="shared" si="1"/>
        <v>0</v>
      </c>
      <c r="L15" s="471">
        <f t="shared" ca="1" si="1"/>
        <v>0</v>
      </c>
      <c r="M15" s="471">
        <f t="shared" si="1"/>
        <v>2182.281067764719</v>
      </c>
      <c r="N15" s="471">
        <f t="shared" ca="1" si="1"/>
        <v>8717.4699444676935</v>
      </c>
      <c r="O15" s="471">
        <f t="shared" si="1"/>
        <v>65.660000000000011</v>
      </c>
      <c r="P15" s="471">
        <f t="shared" si="1"/>
        <v>438.5333333333333</v>
      </c>
      <c r="Q15" s="471">
        <f t="shared" ca="1" si="1"/>
        <v>358215.599520838</v>
      </c>
    </row>
    <row r="17" spans="1:17">
      <c r="A17" s="474" t="s">
        <v>574</v>
      </c>
      <c r="B17" s="778">
        <f ca="1">huishoudens!B10</f>
        <v>0.21143963524984749</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7441.5766048746527</v>
      </c>
      <c r="C22" s="461">
        <f t="shared" ref="C22:C32" ca="1" si="3">C4*$C$17</f>
        <v>0</v>
      </c>
      <c r="D22" s="461">
        <f t="shared" ref="D22:D32" si="4">D4*$D$17</f>
        <v>15337.280088013867</v>
      </c>
      <c r="E22" s="461">
        <f t="shared" ref="E22:E32" si="5">E4*$E$17</f>
        <v>1407.2308008089758</v>
      </c>
      <c r="F22" s="461">
        <f t="shared" ref="F22:F32" si="6">F4*$F$17</f>
        <v>5311.1323334441668</v>
      </c>
      <c r="G22" s="461">
        <f t="shared" ref="G22:G32" si="7">G4*$G$17</f>
        <v>0</v>
      </c>
      <c r="H22" s="461">
        <f t="shared" ref="H22:H32" si="8">H4*$H$17</f>
        <v>0</v>
      </c>
      <c r="I22" s="461">
        <f t="shared" ref="I22:I32" si="9">I4*$I$17</f>
        <v>0</v>
      </c>
      <c r="J22" s="461">
        <f t="shared" ref="J22:J32" si="10">J4*$J$17</f>
        <v>70.378463375731599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29567.598290517391</v>
      </c>
    </row>
    <row r="23" spans="1:17">
      <c r="A23" s="460" t="s">
        <v>156</v>
      </c>
      <c r="B23" s="461">
        <f t="shared" ca="1" si="2"/>
        <v>2861.2093695961412</v>
      </c>
      <c r="C23" s="461">
        <f t="shared" ca="1" si="3"/>
        <v>0</v>
      </c>
      <c r="D23" s="461">
        <f t="shared" ca="1" si="4"/>
        <v>22038.831191741818</v>
      </c>
      <c r="E23" s="461">
        <f t="shared" si="5"/>
        <v>27.655965795949772</v>
      </c>
      <c r="F23" s="461">
        <f t="shared" ca="1" si="6"/>
        <v>745.86010961151567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25673.556636745427</v>
      </c>
    </row>
    <row r="24" spans="1:17">
      <c r="A24" s="460" t="s">
        <v>194</v>
      </c>
      <c r="B24" s="461">
        <f t="shared" ca="1" si="2"/>
        <v>259.59141770420098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259.59141770420098</v>
      </c>
    </row>
    <row r="25" spans="1:17">
      <c r="A25" s="460" t="s">
        <v>112</v>
      </c>
      <c r="B25" s="461">
        <f t="shared" ca="1" si="2"/>
        <v>21.521688598045738</v>
      </c>
      <c r="C25" s="461">
        <f t="shared" ca="1" si="3"/>
        <v>0</v>
      </c>
      <c r="D25" s="461">
        <f t="shared" si="4"/>
        <v>2.5487717937080423</v>
      </c>
      <c r="E25" s="461">
        <f t="shared" si="5"/>
        <v>0.21766950592473136</v>
      </c>
      <c r="F25" s="461">
        <f t="shared" si="6"/>
        <v>88.687506797736233</v>
      </c>
      <c r="G25" s="461">
        <f t="shared" si="7"/>
        <v>0</v>
      </c>
      <c r="H25" s="461">
        <f t="shared" si="8"/>
        <v>0</v>
      </c>
      <c r="I25" s="461">
        <f t="shared" si="9"/>
        <v>0</v>
      </c>
      <c r="J25" s="461">
        <f t="shared" si="10"/>
        <v>4.4573832881359321</v>
      </c>
      <c r="K25" s="461">
        <f t="shared" si="11"/>
        <v>0</v>
      </c>
      <c r="L25" s="461">
        <f t="shared" si="12"/>
        <v>0</v>
      </c>
      <c r="M25" s="461">
        <f t="shared" si="13"/>
        <v>0</v>
      </c>
      <c r="N25" s="461">
        <f t="shared" si="14"/>
        <v>0</v>
      </c>
      <c r="O25" s="461">
        <f t="shared" si="15"/>
        <v>0</v>
      </c>
      <c r="P25" s="462">
        <f t="shared" si="16"/>
        <v>0</v>
      </c>
      <c r="Q25" s="460">
        <f t="shared" ca="1" si="17"/>
        <v>117.43301998355068</v>
      </c>
    </row>
    <row r="26" spans="1:17">
      <c r="A26" s="460" t="s">
        <v>685</v>
      </c>
      <c r="B26" s="461">
        <f t="shared" ca="1" si="2"/>
        <v>4359.5705517928282</v>
      </c>
      <c r="C26" s="461">
        <f t="shared" ca="1" si="3"/>
        <v>0</v>
      </c>
      <c r="D26" s="461">
        <f t="shared" si="4"/>
        <v>576.0254032829838</v>
      </c>
      <c r="E26" s="461">
        <f t="shared" si="5"/>
        <v>41.132641801265244</v>
      </c>
      <c r="F26" s="461">
        <f t="shared" si="6"/>
        <v>1285.6764290530321</v>
      </c>
      <c r="G26" s="461">
        <f t="shared" si="7"/>
        <v>0</v>
      </c>
      <c r="H26" s="461">
        <f t="shared" si="8"/>
        <v>0</v>
      </c>
      <c r="I26" s="461">
        <f t="shared" si="9"/>
        <v>0</v>
      </c>
      <c r="J26" s="461">
        <f t="shared" si="10"/>
        <v>36.284246609153847</v>
      </c>
      <c r="K26" s="461">
        <f t="shared" si="11"/>
        <v>0</v>
      </c>
      <c r="L26" s="461">
        <f t="shared" si="12"/>
        <v>0</v>
      </c>
      <c r="M26" s="461">
        <f t="shared" si="13"/>
        <v>0</v>
      </c>
      <c r="N26" s="461">
        <f t="shared" si="14"/>
        <v>0</v>
      </c>
      <c r="O26" s="461">
        <f t="shared" si="15"/>
        <v>0</v>
      </c>
      <c r="P26" s="462">
        <f t="shared" si="16"/>
        <v>0</v>
      </c>
      <c r="Q26" s="460">
        <f t="shared" ca="1" si="17"/>
        <v>6298.6892725392627</v>
      </c>
    </row>
    <row r="27" spans="1:17" s="466" customFormat="1">
      <c r="A27" s="464" t="s">
        <v>579</v>
      </c>
      <c r="B27" s="772">
        <f t="shared" ca="1" si="2"/>
        <v>0.2517637618847367</v>
      </c>
      <c r="C27" s="465">
        <f t="shared" ca="1" si="3"/>
        <v>0</v>
      </c>
      <c r="D27" s="465">
        <f t="shared" si="4"/>
        <v>0.80550593005577831</v>
      </c>
      <c r="E27" s="465">
        <f t="shared" si="5"/>
        <v>52.022564000568494</v>
      </c>
      <c r="F27" s="465">
        <f t="shared" si="6"/>
        <v>0</v>
      </c>
      <c r="G27" s="465">
        <f t="shared" si="7"/>
        <v>10432.437270020189</v>
      </c>
      <c r="H27" s="465">
        <f t="shared" si="8"/>
        <v>2183.0266163450574</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12668.543720057756</v>
      </c>
    </row>
    <row r="28" spans="1:17">
      <c r="A28" s="460" t="s">
        <v>569</v>
      </c>
      <c r="B28" s="461">
        <f t="shared" ca="1" si="2"/>
        <v>0</v>
      </c>
      <c r="C28" s="461">
        <f t="shared" ca="1" si="3"/>
        <v>0</v>
      </c>
      <c r="D28" s="461">
        <f t="shared" si="4"/>
        <v>0</v>
      </c>
      <c r="E28" s="461">
        <f t="shared" si="5"/>
        <v>0</v>
      </c>
      <c r="F28" s="461">
        <f t="shared" si="6"/>
        <v>0</v>
      </c>
      <c r="G28" s="461">
        <f t="shared" si="7"/>
        <v>251.28540944106547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251.28540944106547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155.22419330998525</v>
      </c>
      <c r="C32" s="461">
        <f t="shared" ca="1" si="3"/>
        <v>0</v>
      </c>
      <c r="D32" s="461">
        <f t="shared" si="4"/>
        <v>776.23690076964442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931.46109407962967</v>
      </c>
    </row>
    <row r="33" spans="1:17" s="473" customFormat="1">
      <c r="A33" s="470" t="s">
        <v>573</v>
      </c>
      <c r="B33" s="471">
        <f ca="1">SUM(B22:B32)</f>
        <v>15098.945589637739</v>
      </c>
      <c r="C33" s="471">
        <f t="shared" ref="C33:Q33" ca="1" si="18">SUM(C22:C32)</f>
        <v>0</v>
      </c>
      <c r="D33" s="471">
        <f t="shared" ca="1" si="18"/>
        <v>38731.727861532076</v>
      </c>
      <c r="E33" s="471">
        <f t="shared" si="18"/>
        <v>1528.2596419126839</v>
      </c>
      <c r="F33" s="471">
        <f t="shared" ca="1" si="18"/>
        <v>7431.3563789064501</v>
      </c>
      <c r="G33" s="471">
        <f t="shared" si="18"/>
        <v>10683.722679461254</v>
      </c>
      <c r="H33" s="471">
        <f t="shared" si="18"/>
        <v>2183.0266163450574</v>
      </c>
      <c r="I33" s="471">
        <f t="shared" si="18"/>
        <v>0</v>
      </c>
      <c r="J33" s="471">
        <f t="shared" si="18"/>
        <v>111.12009327302138</v>
      </c>
      <c r="K33" s="471">
        <f t="shared" si="18"/>
        <v>0</v>
      </c>
      <c r="L33" s="471">
        <f t="shared" ca="1" si="18"/>
        <v>0</v>
      </c>
      <c r="M33" s="471">
        <f t="shared" si="18"/>
        <v>0</v>
      </c>
      <c r="N33" s="471">
        <f t="shared" ca="1" si="18"/>
        <v>0</v>
      </c>
      <c r="O33" s="471">
        <f t="shared" si="18"/>
        <v>0</v>
      </c>
      <c r="P33" s="471">
        <f t="shared" si="18"/>
        <v>0</v>
      </c>
      <c r="Q33" s="471">
        <f t="shared" ca="1" si="18"/>
        <v>75768.158861068281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3089.174259448087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3089.174259448087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0.21143963524984749</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0.21143963524984749</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1</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19.066666666666666</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2019-08-12T07:55:09Z</dcterms:modified>
</cp:coreProperties>
</file>