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30" i="48" l="1"/>
  <c r="D28"/>
  <c r="D24"/>
  <c r="D31"/>
  <c r="D29"/>
  <c r="D32"/>
  <c r="K28"/>
  <c r="K32"/>
  <c r="K27"/>
  <c r="K31"/>
  <c r="K25"/>
  <c r="K24"/>
  <c r="K26"/>
  <c r="K29"/>
  <c r="K22"/>
  <c r="K30"/>
  <c r="J32"/>
  <c r="J30"/>
  <c r="J27"/>
  <c r="J31"/>
  <c r="J24"/>
  <c r="J29"/>
  <c r="J28"/>
  <c r="B7"/>
  <c r="C24" i="14"/>
  <c r="C26" s="1"/>
  <c r="O4" i="48"/>
  <c r="P11" i="14"/>
  <c r="I32" i="48"/>
  <c r="I22"/>
  <c r="I31"/>
  <c r="I26"/>
  <c r="I29"/>
  <c r="I25"/>
  <c r="I28"/>
  <c r="I24"/>
  <c r="I30"/>
  <c r="I27"/>
  <c r="B38" i="13"/>
  <c r="E32" i="48"/>
  <c r="E28"/>
  <c r="E24"/>
  <c r="E31"/>
  <c r="E29"/>
  <c r="E30"/>
  <c r="M12" i="13"/>
  <c r="N41" i="14" s="1"/>
  <c r="M17" i="48"/>
  <c r="L10" i="14"/>
  <c r="L16" s="1"/>
  <c r="L27" s="1"/>
  <c r="K5" i="48"/>
  <c r="L28"/>
  <c r="L32"/>
  <c r="L27"/>
  <c r="L31"/>
  <c r="L22"/>
  <c r="L29"/>
  <c r="L30"/>
  <c r="L24"/>
  <c r="P5"/>
  <c r="P23" s="1"/>
  <c r="Q10" i="14"/>
  <c r="J10"/>
  <c r="J16" s="1"/>
  <c r="J27" s="1"/>
  <c r="I5" i="48"/>
  <c r="P4"/>
  <c r="Q11" i="14"/>
  <c r="E11"/>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22" i="48" l="1"/>
  <c r="F4"/>
  <c r="F22" s="1"/>
  <c r="G11" i="14"/>
  <c r="H13" i="48"/>
  <c r="H31" s="1"/>
  <c r="I18" i="14"/>
  <c r="I23" i="48"/>
  <c r="I33" s="1"/>
  <c r="I15"/>
  <c r="P8"/>
  <c r="P26" s="1"/>
  <c r="Q13" i="14"/>
  <c r="P22" i="48"/>
  <c r="P33" s="1"/>
  <c r="H18" i="14"/>
  <c r="G13" i="48"/>
  <c r="N18" i="14"/>
  <c r="M13" i="48"/>
  <c r="M31" s="1"/>
  <c r="M32"/>
  <c r="M22"/>
  <c r="M26"/>
  <c r="M25"/>
  <c r="M29"/>
  <c r="M30"/>
  <c r="M24"/>
  <c r="M23"/>
  <c r="O5"/>
  <c r="O23" s="1"/>
  <c r="P10" i="14"/>
  <c r="J12" i="17"/>
  <c r="K54" i="14" s="1"/>
  <c r="K56" s="1"/>
  <c r="J7" i="48"/>
  <c r="J25" s="1"/>
  <c r="K24" i="14"/>
  <c r="K26" s="1"/>
  <c r="K15" i="48"/>
  <c r="K23"/>
  <c r="Q16" i="14"/>
  <c r="Q27" s="1"/>
  <c r="L63"/>
  <c r="K33" i="48"/>
  <c r="J46" i="14"/>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K11" i="14"/>
  <c r="J4" i="48"/>
  <c r="M9"/>
  <c r="N20" i="14"/>
  <c r="E7" i="48"/>
  <c r="E25" s="1"/>
  <c r="F24" i="14"/>
  <c r="F26" s="1"/>
  <c r="R18"/>
  <c r="E9" i="48"/>
  <c r="E27" s="1"/>
  <c r="F20" i="14"/>
  <c r="F22" s="1"/>
  <c r="G31" i="48"/>
  <c r="Q13"/>
  <c r="I20" i="14"/>
  <c r="I22" s="1"/>
  <c r="I27" s="1"/>
  <c r="H9" i="48"/>
  <c r="P13" i="14"/>
  <c r="O8" i="48"/>
  <c r="N19" i="14"/>
  <c r="N22" s="1"/>
  <c r="N27" s="1"/>
  <c r="N63" s="1"/>
  <c r="M10" i="48"/>
  <c r="M28" s="1"/>
  <c r="D9"/>
  <c r="D27" s="1"/>
  <c r="E20" i="14"/>
  <c r="E22" s="1"/>
  <c r="B9" i="48"/>
  <c r="C20" i="14"/>
  <c r="E12" i="17"/>
  <c r="F54" i="14" s="1"/>
  <c r="F56" s="1"/>
  <c r="H52"/>
  <c r="H61" s="1"/>
  <c r="D16"/>
  <c r="D27" s="1"/>
  <c r="B20" i="6" s="1"/>
  <c r="B22" s="1"/>
  <c r="C22" i="56" s="1"/>
  <c r="D18" i="22"/>
  <c r="E50" i="14" s="1"/>
  <c r="E52" s="1"/>
  <c r="Q46"/>
  <c r="Q61" s="1"/>
  <c r="Q63" s="1"/>
  <c r="I52"/>
  <c r="I61" s="1"/>
  <c r="N52"/>
  <c r="N61" s="1"/>
  <c r="P16"/>
  <c r="P27" s="1"/>
  <c r="P15" i="48"/>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E5" i="48" l="1"/>
  <c r="E23" s="1"/>
  <c r="F10" i="14"/>
  <c r="O26" i="48"/>
  <c r="O33" s="1"/>
  <c r="O15"/>
  <c r="G28"/>
  <c r="Q10"/>
  <c r="J22"/>
  <c r="M27"/>
  <c r="M33" s="1"/>
  <c r="M15"/>
  <c r="E22"/>
  <c r="Q4"/>
  <c r="H20" i="14"/>
  <c r="H22" s="1"/>
  <c r="H27" s="1"/>
  <c r="G9" i="48"/>
  <c r="K10" i="14"/>
  <c r="J5" i="48"/>
  <c r="J23" s="1"/>
  <c r="R20" i="14"/>
  <c r="C22"/>
  <c r="H27" i="48"/>
  <c r="H33" s="1"/>
  <c r="H15"/>
  <c r="I63" i="14"/>
  <c r="R22"/>
  <c r="H63"/>
  <c r="R11"/>
  <c r="R19"/>
  <c r="D15" i="48"/>
  <c r="E16" i="14"/>
  <c r="E27" s="1"/>
  <c r="E63"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E26" s="1"/>
  <c r="E33" s="1"/>
  <c r="F13" i="14"/>
  <c r="F16" s="1"/>
  <c r="F27" s="1"/>
  <c r="F63" s="1"/>
  <c r="G27" i="48"/>
  <c r="G33" s="1"/>
  <c r="G15"/>
  <c r="K13" i="14"/>
  <c r="J8" i="48"/>
  <c r="F46" i="14"/>
  <c r="F61" s="1"/>
  <c r="K16"/>
  <c r="K27" s="1"/>
  <c r="R10"/>
  <c r="Q9" i="48"/>
  <c r="E15"/>
  <c r="Q5"/>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J26" i="48" l="1"/>
  <c r="J33" s="1"/>
  <c r="J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<sst xmlns="http://schemas.openxmlformats.org/spreadsheetml/2006/main" count="2504" uniqueCount="958">
  <si>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</si>
  <si>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</si>
  <si>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</si>
  <si>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</si>
  <si>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</si>
  <si>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</si>
  <si>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</si>
  <si>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</si>
  <si>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</si>
  <si>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</si>
  <si>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</si>
  <si>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</si>
  <si>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</si>
  <si>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</si>
  <si>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</si>
  <si>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</si>
  <si>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</si>
  <si>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</si>
  <si>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</si>
  <si>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</si>
  <si>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</si>
  <si>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</si>
  <si>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</si>
  <si>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</si>
  <si>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</si>
  <si>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</si>
  <si>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</si>
  <si>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</si>
  <si>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</si>
  <si>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</si>
  <si>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</si>
  <si>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</si>
  <si>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</si>
  <si>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</si>
  <si>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</si>
  <si>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</si>
  <si>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</si>
  <si>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</si>
  <si>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</si>
  <si>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</si>
  <si>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</si>
  <si>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</si>
  <si>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</si>
  <si>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</si>
  <si>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</si>
  <si>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</si>
  <si>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</si>
  <si>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</si>
  <si>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</si>
  <si>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</si>
  <si>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</si>
  <si>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</si>
  <si>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</si>
  <si>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</si>
  <si>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</si>
  <si>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</si>
  <si>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</si>
  <si>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</si>
  <si>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</si>
  <si>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</si>
  <si>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</si>
  <si>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</si>
  <si>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</si>
  <si>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</si>
  <si>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</si>
  <si>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</si>
  <si>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</si>
  <si>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</si>
  <si>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</si>
  <si>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</si>
  <si>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</si>
  <si>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</si>
  <si>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</si>
  <si>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</si>
  <si>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</si>
  <si>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</si>
  <si>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</si>
  <si>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</si>
  <si>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</si>
  <si>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</si>
  <si>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</si>
  <si>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</si>
  <si>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</si>
  <si>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</si>
  <si>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</si>
  <si>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</si>
  <si>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</si>
  <si>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</si>
  <si>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</si>
  <si>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</si>
  <si>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</si>
  <si>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</si>
  <si>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</si>
  <si>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</si>
  <si>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</si>
  <si>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</si>
  <si>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</si>
  <si>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</si>
  <si>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</si>
  <si>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</si>
  <si>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</si>
  <si>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</si>
  <si>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</si>
  <si>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</si>
  <si>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</si>
  <si>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</si>
  <si>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</si>
  <si>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</si>
  <si>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</si>
  <si>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</si>
  <si>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</si>
  <si>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</si>
  <si>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</si>
  <si>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</si>
  <si>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</si>
  <si>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</si>
  <si>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</si>
  <si>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</si>
  <si>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</si>
  <si>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</si>
  <si>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</si>
  <si>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</si>
  <si>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</si>
  <si>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</si>
  <si>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</si>
  <si>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</si>
  <si>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</si>
  <si>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</si>
  <si>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</si>
  <si>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</si>
  <si>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</si>
  <si>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</si>
  <si>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</si>
  <si>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</si>
  <si>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</si>
  <si>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</si>
  <si>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</si>
  <si>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</si>
  <si>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</si>
  <si>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</si>
  <si>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</si>
  <si>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</si>
  <si>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</si>
  <si>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</si>
  <si>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</si>
  <si>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</si>
  <si>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</si>
  <si>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</si>
  <si>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</si>
  <si>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</si>
  <si>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</si>
  <si>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</si>
  <si>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</si>
  <si>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</si>
  <si>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</si>
  <si>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</si>
  <si>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</si>
  <si>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</si>
  <si>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</si>
  <si>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</si>
  <si>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</si>
  <si>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</si>
  <si>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</si>
  <si>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</si>
  <si>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</si>
  <si>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</si>
  <si>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</si>
  <si>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</si>
  <si>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</si>
  <si>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</si>
  <si>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</si>
  <si>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</si>
  <si>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</si>
  <si>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</si>
  <si>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</si>
  <si>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</si>
  <si>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</si>
  <si>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</si>
  <si>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</si>
  <si>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</si>
  <si>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</si>
  <si>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</si>
  <si>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</si>
  <si>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</si>
  <si>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</si>
  <si>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</si>
  <si>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</si>
  <si>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</si>
  <si>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</si>
  <si>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</si>
  <si>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</si>
  <si>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</si>
  <si>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</si>
  <si>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</si>
  <si>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</si>
  <si>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</si>
  <si>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</si>
  <si>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</si>
  <si>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</si>
  <si>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</si>
  <si>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</si>
  <si>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</si>
  <si>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</si>
  <si>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</si>
  <si>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</si>
  <si>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</si>
  <si>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</si>
  <si>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</si>
  <si>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</si>
  <si>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</si>
  <si>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</si>
  <si>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</si>
  <si>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</si>
  <si>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</si>
  <si>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</si>
  <si>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</si>
  <si>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</si>
  <si>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</si>
  <si>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</si>
  <si>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</si>
  <si>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</si>
  <si>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</si>
  <si>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</si>
  <si>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</si>
  <si>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</si>
  <si>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</si>
  <si>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</si>
  <si>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</si>
  <si>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</si>
  <si>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</si>
  <si>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</si>
  <si>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</si>
  <si>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</si>
  <si>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</si>
  <si>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</si>
  <si>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</si>
  <si>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</si>
  <si>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</si>
  <si>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</si>
  <si>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</si>
  <si>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</si>
  <si>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</si>
  <si>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</si>
  <si>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</si>
  <si>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</si>
  <si>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</si>
  <si>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</si>
  <si>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</si>
  <si>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</si>
  <si>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</si>
  <si>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</si>
  <si>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</si>
  <si>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</si>
  <si>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</si>
  <si>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</si>
  <si>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</si>
  <si>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</si>
  <si>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</si>
  <si>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</si>
  <si>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</si>
  <si>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</si>
  <si>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</si>
  <si>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</si>
  <si>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</si>
  <si>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</si>
  <si>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</si>
  <si>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</si>
  <si>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</si>
  <si>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</si>
  <si>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</si>
  <si>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</si>
  <si>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</si>
  <si>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</si>
  <si>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</si>
  <si>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</si>
  <si>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</si>
  <si>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</si>
  <si>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</si>
  <si>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</si>
  <si>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</si>
  <si>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</si>
  <si>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</si>
  <si>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</si>
  <si>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</si>
  <si>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</si>
  <si>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</si>
  <si>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</si>
  <si>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</si>
  <si>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</si>
  <si>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</si>
  <si>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</si>
  <si>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</si>
  <si>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</si>
  <si>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</si>
  <si>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</si>
  <si>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</si>
  <si>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</si>
  <si>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</si>
  <si>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</si>
  <si>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</si>
  <si>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</si>
  <si>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</si>
  <si>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</si>
  <si>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</si>
  <si>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</si>
  <si>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</si>
  <si>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</si>
  <si>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</si>
  <si>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</si>
  <si>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</si>
  <si>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</si>
  <si>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</si>
  <si>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</si>
  <si>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</si>
  <si>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</si>
  <si>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</si>
  <si>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</si>
  <si>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</si>
  <si>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</si>
  <si>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</si>
  <si>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</si>
  <si>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</si>
  <si>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</si>
  <si>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</si>
  <si>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</si>
  <si>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</si>
  <si>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</si>
  <si>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</si>
  <si>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</si>
  <si>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</si>
  <si>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</si>
  <si>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</si>
  <si>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</si>
  <si>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</si>
  <si>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</si>
  <si>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</si>
  <si>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</si>
  <si>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</si>
  <si>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</si>
  <si>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</si>
  <si>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</si>
  <si>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</si>
  <si>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</si>
  <si>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</si>
  <si>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</si>
  <si>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</si>
  <si>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</si>
  <si>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</si>
  <si>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</si>
  <si>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</si>
  <si>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</si>
  <si>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</si>
  <si>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</si>
  <si>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</si>
  <si>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</si>
  <si>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</si>
  <si>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</si>
  <si>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</si>
  <si>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</si>
  <si>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</si>
  <si>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</si>
  <si>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</si>
  <si>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</si>
  <si>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</si>
  <si>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</si>
  <si>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</si>
  <si>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</si>
  <si>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</si>
  <si>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</si>
  <si>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</si>
  <si>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</si>
  <si>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</si>
  <si>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</si>
  <si>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</si>
  <si>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</si>
  <si>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</si>
  <si>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</si>
  <si>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</si>
  <si>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</si>
  <si>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</si>
  <si>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</si>
  <si>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</si>
  <si>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</si>
  <si>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</si>
  <si>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</si>
  <si>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</si>
  <si>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</si>
  <si>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</si>
  <si>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</si>
  <si>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</si>
  <si>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</si>
  <si>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</si>
  <si>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</si>
  <si>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</si>
  <si>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</si>
  <si>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</si>
  <si>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</si>
  <si>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</si>
  <si>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</si>
  <si>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</si>
  <si>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</si>
  <si>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</si>
  <si>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</si>
  <si>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</si>
  <si>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</si>
  <si>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</si>
  <si>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</si>
  <si>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</si>
  <si>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</si>
  <si>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</si>
  <si>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</si>
  <si>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</si>
  <si>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</si>
  <si>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</si>
  <si>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</si>
  <si>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</si>
  <si>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</si>
  <si>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</si>
  <si>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</si>
  <si>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</si>
  <si>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</si>
  <si>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</si>
  <si>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</si>
  <si>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</si>
  <si>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</si>
  <si>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</si>
  <si>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</si>
  <si>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</si>
  <si>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</si>
  <si>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</si>
  <si>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</si>
  <si>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</si>
  <si>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</si>
  <si>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</si>
  <si>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</si>
  <si>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</si>
  <si>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</si>
  <si>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</si>
  <si>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</si>
  <si>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</si>
  <si>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</si>
  <si>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</si>
  <si>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</si>
  <si>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</si>
  <si>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</si>
  <si>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</si>
  <si>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</si>
  <si>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</si>
  <si>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</si>
  <si>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</si>
  <si>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</si>
  <si>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</si>
  <si>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</si>
  <si>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</si>
  <si>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</si>
  <si>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</si>
  <si>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</si>
  <si>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</si>
  <si>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</si>
  <si>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</si>
  <si>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</si>
  <si>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</si>
  <si>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</si>
  <si>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</si>
  <si>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</si>
  <si>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</si>
  <si>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</si>
  <si>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</si>
  <si>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</si>
  <si>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</si>
  <si>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</si>
  <si>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</si>
  <si>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</si>
  <si>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</si>
  <si>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</si>
  <si>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</si>
  <si>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</si>
  <si>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</si>
  <si>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</si>
  <si>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</si>
  <si>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</si>
  <si>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</si>
  <si>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</si>
  <si>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</si>
  <si>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</si>
  <si>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</si>
  <si>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</si>
  <si>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</si>
  <si>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</si>
  <si>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</si>
  <si>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</si>
  <si>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</si>
  <si>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</si>
  <si>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</si>
  <si>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</si>
  <si>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</si>
  <si>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</si>
  <si>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</si>
  <si>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</si>
  <si>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</si>
  <si>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</si>
  <si>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</si>
  <si>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</si>
  <si>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</si>
  <si>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</si>
  <si>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</si>
  <si>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</si>
  <si>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</si>
  <si>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</si>
  <si>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</si>
  <si>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</si>
  <si>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</si>
  <si>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</si>
  <si>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</si>
  <si>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</si>
  <si>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</si>
  <si>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</si>
  <si>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</si>
  <si>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</si>
  <si>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</si>
  <si>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</si>
  <si>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</si>
  <si>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</si>
  <si>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</si>
  <si>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</si>
  <si>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</si>
  <si>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</si>
  <si>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</si>
  <si>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</si>
  <si>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</si>
  <si>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</si>
  <si>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</si>
  <si>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</si>
  <si>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</si>
  <si>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</si>
  <si>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</si>
  <si>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</si>
  <si>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</si>
  <si>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</si>
  <si>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</si>
  <si>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</si>
  <si>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</si>
  <si>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</si>
  <si>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</si>
  <si>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</si>
  <si>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</si>
  <si>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</si>
  <si>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</si>
  <si>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</si>
  <si>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</si>
  <si>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</si>
  <si>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</si>
  <si>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</si>
  <si>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</si>
  <si>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</si>
  <si>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</si>
  <si>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</si>
  <si>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</si>
  <si>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</si>
  <si>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</si>
  <si>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</si>
  <si>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</si>
  <si>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</si>
  <si>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</si>
  <si>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</si>
  <si>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</si>
  <si>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</si>
  <si>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</si>
  <si>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</si>
  <si>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</si>
  <si>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</si>
  <si>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</si>
  <si>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</si>
  <si>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</si>
  <si>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</si>
  <si>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</si>
  <si>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</si>
  <si>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</si>
  <si>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</si>
  <si>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</si>
  <si>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</si>
  <si>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</si>
  <si>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</si>
  <si>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</si>
  <si>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</si>
  <si>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</si>
  <si>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</si>
  <si>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</si>
  <si>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</si>
  <si>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</si>
  <si>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</si>
  <si>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</si>
  <si>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</si>
  <si>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</si>
  <si>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</si>
  <si>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</si>
  <si>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</si>
  <si>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</si>
  <si>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</si>
  <si>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</si>
  <si>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</si>
  <si>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</si>
  <si>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</si>
  <si>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</si>
  <si>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</si>
  <si>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</si>
  <si>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</si>
  <si>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</si>
  <si>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</si>
  <si>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</si>
  <si>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</si>
  <si>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</si>
  <si>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</si>
  <si>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</si>
  <si>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</si>
  <si>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</si>
  <si>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</si>
  <si>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</si>
  <si>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</si>
  <si>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</si>
  <si>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</si>
  <si>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</si>
  <si>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</si>
  <si>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</si>
  <si>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</si>
  <si>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</si>
  <si>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</si>
  <si>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</si>
  <si>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</si>
  <si>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</si>
  <si>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</si>
  <si>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</si>
  <si>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</si>
  <si>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</si>
  <si>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</si>
  <si>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</si>
  <si>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</si>
  <si>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</si>
  <si>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</si>
  <si>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</si>
  <si>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</si>
  <si>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</si>
  <si>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</si>
  <si>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</si>
  <si>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</si>
  <si>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</si>
  <si>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</si>
  <si>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</si>
  <si>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</si>
  <si>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</si>
  <si>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</si>
  <si>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</si>
  <si>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</si>
  <si>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</si>
  <si>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</si>
  <si>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</si>
  <si>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</si>
  <si>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</si>
  <si>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</si>
  <si>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</si>
  <si>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</si>
  <si>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</si>
  <si>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</si>
  <si>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</si>
  <si>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</si>
  <si>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</si>
  <si>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</si>
  <si>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</si>
  <si>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</si>
  <si>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</si>
  <si>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</si>
  <si>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</si>
  <si>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</si>
  <si>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</si>
  <si>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</si>
  <si>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</si>
  <si>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</si>
  <si>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</si>
  <si>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</si>
  <si>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</si>
  <si>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</si>
  <si>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</si>
  <si>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</si>
  <si>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</si>
  <si>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</si>
  <si>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</si>
  <si>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</si>
  <si>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</si>
  <si>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</si>
  <si>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</si>
  <si>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</si>
  <si>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</si>
  <si>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</si>
  <si>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</si>
  <si>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</si>
  <si>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</si>
  <si>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</si>
  <si>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</si>
  <si>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</si>
  <si>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</si>
  <si>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</si>
  <si>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</si>
  <si>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</si>
  <si>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</si>
  <si>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</si>
  <si>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</si>
  <si>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</si>
  <si>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</si>
  <si>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</si>
  <si>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</si>
  <si>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</si>
  <si>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</si>
  <si>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</si>
  <si>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</si>
  <si>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</si>
  <si>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</si>
  <si>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</si>
  <si>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</si>
  <si>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</si>
  <si>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</si>
  <si>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</si>
  <si>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</si>
  <si>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</si>
  <si>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</si>
  <si>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</si>
  <si>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</si>
  <si>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</si>
  <si>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</si>
  <si>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</si>
  <si>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</si>
  <si>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</si>
  <si>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</si>
  <si>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</si>
  <si>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</si>
  <si>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</si>
  <si>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</si>
  <si>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</si>
  <si>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</si>
  <si>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</si>
  <si>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</si>
  <si>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</si>
  <si>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</si>
  <si>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</si>
  <si>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</si>
  <si>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</si>
  <si>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</si>
  <si>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</si>
  <si>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</si>
  <si>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</si>
  <si>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</si>
  <si>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</si>
  <si>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</si>
  <si>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</si>
  <si>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</si>
  <si>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</si>
  <si>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</si>
  <si>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</si>
  <si>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</si>
  <si>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</si>
  <si>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</si>
  <si>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</si>
  <si>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</si>
  <si>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</si>
  <si>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</si>
  <si>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</si>
  <si>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</si>
  <si>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</si>
  <si>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</si>
  <si>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</si>
  <si>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</si>
  <si>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</si>
  <si>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</si>
  <si>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</si>
  <si>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</si>
  <si>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</si>
  <si>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</si>
  <si>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</si>
  <si>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</si>
  <si>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</si>
  <si>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</si>
  <si>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</si>
  <si>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</si>
  <si>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</si>
  <si>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</si>
  <si>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</si>
  <si>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</si>
  <si>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</si>
  <si>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</si>
  <si>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</si>
  <si>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</si>
  <si>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</si>
  <si>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</si>
  <si>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</si>
  <si>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</si>
  <si>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</si>
  <si>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</si>
  <si>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</si>
  <si>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</si>
  <si>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</si>
  <si>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</si>
  <si>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</si>
  <si>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</si>
  <si>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</si>
  <si>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</si>
  <si>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</si>
  <si>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</si>
  <si>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</si>
  <si>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</si>
  <si>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</si>
  <si>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</si>
  <si>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</si>
  <si>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</si>
  <si>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</si>
  <si>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</si>
  <si>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</si>
  <si>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</si>
  <si>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</si>
  <si>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</si>
  <si>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</si>
  <si>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</si>
  <si>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</si>
  <si>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</si>
  <si>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</si>
  <si>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</si>
  <si>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</si>
  <si>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</si>
  <si>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</si>
  <si>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</si>
  <si>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</si>
  <si>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</si>
  <si>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</si>
  <si>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</si>
  <si>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</si>
  <si>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</si>
  <si>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</si>
  <si>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</si>
  <si>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</si>
  <si>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</si>
  <si>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</si>
  <si>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</si>
  <si>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</si>
  <si>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</si>
  <si>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</si>
  <si>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</si>
  <si>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</si>
  <si>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</si>
  <si>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</si>
  <si>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</si>
  <si>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</si>
  <si>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</si>
  <si>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</si>
  <si>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</si>
  <si>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</si>
  <si>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</si>
  <si>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</si>
  <si>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</si>
  <si>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</si>
  <si>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</si>
  <si>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</si>
  <si>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</si>
  <si>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</si>
  <si>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</si>
  <si>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</si>
  <si>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</si>
  <si>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</si>
  <si>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</si>
  <si>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</si>
  <si>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</si>
  <si>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</si>
  <si>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</si>
  <si>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</si>
  <si>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</si>
  <si>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</si>
  <si>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</si>
  <si>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</si>
  <si>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</si>
  <si>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</si>
  <si>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</si>
  <si>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</si>
  <si>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</si>
  <si>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</si>
  <si>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</si>
  <si>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</si>
  <si>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</si>
  <si>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</si>
  <si>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</si>
  <si>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</si>
  <si>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</si>
  <si>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</si>
  <si>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</si>
  <si>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</si>
  <si>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</si>
  <si>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</si>
  <si>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</si>
  <si>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</si>
  <si>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</si>
  <si>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</si>
  <si>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</si>
  <si>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</si>
  <si>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</si>
  <si>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</si>
  <si>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</si>
  <si>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</si>
  <si>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</si>
  <si>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</si>
  <si>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</si>
  <si>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</si>
  <si>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</si>
  <si>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</si>
  <si>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</si>
  <si>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</si>
  <si>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</si>
  <si>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</si>
  <si>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</si>
  <si>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</si>
  <si>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</si>
  <si>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</si>
  <si>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</si>
  <si>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</si>
  <si>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</si>
  <si>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</si>
  <si>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</si>
  <si>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</si>
  <si>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</si>
  <si>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</si>
  <si>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</si>
  <si>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</si>
  <si>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</si>
  <si>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</si>
  <si>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</si>
  <si>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</si>
  <si>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</si>
  <si>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</si>
  <si>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</si>
  <si>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</si>
  <si>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</si>
  <si>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</si>
  <si>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</si>
  <si>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</si>
  <si>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</si>
  <si>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</si>
  <si>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</si>
  <si>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38025</t>
  </si>
  <si>
    <t>VEURNE</t>
  </si>
  <si>
    <t>Paarden&amp;pony's 200 - 600 kg</t>
  </si>
  <si>
    <t>Paarden&amp;pony's &lt; 200 kg</t>
  </si>
  <si>
    <t>op basis van VEA (maart 2018) en Inventaris Hernieuwbare Energiebronnen (juni 2018)</t>
  </si>
  <si>
    <t>VEA (juni 2018)</t>
  </si>
  <si>
    <t>AZ Sint-Augustinus Veurne</t>
  </si>
  <si>
    <t>Ieperse Steenweg 100 , 8630 Veurne</t>
  </si>
  <si>
    <t>WKK-0251 AZ Sint-Augustinus Veurne</t>
  </si>
  <si>
    <t>interne verbrandingsmotor</t>
  </si>
  <si>
    <t>WKK interne verbrandinsgmotor (gas)</t>
  </si>
  <si>
    <t>GASELWEST</t>
  </si>
  <si>
    <t>Biolectric nv</t>
  </si>
  <si>
    <t>Jan de Malschelaan 4 B, 9140 Temse</t>
  </si>
  <si>
    <t>WKK-0454 Pieter De Zeure</t>
  </si>
  <si>
    <t>Zwart-Paardstraat 2 , 8630 Veurne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</si>
</sst>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38025</v>
      </c>
      <c r="B6" s="397"/>
      <c r="C6" s="398"/>
    </row>
    <row r="7" spans="1:7" s="395" customFormat="1" ht="15.75" customHeight="1">
      <c r="A7" s="399" t="str">
        <f>txtMunicipality</f>
        <v>VEURNE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0.2036466892276913</v>
      </c>
      <c r="C17" s="510">
        <f ca="1">'EF ele_warmte'!B22</f>
        <v>0.2369887567215252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0.2036466892276913</v>
      </c>
      <c r="C29" s="511">
        <f ca="1">'EF ele_warmte'!B22</f>
        <v>0.2369887567215252</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38025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4822</v>
      </c>
      <c r="C9" s="338">
        <v>4863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8113</v>
      </c>
    </row>
    <row r="15" spans="1:6">
      <c r="A15" s="1286" t="s">
        <v>184</v>
      </c>
      <c r="B15" s="335">
        <v>1278</v>
      </c>
    </row>
    <row r="16" spans="1:6">
      <c r="A16" s="1286" t="s">
        <v>6</v>
      </c>
      <c r="B16" s="335">
        <v>2019</v>
      </c>
    </row>
    <row r="17" spans="1:6">
      <c r="A17" s="1286" t="s">
        <v>7</v>
      </c>
      <c r="B17" s="335">
        <v>2062</v>
      </c>
    </row>
    <row r="18" spans="1:6">
      <c r="A18" s="1286" t="s">
        <v>8</v>
      </c>
      <c r="B18" s="335">
        <v>2807</v>
      </c>
    </row>
    <row r="19" spans="1:6">
      <c r="A19" s="1286" t="s">
        <v>9</v>
      </c>
      <c r="B19" s="335">
        <v>2852</v>
      </c>
    </row>
    <row r="20" spans="1:6">
      <c r="A20" s="1286" t="s">
        <v>10</v>
      </c>
      <c r="B20" s="335">
        <v>1511</v>
      </c>
    </row>
    <row r="21" spans="1:6">
      <c r="A21" s="1286" t="s">
        <v>11</v>
      </c>
      <c r="B21" s="335">
        <v>22892</v>
      </c>
    </row>
    <row r="22" spans="1:6">
      <c r="A22" s="1286" t="s">
        <v>12</v>
      </c>
      <c r="B22" s="335">
        <v>46474</v>
      </c>
    </row>
    <row r="23" spans="1:6">
      <c r="A23" s="1286" t="s">
        <v>13</v>
      </c>
      <c r="B23" s="335">
        <v>1038</v>
      </c>
    </row>
    <row r="24" spans="1:6">
      <c r="A24" s="1286" t="s">
        <v>14</v>
      </c>
      <c r="B24" s="335">
        <v>68</v>
      </c>
    </row>
    <row r="25" spans="1:6">
      <c r="A25" s="1286" t="s">
        <v>15</v>
      </c>
      <c r="B25" s="335">
        <v>6339</v>
      </c>
    </row>
    <row r="26" spans="1:6">
      <c r="A26" s="1286" t="s">
        <v>16</v>
      </c>
      <c r="B26" s="335">
        <v>461</v>
      </c>
    </row>
    <row r="27" spans="1:6">
      <c r="A27" s="1286" t="s">
        <v>17</v>
      </c>
      <c r="B27" s="335">
        <v>10</v>
      </c>
    </row>
    <row r="28" spans="1:6" s="341" customFormat="1">
      <c r="A28" s="1287" t="s">
        <v>18</v>
      </c>
      <c r="B28" s="1287">
        <v>662439</v>
      </c>
    </row>
    <row r="29" spans="1:6">
      <c r="A29" s="1287" t="s">
        <v>944</v>
      </c>
      <c r="B29" s="1287">
        <v>136</v>
      </c>
      <c r="C29" s="341"/>
      <c r="D29" s="341"/>
      <c r="E29" s="341"/>
      <c r="F29" s="341"/>
    </row>
    <row r="30" spans="1:6">
      <c r="A30" s="1282" t="s">
        <v>945</v>
      </c>
      <c r="B30" s="1282">
        <v>48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11</v>
      </c>
      <c r="F36" s="335">
        <v>51944.472093165801</v>
      </c>
    </row>
    <row r="37" spans="1:6">
      <c r="A37" s="1286" t="s">
        <v>25</v>
      </c>
      <c r="B37" s="1286" t="s">
        <v>28</v>
      </c>
      <c r="C37" s="335">
        <v>0</v>
      </c>
      <c r="D37" s="335">
        <v>0</v>
      </c>
      <c r="E37" s="335">
        <v>0</v>
      </c>
      <c r="F37" s="335">
        <v>0</v>
      </c>
    </row>
    <row r="38" spans="1:6">
      <c r="A38" s="1286" t="s">
        <v>25</v>
      </c>
      <c r="B38" s="1286" t="s">
        <v>29</v>
      </c>
      <c r="C38" s="335">
        <v>4</v>
      </c>
      <c r="D38" s="335">
        <v>458562.58569982601</v>
      </c>
      <c r="E38" s="335">
        <v>2</v>
      </c>
      <c r="F38" s="335">
        <v>20226.6073099514</v>
      </c>
    </row>
    <row r="39" spans="1:6">
      <c r="A39" s="1286" t="s">
        <v>30</v>
      </c>
      <c r="B39" s="1286" t="s">
        <v>31</v>
      </c>
      <c r="C39" s="335">
        <v>3332</v>
      </c>
      <c r="D39" s="335">
        <v>54081128.951395698</v>
      </c>
      <c r="E39" s="335">
        <v>4564</v>
      </c>
      <c r="F39" s="335">
        <v>17299498.9560639</v>
      </c>
    </row>
    <row r="40" spans="1:6">
      <c r="A40" s="1286" t="s">
        <v>30</v>
      </c>
      <c r="B40" s="1286" t="s">
        <v>29</v>
      </c>
      <c r="C40" s="335">
        <v>0</v>
      </c>
      <c r="D40" s="335">
        <v>0</v>
      </c>
      <c r="E40" s="335">
        <v>0</v>
      </c>
      <c r="F40" s="335">
        <v>0</v>
      </c>
    </row>
    <row r="41" spans="1:6">
      <c r="A41" s="1286" t="s">
        <v>32</v>
      </c>
      <c r="B41" s="1286" t="s">
        <v>33</v>
      </c>
      <c r="C41" s="335">
        <v>54</v>
      </c>
      <c r="D41" s="335">
        <v>1871759.24393923</v>
      </c>
      <c r="E41" s="335">
        <v>134</v>
      </c>
      <c r="F41" s="335">
        <v>6783380.9830294102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5</v>
      </c>
      <c r="D44" s="335">
        <v>167926.45817940199</v>
      </c>
      <c r="E44" s="335">
        <v>23</v>
      </c>
      <c r="F44" s="335">
        <v>1327295.7034470099</v>
      </c>
    </row>
    <row r="45" spans="1:6">
      <c r="A45" s="1286" t="s">
        <v>32</v>
      </c>
      <c r="B45" s="1286" t="s">
        <v>37</v>
      </c>
      <c r="C45" s="335">
        <v>0</v>
      </c>
      <c r="D45" s="335">
        <v>0</v>
      </c>
      <c r="E45" s="335">
        <v>3</v>
      </c>
      <c r="F45" s="335">
        <v>79910.400769375905</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34</v>
      </c>
      <c r="D48" s="335">
        <v>166738571.894472</v>
      </c>
      <c r="E48" s="335">
        <v>38</v>
      </c>
      <c r="F48" s="335">
        <v>31060095.792167298</v>
      </c>
    </row>
    <row r="49" spans="1:6">
      <c r="A49" s="1286" t="s">
        <v>32</v>
      </c>
      <c r="B49" s="1286" t="s">
        <v>40</v>
      </c>
      <c r="C49" s="335">
        <v>0</v>
      </c>
      <c r="D49" s="335">
        <v>0</v>
      </c>
      <c r="E49" s="335">
        <v>0</v>
      </c>
      <c r="F49" s="335">
        <v>0</v>
      </c>
    </row>
    <row r="50" spans="1:6">
      <c r="A50" s="1286" t="s">
        <v>32</v>
      </c>
      <c r="B50" s="1286" t="s">
        <v>41</v>
      </c>
      <c r="C50" s="335">
        <v>13</v>
      </c>
      <c r="D50" s="335">
        <v>4933075.70734182</v>
      </c>
      <c r="E50" s="335">
        <v>25</v>
      </c>
      <c r="F50" s="335">
        <v>15470966.8616395</v>
      </c>
    </row>
    <row r="51" spans="1:6">
      <c r="A51" s="1286" t="s">
        <v>42</v>
      </c>
      <c r="B51" s="1286" t="s">
        <v>43</v>
      </c>
      <c r="C51" s="335">
        <v>14</v>
      </c>
      <c r="D51" s="335">
        <v>275610.26639062702</v>
      </c>
      <c r="E51" s="335">
        <v>200</v>
      </c>
      <c r="F51" s="335">
        <v>5367786.7937233103</v>
      </c>
    </row>
    <row r="52" spans="1:6">
      <c r="A52" s="1286" t="s">
        <v>42</v>
      </c>
      <c r="B52" s="1286" t="s">
        <v>29</v>
      </c>
      <c r="C52" s="335">
        <v>1</v>
      </c>
      <c r="D52" s="335">
        <v>2932.4071316118002</v>
      </c>
      <c r="E52" s="335">
        <v>12</v>
      </c>
      <c r="F52" s="335">
        <v>238018.766012673</v>
      </c>
    </row>
    <row r="53" spans="1:6">
      <c r="A53" s="1286" t="s">
        <v>44</v>
      </c>
      <c r="B53" s="1286" t="s">
        <v>45</v>
      </c>
      <c r="C53" s="335">
        <v>138</v>
      </c>
      <c r="D53" s="335">
        <v>3213243.25712298</v>
      </c>
      <c r="E53" s="335">
        <v>241</v>
      </c>
      <c r="F53" s="335">
        <v>1215724.2573786499</v>
      </c>
    </row>
    <row r="54" spans="1:6">
      <c r="A54" s="1286" t="s">
        <v>46</v>
      </c>
      <c r="B54" s="1286" t="s">
        <v>47</v>
      </c>
      <c r="C54" s="335">
        <v>0</v>
      </c>
      <c r="D54" s="335">
        <v>0</v>
      </c>
      <c r="E54" s="335">
        <v>1</v>
      </c>
      <c r="F54" s="335">
        <v>939000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38</v>
      </c>
      <c r="D57" s="335">
        <v>1438537.05537637</v>
      </c>
      <c r="E57" s="335">
        <v>65</v>
      </c>
      <c r="F57" s="335">
        <v>1035396.5770683</v>
      </c>
    </row>
    <row r="58" spans="1:6">
      <c r="A58" s="1286" t="s">
        <v>49</v>
      </c>
      <c r="B58" s="1286" t="s">
        <v>51</v>
      </c>
      <c r="C58" s="335">
        <v>16</v>
      </c>
      <c r="D58" s="335">
        <v>979265.10551471903</v>
      </c>
      <c r="E58" s="335">
        <v>22</v>
      </c>
      <c r="F58" s="335">
        <v>978747.23934540898</v>
      </c>
    </row>
    <row r="59" spans="1:6">
      <c r="A59" s="1286" t="s">
        <v>49</v>
      </c>
      <c r="B59" s="1286" t="s">
        <v>52</v>
      </c>
      <c r="C59" s="335">
        <v>123</v>
      </c>
      <c r="D59" s="335">
        <v>5923328.36873715</v>
      </c>
      <c r="E59" s="335">
        <v>218</v>
      </c>
      <c r="F59" s="335">
        <v>8974979.2136028502</v>
      </c>
    </row>
    <row r="60" spans="1:6">
      <c r="A60" s="1286" t="s">
        <v>49</v>
      </c>
      <c r="B60" s="1286" t="s">
        <v>53</v>
      </c>
      <c r="C60" s="335">
        <v>73</v>
      </c>
      <c r="D60" s="335">
        <v>4195542.3251985405</v>
      </c>
      <c r="E60" s="335">
        <v>89</v>
      </c>
      <c r="F60" s="335">
        <v>2488913.8741941201</v>
      </c>
    </row>
    <row r="61" spans="1:6">
      <c r="A61" s="1286" t="s">
        <v>49</v>
      </c>
      <c r="B61" s="1286" t="s">
        <v>54</v>
      </c>
      <c r="C61" s="335">
        <v>160</v>
      </c>
      <c r="D61" s="335">
        <v>10147510.7449094</v>
      </c>
      <c r="E61" s="335">
        <v>393</v>
      </c>
      <c r="F61" s="335">
        <v>5269555.9854997201</v>
      </c>
    </row>
    <row r="62" spans="1:6">
      <c r="A62" s="1286" t="s">
        <v>49</v>
      </c>
      <c r="B62" s="1286" t="s">
        <v>55</v>
      </c>
      <c r="C62" s="335">
        <v>16</v>
      </c>
      <c r="D62" s="335">
        <v>2087095.3471834899</v>
      </c>
      <c r="E62" s="335">
        <v>13</v>
      </c>
      <c r="F62" s="335">
        <v>747193.43156596995</v>
      </c>
    </row>
    <row r="63" spans="1:6">
      <c r="A63" s="1286" t="s">
        <v>49</v>
      </c>
      <c r="B63" s="1286" t="s">
        <v>29</v>
      </c>
      <c r="C63" s="335">
        <v>89</v>
      </c>
      <c r="D63" s="335">
        <v>12018974.346671101</v>
      </c>
      <c r="E63" s="335">
        <v>86</v>
      </c>
      <c r="F63" s="335">
        <v>6642172.7749760803</v>
      </c>
    </row>
    <row r="64" spans="1:6">
      <c r="A64" s="1286" t="s">
        <v>56</v>
      </c>
      <c r="B64" s="1286" t="s">
        <v>57</v>
      </c>
      <c r="C64" s="335">
        <v>0</v>
      </c>
      <c r="D64" s="335">
        <v>0</v>
      </c>
      <c r="E64" s="335">
        <v>0</v>
      </c>
      <c r="F64" s="335">
        <v>0</v>
      </c>
    </row>
    <row r="65" spans="1:6">
      <c r="A65" s="1286" t="s">
        <v>56</v>
      </c>
      <c r="B65" s="1286" t="s">
        <v>29</v>
      </c>
      <c r="C65" s="335">
        <v>1</v>
      </c>
      <c r="D65" s="335">
        <v>20718.2158741858</v>
      </c>
      <c r="E65" s="335">
        <v>4</v>
      </c>
      <c r="F65" s="335">
        <v>241736.60084081101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815600.76529194601</v>
      </c>
      <c r="E68" s="335">
        <v>8</v>
      </c>
      <c r="F68" s="335">
        <v>171747.40228292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72727774</v>
      </c>
      <c r="E73" s="335">
        <v>73220889.765082404</v>
      </c>
    </row>
    <row r="74" spans="1:6">
      <c r="A74" s="1286" t="s">
        <v>64</v>
      </c>
      <c r="B74" s="1286" t="s">
        <v>772</v>
      </c>
      <c r="C74" s="1297" t="s">
        <v>766</v>
      </c>
      <c r="D74" s="335">
        <v>7018409.2980885608</v>
      </c>
      <c r="E74" s="335">
        <v>7330380.7005077014</v>
      </c>
    </row>
    <row r="75" spans="1:6">
      <c r="A75" s="1286" t="s">
        <v>65</v>
      </c>
      <c r="B75" s="1286" t="s">
        <v>771</v>
      </c>
      <c r="C75" s="1297" t="s">
        <v>767</v>
      </c>
      <c r="D75" s="335">
        <v>17523348</v>
      </c>
      <c r="E75" s="335">
        <v>16954827.123776481</v>
      </c>
    </row>
    <row r="76" spans="1:6">
      <c r="A76" s="1286" t="s">
        <v>65</v>
      </c>
      <c r="B76" s="1286" t="s">
        <v>772</v>
      </c>
      <c r="C76" s="1297" t="s">
        <v>768</v>
      </c>
      <c r="D76" s="335">
        <v>2090693.2980885608</v>
      </c>
      <c r="E76" s="335">
        <v>2095326.5470971304</v>
      </c>
    </row>
    <row r="77" spans="1:6">
      <c r="A77" s="1286" t="s">
        <v>66</v>
      </c>
      <c r="B77" s="1286" t="s">
        <v>771</v>
      </c>
      <c r="C77" s="1297" t="s">
        <v>769</v>
      </c>
      <c r="D77" s="335">
        <v>61513554</v>
      </c>
      <c r="E77" s="335">
        <v>69248230.138133615</v>
      </c>
    </row>
    <row r="78" spans="1:6">
      <c r="A78" s="1282" t="s">
        <v>66</v>
      </c>
      <c r="B78" s="1282" t="s">
        <v>772</v>
      </c>
      <c r="C78" s="1282" t="s">
        <v>770</v>
      </c>
      <c r="D78" s="1282">
        <v>22668621</v>
      </c>
      <c r="E78" s="1282">
        <v>27069968.470664743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338835.40382287838</v>
      </c>
      <c r="C83" s="335">
        <v>319809.23211344297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2267.0131364631989</v>
      </c>
    </row>
    <row r="92" spans="1:6">
      <c r="A92" s="1282" t="s">
        <v>69</v>
      </c>
      <c r="B92" s="338">
        <v>6425.9924130100053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2583</v>
      </c>
    </row>
    <row r="98" spans="1:6">
      <c r="A98" s="1286" t="s">
        <v>72</v>
      </c>
      <c r="B98" s="335">
        <v>0</v>
      </c>
    </row>
    <row r="99" spans="1:6">
      <c r="A99" s="1286" t="s">
        <v>73</v>
      </c>
      <c r="B99" s="335">
        <v>141</v>
      </c>
    </row>
    <row r="100" spans="1:6">
      <c r="A100" s="1286" t="s">
        <v>74</v>
      </c>
      <c r="B100" s="335">
        <v>366</v>
      </c>
    </row>
    <row r="101" spans="1:6">
      <c r="A101" s="1286" t="s">
        <v>75</v>
      </c>
      <c r="B101" s="335">
        <v>85</v>
      </c>
    </row>
    <row r="102" spans="1:6">
      <c r="A102" s="1286" t="s">
        <v>76</v>
      </c>
      <c r="B102" s="335">
        <v>65</v>
      </c>
    </row>
    <row r="103" spans="1:6">
      <c r="A103" s="1286" t="s">
        <v>77</v>
      </c>
      <c r="B103" s="335">
        <v>106</v>
      </c>
    </row>
    <row r="104" spans="1:6">
      <c r="A104" s="1286" t="s">
        <v>78</v>
      </c>
      <c r="B104" s="335">
        <v>1077</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3</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66</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109498.34388008062</v>
      </c>
      <c r="C3" s="44" t="s">
        <v>170</v>
      </c>
      <c r="D3" s="44"/>
      <c r="E3" s="157"/>
      <c r="F3" s="44"/>
      <c r="G3" s="44"/>
      <c r="H3" s="44"/>
      <c r="I3" s="44"/>
      <c r="J3" s="44"/>
      <c r="K3" s="97"/>
    </row>
    <row r="4" spans="1:11">
      <c r="A4" s="365" t="s">
        <v>171</v>
      </c>
      <c r="B4" s="50">
        <f>IF(ISERROR('SEAP template'!B78+'SEAP template'!C78),0,'SEAP template'!B78+'SEAP template'!C78)</f>
        <v>10006.143049473205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311.19882352941175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0.2036466892276913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444.56974789915972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1875.9107142857144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0.2369887567215252</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939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939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0.2036466892276913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191.22424118480214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17299.498956063901</v>
      </c>
      <c r="C5" s="18">
        <f>IF(ISERROR('Eigen informatie GS &amp; warmtenet'!B57),0,'Eigen informatie GS &amp; warmtenet'!B57)</f>
        <v>0</v>
      </c>
      <c r="D5" s="31">
        <f>(SUM(HH_hh_gas_kWh,HH_rest_gas_kWh)/1000)*0.902</f>
        <v>48781.178314158919</v>
      </c>
      <c r="E5" s="18">
        <f>B46*B57</f>
        <v>5474.2288952380577</v>
      </c>
      <c r="F5" s="18">
        <f>B51*B62</f>
        <v>7953.19938029478</v>
      </c>
      <c r="G5" s="19"/>
      <c r="H5" s="18"/>
      <c r="I5" s="18"/>
      <c r="J5" s="18">
        <f>B50*B61+C50*C61</f>
        <v>981.42328534896342</v>
      </c>
      <c r="K5" s="18"/>
      <c r="L5" s="18"/>
      <c r="M5" s="18"/>
      <c r="N5" s="18">
        <f>B48*B59+C48*C59</f>
        <v>10717.107827365531</v>
      </c>
      <c r="O5" s="18">
        <f>B69*B70*B71</f>
        <v>109.43333333333334</v>
      </c>
      <c r="P5" s="18">
        <f>B77*B78*B79/1000-B77*B78*B79/1000/B80</f>
        <v>247.86666666666667</v>
      </c>
    </row>
    <row r="6" spans="1:16">
      <c r="A6" s="17" t="s">
        <v>639</v>
      </c>
      <c r="B6" s="780">
        <f>kWh_PV_kleiner_dan_10kW</f>
        <v>2267.0131364631989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19566.5120925271</v>
      </c>
      <c r="C8" s="22">
        <f>C5</f>
        <v>0</v>
      </c>
      <c r="D8" s="22">
        <f>D5</f>
        <v>48781.178314158919</v>
      </c>
      <c r="E8" s="22">
        <f>E5</f>
        <v>5474.2288952380577</v>
      </c>
      <c r="F8" s="22">
        <f>F5</f>
        <v>7953.19938029478</v>
      </c>
      <c r="G8" s="22"/>
      <c r="H8" s="22"/>
      <c r="I8" s="22"/>
      <c r="J8" s="22">
        <f>J5</f>
        <v>981.42328534896342</v>
      </c>
      <c r="K8" s="22"/>
      <c r="L8" s="22">
        <f>L5</f>
        <v>0</v>
      </c>
      <c r="M8" s="22">
        <f>M5</f>
        <v>0</v>
      </c>
      <c r="N8" s="22">
        <f>N5</f>
        <v>10717.107827365531</v>
      </c>
      <c r="O8" s="22">
        <f>O5</f>
        <v>109.43333333333334</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0.2036466892276913</v>
      </c>
      <c r="C10" s="26">
        <f ca="1">'EF ele_warmte'!B22</f>
        <v>0.2369887567215252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3984.6554073767302</v>
      </c>
      <c r="C12" s="24">
        <f ca="1">C10*C8</f>
        <v>0</v>
      </c>
      <c r="D12" s="24">
        <f>D8*D10</f>
        <v>9853.7980194601023</v>
      </c>
      <c r="E12" s="24">
        <f>E10*E8</f>
        <v>1242.6499592190391</v>
      </c>
      <c r="F12" s="24">
        <f>F10*F8</f>
        <v>2123.5042345387064</v>
      </c>
      <c r="G12" s="24"/>
      <c r="H12" s="24"/>
      <c r="I12" s="24"/>
      <c r="J12" s="24">
        <f>J10*J8</f>
        <v>347.42384301353303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2583</v>
      </c>
      <c r="C18" s="169" t="s">
        <v>111</v>
      </c>
      <c r="D18" s="231"/>
      <c r="E18" s="16"/>
    </row>
    <row r="19" spans="1:7">
      <c r="A19" s="174" t="s">
        <v>72</v>
      </c>
      <c r="B19" s="38">
        <f>aantalw2001_ander</f>
        <v>0</v>
      </c>
      <c r="C19" s="169" t="s">
        <v>111</v>
      </c>
      <c r="D19" s="232"/>
      <c r="E19" s="16"/>
    </row>
    <row r="20" spans="1:7">
      <c r="A20" s="174" t="s">
        <v>73</v>
      </c>
      <c r="B20" s="38">
        <f>aantalw2001_propaan</f>
        <v>141</v>
      </c>
      <c r="C20" s="170">
        <f>IF(ISERROR(B20/SUM($B$20,$B$21,$B$22)*100),0,B20/SUM($B$20,$B$21,$B$22)*100)</f>
        <v>23.817567567567568</v>
      </c>
      <c r="D20" s="232"/>
      <c r="E20" s="16"/>
    </row>
    <row r="21" spans="1:7">
      <c r="A21" s="174" t="s">
        <v>74</v>
      </c>
      <c r="B21" s="38">
        <f>aantalw2001_elektriciteit</f>
        <v>366</v>
      </c>
      <c r="C21" s="170">
        <f>IF(ISERROR(B21/SUM($B$20,$B$21,$B$22)*100),0,B21/SUM($B$20,$B$21,$B$22)*100)</f>
        <v>61.824324324324323</v>
      </c>
      <c r="D21" s="232"/>
      <c r="E21" s="16"/>
    </row>
    <row r="22" spans="1:7">
      <c r="A22" s="174" t="s">
        <v>75</v>
      </c>
      <c r="B22" s="38">
        <f>aantalw2001_hout</f>
        <v>85</v>
      </c>
      <c r="C22" s="170">
        <f>IF(ISERROR(B22/SUM($B$20,$B$21,$B$22)*100),0,B22/SUM($B$20,$B$21,$B$22)*100)</f>
        <v>14.358108108108109</v>
      </c>
      <c r="D22" s="232"/>
      <c r="E22" s="16"/>
    </row>
    <row r="23" spans="1:7">
      <c r="A23" s="174" t="s">
        <v>76</v>
      </c>
      <c r="B23" s="38">
        <f>aantalw2001_niet_gespec</f>
        <v>65</v>
      </c>
      <c r="C23" s="169" t="s">
        <v>111</v>
      </c>
      <c r="D23" s="231"/>
      <c r="E23" s="16"/>
    </row>
    <row r="24" spans="1:7">
      <c r="A24" s="174" t="s">
        <v>77</v>
      </c>
      <c r="B24" s="38">
        <f>aantalw2001_steenkool</f>
        <v>106</v>
      </c>
      <c r="C24" s="169" t="s">
        <v>111</v>
      </c>
      <c r="D24" s="232"/>
      <c r="E24" s="16"/>
    </row>
    <row r="25" spans="1:7">
      <c r="A25" s="174" t="s">
        <v>78</v>
      </c>
      <c r="B25" s="38">
        <f>aantalw2001_stookolie</f>
        <v>1077</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4822</v>
      </c>
      <c r="C28" s="37"/>
      <c r="D28" s="231"/>
    </row>
    <row r="29" spans="1:7" s="16" customFormat="1">
      <c r="A29" s="233" t="s">
        <v>666</v>
      </c>
      <c r="B29" s="38">
        <f>SUM(HH_hh_gas_aantal,HH_rest_gas_aantal)</f>
        <v>3332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3332</v>
      </c>
      <c r="C32" s="170">
        <f>IF(ISERROR(B32/SUM($B$32,$B$34,$B$35,$B$36,$B$38,$B$39)*100),0,B32/SUM($B$32,$B$34,$B$35,$B$36,$B$38,$B$39)*100)</f>
        <v>69.286754002911209</v>
      </c>
      <c r="D32" s="236"/>
      <c r="G32" s="16"/>
    </row>
    <row r="33" spans="1:7">
      <c r="A33" s="174" t="s">
        <v>72</v>
      </c>
      <c r="B33" s="35" t="s">
        <v>111</v>
      </c>
      <c r="C33" s="170"/>
      <c r="D33" s="236"/>
      <c r="G33" s="16"/>
    </row>
    <row r="34" spans="1:7">
      <c r="A34" s="174" t="s">
        <v>73</v>
      </c>
      <c r="B34" s="34">
        <f>IF((($B$28-$B$32-$B$39-$B$77-$B$38)*C20/100)&lt;0,0,($B$28-$B$32-$B$39-$B$77-$B$38)*C20/100)</f>
        <v>248.41722972972974</v>
      </c>
      <c r="C34" s="170">
        <f>IF(ISERROR(B34/SUM($B$32,$B$34,$B$35,$B$36,$B$38,$B$39)*100),0,B34/SUM($B$32,$B$34,$B$35,$B$36,$B$38,$B$39)*100)</f>
        <v>5.1656733152366341</v>
      </c>
      <c r="D34" s="236"/>
      <c r="G34" s="16"/>
    </row>
    <row r="35" spans="1:7">
      <c r="A35" s="174" t="s">
        <v>74</v>
      </c>
      <c r="B35" s="34">
        <f>IF((($B$28-$B$32-$B$39-$B$77-$B$38)*C21/100)&lt;0,0,($B$28-$B$32-$B$39-$B$77-$B$38)*C21/100)</f>
        <v>644.82770270270271</v>
      </c>
      <c r="C35" s="170">
        <f>IF(ISERROR(B35/SUM($B$32,$B$34,$B$35,$B$36,$B$38,$B$39)*100),0,B35/SUM($B$32,$B$34,$B$35,$B$36,$B$38,$B$39)*100)</f>
        <v>13.408769031039775</v>
      </c>
      <c r="D35" s="236"/>
      <c r="G35" s="16"/>
    </row>
    <row r="36" spans="1:7">
      <c r="A36" s="174" t="s">
        <v>75</v>
      </c>
      <c r="B36" s="34">
        <f>IF((($B$28-$B$32-$B$39-$B$77-$B$38)*C22/100)&lt;0,0,($B$28-$B$32-$B$39-$B$77-$B$38)*C22/100)</f>
        <v>149.75506756756758</v>
      </c>
      <c r="C36" s="170">
        <f>IF(ISERROR(B36/SUM($B$32,$B$34,$B$35,$B$36,$B$38,$B$39)*100),0,B36/SUM($B$32,$B$34,$B$35,$B$36,$B$38,$B$39)*100)</f>
        <v>3.1140583815256306</v>
      </c>
      <c r="D36" s="236"/>
      <c r="G36" s="16"/>
    </row>
    <row r="37" spans="1:7">
      <c r="A37" s="174" t="s">
        <v>76</v>
      </c>
      <c r="B37" s="35" t="s">
        <v>111</v>
      </c>
      <c r="C37" s="170"/>
      <c r="D37" s="176"/>
      <c r="G37" s="16"/>
    </row>
    <row r="38" spans="1:7">
      <c r="A38" s="174" t="s">
        <v>77</v>
      </c>
      <c r="B38" s="34">
        <f>IF((B24-(B29-B18)*0.1)&lt;0,0,B24-(B29-B18)*0.1)</f>
        <v>31.099999999999994</v>
      </c>
      <c r="C38" s="170">
        <f>IF(ISERROR(B38/SUM($B$32,$B$34,$B$35,$B$36,$B$38,$B$39)*100),0,B38/SUM($B$32,$B$34,$B$35,$B$36,$B$38,$B$39)*100)</f>
        <v>0.64670409648575577</v>
      </c>
      <c r="D38" s="237"/>
      <c r="G38" s="16"/>
    </row>
    <row r="39" spans="1:7">
      <c r="A39" s="174" t="s">
        <v>78</v>
      </c>
      <c r="B39" s="34">
        <f>IF((B25-(B29-B18))&lt;0,0,B25-(B29-B18)*0.9)</f>
        <v>402.9</v>
      </c>
      <c r="C39" s="170">
        <f>IF(ISERROR(B39/SUM($B$32,$B$34,$B$35,$B$36,$B$38,$B$39)*100),0,B39/SUM($B$32,$B$34,$B$35,$B$36,$B$38,$B$39)*100)</f>
        <v>8.3780411728009963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3332</v>
      </c>
      <c r="C44" s="35" t="s">
        <v>111</v>
      </c>
      <c r="D44" s="177"/>
    </row>
    <row r="45" spans="1:7">
      <c r="A45" s="174" t="s">
        <v>72</v>
      </c>
      <c r="B45" s="34" t="str">
        <f t="shared" si="0"/>
        <v>-</v>
      </c>
      <c r="C45" s="35" t="s">
        <v>111</v>
      </c>
      <c r="D45" s="177"/>
    </row>
    <row r="46" spans="1:7">
      <c r="A46" s="174" t="s">
        <v>73</v>
      </c>
      <c r="B46" s="34">
        <f t="shared" si="0"/>
        <v>248.41722972972974</v>
      </c>
      <c r="C46" s="35" t="s">
        <v>111</v>
      </c>
      <c r="D46" s="177"/>
    </row>
    <row r="47" spans="1:7">
      <c r="A47" s="174" t="s">
        <v>74</v>
      </c>
      <c r="B47" s="34">
        <f t="shared" si="0"/>
        <v>644.82770270270271</v>
      </c>
      <c r="C47" s="35" t="s">
        <v>111</v>
      </c>
      <c r="D47" s="177"/>
    </row>
    <row r="48" spans="1:7">
      <c r="A48" s="174" t="s">
        <v>75</v>
      </c>
      <c r="B48" s="34">
        <f t="shared" si="0"/>
        <v>149.75506756756758</v>
      </c>
      <c r="C48" s="34">
        <f>B48*10</f>
        <v>1497.5506756756758</v>
      </c>
      <c r="D48" s="237"/>
    </row>
    <row r="49" spans="1:6">
      <c r="A49" s="174" t="s">
        <v>76</v>
      </c>
      <c r="B49" s="34" t="str">
        <f t="shared" si="0"/>
        <v>-</v>
      </c>
      <c r="C49" s="35" t="s">
        <v>111</v>
      </c>
      <c r="D49" s="237"/>
    </row>
    <row r="50" spans="1:6">
      <c r="A50" s="174" t="s">
        <v>77</v>
      </c>
      <c r="B50" s="34">
        <f t="shared" si="0"/>
        <v>31.099999999999994</v>
      </c>
      <c r="C50" s="34">
        <f>B50*2</f>
        <v>62.199999999999989</v>
      </c>
      <c r="D50" s="237"/>
    </row>
    <row r="51" spans="1:6">
      <c r="A51" s="174" t="s">
        <v>78</v>
      </c>
      <c r="B51" s="34">
        <f t="shared" si="0"/>
        <v>402.9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26136.959096252445</v>
      </c>
      <c r="C5" s="18">
        <f>IF(ISERROR('Eigen informatie GS &amp; warmtenet'!B58),0,'Eigen informatie GS &amp; warmtenet'!B58)</f>
        <v>0</v>
      </c>
      <c r="D5" s="31">
        <f>SUM(D6:D12)</f>
        <v>33184.808470818884</v>
      </c>
      <c r="E5" s="18">
        <f>SUM(E6:E12)</f>
        <v>253.42809789488507</v>
      </c>
      <c r="F5" s="18">
        <f>SUM(F6:F12)</f>
        <v>5273.6124559553573</v>
      </c>
      <c r="G5" s="19"/>
      <c r="H5" s="18"/>
      <c r="I5" s="18"/>
      <c r="J5" s="18">
        <f>SUM(J6:J12)</f>
        <v>0</v>
      </c>
      <c r="K5" s="18"/>
      <c r="L5" s="18"/>
      <c r="M5" s="18"/>
      <c r="N5" s="18">
        <f>SUM(N6:N12)</f>
        <v>1090.9824971005232</v>
      </c>
      <c r="O5" s="18">
        <f>B38*B39*B40</f>
        <v>0</v>
      </c>
      <c r="P5" s="18">
        <f>B46*B47*B48/1000-B46*B47*B48/1000/B49</f>
        <v>0</v>
      </c>
      <c r="R5" s="33"/>
    </row>
    <row r="6" spans="1:18">
      <c r="A6" s="33" t="s">
        <v>54</v>
      </c>
      <c r="B6" s="38">
        <f>B26</f>
        <v>5269.55598549972</v>
      </c>
      <c r="C6" s="34"/>
      <c r="D6" s="38">
        <f>IF(ISERROR(TER_kantoor_gas_kWh/1000),0,TER_kantoor_gas_kWh/1000)*0.902</f>
        <v>9153.054691908279</v>
      </c>
      <c r="E6" s="34">
        <f>$C$26*'E Balans VL '!I12/100/3.6*1000000</f>
        <v>8.6484093839381444</v>
      </c>
      <c r="F6" s="34">
        <f>$C$26*('E Balans VL '!L12+'E Balans VL '!N12)/100/3.6*1000000</f>
        <v>621.15666477107698</v>
      </c>
      <c r="G6" s="35"/>
      <c r="H6" s="34"/>
      <c r="I6" s="34"/>
      <c r="J6" s="34">
        <f>$C$26*('E Balans VL '!D12+'E Balans VL '!E12)/100/3.6*1000000</f>
        <v>0</v>
      </c>
      <c r="K6" s="34"/>
      <c r="L6" s="34"/>
      <c r="M6" s="34"/>
      <c r="N6" s="34">
        <f>$C$26*'E Balans VL '!Y12/100/3.6*1000000</f>
        <v>1.0646888334797577</v>
      </c>
      <c r="O6" s="34"/>
      <c r="P6" s="34"/>
      <c r="R6" s="33"/>
    </row>
    <row r="7" spans="1:18">
      <c r="A7" s="33" t="s">
        <v>53</v>
      </c>
      <c r="B7" s="38">
        <f t="shared" ref="B7:B12" si="0">B27</f>
        <v>2488.9138741941201</v>
      </c>
      <c r="C7" s="34"/>
      <c r="D7" s="38">
        <f>IF(ISERROR(TER_horeca_gas_kWh/1000),0,TER_horeca_gas_kWh/1000)*0.902</f>
        <v>3784.3791773290836</v>
      </c>
      <c r="E7" s="34">
        <f>$C$27*'E Balans VL '!I9/100/3.6*1000000</f>
        <v>129.15661990447799</v>
      </c>
      <c r="F7" s="34">
        <f>$C$27*('E Balans VL '!L9+'E Balans VL '!N9)/100/3.6*1000000</f>
        <v>567.97195205595608</v>
      </c>
      <c r="G7" s="35"/>
      <c r="H7" s="34"/>
      <c r="I7" s="34"/>
      <c r="J7" s="34">
        <f>$C$27*('E Balans VL '!D9+'E Balans VL '!E9)/100/3.6*1000000</f>
        <v>0</v>
      </c>
      <c r="K7" s="34"/>
      <c r="L7" s="34"/>
      <c r="M7" s="34"/>
      <c r="N7" s="34">
        <f>$C$27*'E Balans VL '!Y9/100/3.6*1000000</f>
        <v>0.26282816452035507</v>
      </c>
      <c r="O7" s="34"/>
      <c r="P7" s="34"/>
      <c r="R7" s="33"/>
    </row>
    <row r="8" spans="1:18">
      <c r="A8" s="6" t="s">
        <v>52</v>
      </c>
      <c r="B8" s="38">
        <f t="shared" si="0"/>
        <v>8974.97921360285</v>
      </c>
      <c r="C8" s="34"/>
      <c r="D8" s="38">
        <f>IF(ISERROR(TER_handel_gas_kWh/1000),0,TER_handel_gas_kWh/1000)*0.902</f>
        <v>5342.84218860091</v>
      </c>
      <c r="E8" s="34">
        <f>$C$28*'E Balans VL '!I13/100/3.6*1000000</f>
        <v>48.331365943612319</v>
      </c>
      <c r="F8" s="34">
        <f>$C$28*('E Balans VL '!L13+'E Balans VL '!N13)/100/3.6*1000000</f>
        <v>1830.2649740139307</v>
      </c>
      <c r="G8" s="35"/>
      <c r="H8" s="34"/>
      <c r="I8" s="34"/>
      <c r="J8" s="34">
        <f>$C$28*('E Balans VL '!D13+'E Balans VL '!E13)/100/3.6*1000000</f>
        <v>0</v>
      </c>
      <c r="K8" s="34"/>
      <c r="L8" s="34"/>
      <c r="M8" s="34"/>
      <c r="N8" s="34">
        <f>$C$28*'E Balans VL '!Y13/100/3.6*1000000</f>
        <v>44.627832078515162</v>
      </c>
      <c r="O8" s="34"/>
      <c r="P8" s="34"/>
      <c r="R8" s="33"/>
    </row>
    <row r="9" spans="1:18">
      <c r="A9" s="33" t="s">
        <v>51</v>
      </c>
      <c r="B9" s="38">
        <f t="shared" si="0"/>
        <v>978.74723934540896</v>
      </c>
      <c r="C9" s="34"/>
      <c r="D9" s="38">
        <f>IF(ISERROR(TER_gezond_gas_kWh/1000),0,TER_gezond_gas_kWh/1000)*0.902</f>
        <v>883.29712517427663</v>
      </c>
      <c r="E9" s="34">
        <f>$C$29*'E Balans VL '!I10/100/3.6*1000000</f>
        <v>0.96994964445884235</v>
      </c>
      <c r="F9" s="34">
        <f>$C$29*('E Balans VL '!L10+'E Balans VL '!N10)/100/3.6*1000000</f>
        <v>339.59708074599138</v>
      </c>
      <c r="G9" s="35"/>
      <c r="H9" s="34"/>
      <c r="I9" s="34"/>
      <c r="J9" s="34">
        <f>$C$29*('E Balans VL '!D10+'E Balans VL '!E10)/100/3.6*1000000</f>
        <v>0</v>
      </c>
      <c r="K9" s="34"/>
      <c r="L9" s="34"/>
      <c r="M9" s="34"/>
      <c r="N9" s="34">
        <f>$C$29*'E Balans VL '!Y10/100/3.6*1000000</f>
        <v>8.4337801729725452</v>
      </c>
      <c r="O9" s="34"/>
      <c r="P9" s="34"/>
      <c r="R9" s="33"/>
    </row>
    <row r="10" spans="1:18">
      <c r="A10" s="33" t="s">
        <v>50</v>
      </c>
      <c r="B10" s="38">
        <f t="shared" si="0"/>
        <v>1035.3965770683001</v>
      </c>
      <c r="C10" s="34"/>
      <c r="D10" s="38">
        <f>IF(ISERROR(TER_ander_gas_kWh/1000),0,TER_ander_gas_kWh/1000)*0.902</f>
        <v>1297.5604239494858</v>
      </c>
      <c r="E10" s="34">
        <f>$C$30*'E Balans VL '!I14/100/3.6*1000000</f>
        <v>8.4705788056008853</v>
      </c>
      <c r="F10" s="34">
        <f>$C$30*('E Balans VL '!L14+'E Balans VL '!N14)/100/3.6*1000000</f>
        <v>302.7078063942995</v>
      </c>
      <c r="G10" s="35"/>
      <c r="H10" s="34"/>
      <c r="I10" s="34"/>
      <c r="J10" s="34">
        <f>$C$30*('E Balans VL '!D14+'E Balans VL '!E14)/100/3.6*1000000</f>
        <v>0</v>
      </c>
      <c r="K10" s="34"/>
      <c r="L10" s="34"/>
      <c r="M10" s="34"/>
      <c r="N10" s="34">
        <f>$C$30*'E Balans VL '!Y14/100/3.6*1000000</f>
        <v>597.28796945846386</v>
      </c>
      <c r="O10" s="34"/>
      <c r="P10" s="34"/>
      <c r="R10" s="33"/>
    </row>
    <row r="11" spans="1:18">
      <c r="A11" s="33" t="s">
        <v>55</v>
      </c>
      <c r="B11" s="38">
        <f t="shared" si="0"/>
        <v>747.19343156596995</v>
      </c>
      <c r="C11" s="34"/>
      <c r="D11" s="38">
        <f>IF(ISERROR(TER_onderwijs_gas_kWh/1000),0,TER_onderwijs_gas_kWh/1000)*0.902</f>
        <v>1882.5600031595081</v>
      </c>
      <c r="E11" s="34">
        <f>$C$31*'E Balans VL '!I11/100/3.6*1000000</f>
        <v>0.46053850399630636</v>
      </c>
      <c r="F11" s="34">
        <f>$C$31*('E Balans VL '!L11+'E Balans VL '!N11)/100/3.6*1000000</f>
        <v>288.87708119394239</v>
      </c>
      <c r="G11" s="35"/>
      <c r="H11" s="34"/>
      <c r="I11" s="34"/>
      <c r="J11" s="34">
        <f>$C$31*('E Balans VL '!D11+'E Balans VL '!E11)/100/3.6*1000000</f>
        <v>0</v>
      </c>
      <c r="K11" s="34"/>
      <c r="L11" s="34"/>
      <c r="M11" s="34"/>
      <c r="N11" s="34">
        <f>$C$31*'E Balans VL '!Y11/100/3.6*1000000</f>
        <v>2.4304601127505117</v>
      </c>
      <c r="O11" s="34"/>
      <c r="P11" s="34"/>
      <c r="R11" s="33"/>
    </row>
    <row r="12" spans="1:18">
      <c r="A12" s="33" t="s">
        <v>260</v>
      </c>
      <c r="B12" s="38">
        <f t="shared" si="0"/>
        <v>6642.1727749760803</v>
      </c>
      <c r="C12" s="34"/>
      <c r="D12" s="38">
        <f>IF(ISERROR(TER_rest_gas_kWh/1000),0,TER_rest_gas_kWh/1000)*0.902</f>
        <v>10841.114860697333</v>
      </c>
      <c r="E12" s="34">
        <f>$C$32*'E Balans VL '!I8/100/3.6*1000000</f>
        <v>57.390635708800573</v>
      </c>
      <c r="F12" s="34">
        <f>$C$32*('E Balans VL '!L8+'E Balans VL '!N8)/100/3.6*1000000</f>
        <v>1323.0368967801601</v>
      </c>
      <c r="G12" s="35"/>
      <c r="H12" s="34"/>
      <c r="I12" s="34"/>
      <c r="J12" s="34">
        <f>$C$32*('E Balans VL '!D8+'E Balans VL '!E8)/100/3.6*1000000</f>
        <v>0</v>
      </c>
      <c r="K12" s="34"/>
      <c r="L12" s="34"/>
      <c r="M12" s="34"/>
      <c r="N12" s="34">
        <f>$C$32*'E Balans VL '!Y8/100/3.6*1000000</f>
        <v>436.87493827982098</v>
      </c>
      <c r="O12" s="34"/>
      <c r="P12" s="34"/>
      <c r="R12" s="33"/>
    </row>
    <row r="13" spans="1:18">
      <c r="A13" s="17" t="s">
        <v>502</v>
      </c>
      <c r="B13" s="250">
        <f ca="1">'lokale energieproductie'!N91+'lokale energieproductie'!N60</f>
        <v>1309.5</v>
      </c>
      <c r="C13" s="250">
        <f ca="1">'lokale energieproductie'!O91+'lokale energieproductie'!O60</f>
        <v>1870.7142857142858</v>
      </c>
      <c r="D13" s="312">
        <f ca="1">('lokale energieproductie'!P60+'lokale energieproductie'!P91)*(-1)</f>
        <v>-3741.4285714285716</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27446.459096252445</v>
      </c>
      <c r="C16" s="22">
        <f t="shared" ca="1" si="1"/>
        <v>1870.7142857142858</v>
      </c>
      <c r="D16" s="22">
        <f t="shared" ca="1" si="1"/>
        <v>29443.379899390311</v>
      </c>
      <c r="E16" s="22">
        <f t="shared" si="1"/>
        <v>253.42809789488507</v>
      </c>
      <c r="F16" s="22">
        <f t="shared" ca="1" si="1"/>
        <v>5273.6124559553573</v>
      </c>
      <c r="G16" s="22">
        <f t="shared" si="1"/>
        <v>0</v>
      </c>
      <c r="H16" s="22">
        <f t="shared" si="1"/>
        <v>0</v>
      </c>
      <c r="I16" s="22">
        <f t="shared" si="1"/>
        <v>0</v>
      </c>
      <c r="J16" s="22">
        <f t="shared" si="1"/>
        <v>0</v>
      </c>
      <c r="K16" s="22">
        <f t="shared" si="1"/>
        <v>0</v>
      </c>
      <c r="L16" s="22">
        <f t="shared" ca="1" si="1"/>
        <v>0</v>
      </c>
      <c r="M16" s="22">
        <f t="shared" si="1"/>
        <v>0</v>
      </c>
      <c r="N16" s="22">
        <f t="shared" ca="1" si="1"/>
        <v>1090.9824971005232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0.2036466892276913</v>
      </c>
      <c r="C18" s="26">
        <f ca="1">'EF ele_warmte'!B22</f>
        <v>0.2369887567215252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5589.3805259750625</v>
      </c>
      <c r="C20" s="24">
        <f t="shared" ref="C20:P20" ca="1" si="2">C16*C18</f>
        <v>443.33825275262467</v>
      </c>
      <c r="D20" s="24">
        <f t="shared" ca="1" si="2"/>
        <v>5947.5627396768432</v>
      </c>
      <c r="E20" s="24">
        <f t="shared" si="2"/>
        <v>57.528178222138912</v>
      </c>
      <c r="F20" s="24">
        <f t="shared" ca="1" si="2"/>
        <v>1408.0545257400804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5269.55598549972</v>
      </c>
      <c r="C26" s="40">
        <f>IF(ISERROR(B26*3.6/1000000/'E Balans VL '!Z12*100),0,B26*3.6/1000000/'E Balans VL '!Z12*100)</f>
        <v>0.11197428572968532</v>
      </c>
      <c r="D26" s="240" t="s">
        <v>707</v>
      </c>
      <c r="F26" s="6"/>
    </row>
    <row r="27" spans="1:18">
      <c r="A27" s="234" t="s">
        <v>53</v>
      </c>
      <c r="B27" s="34">
        <f>IF(ISERROR(TER_horeca_ele_kWh/1000),0,TER_horeca_ele_kWh/1000)</f>
        <v>2488.9138741941201</v>
      </c>
      <c r="C27" s="40">
        <f>IF(ISERROR(B27*3.6/1000000/'E Balans VL '!Z9*100),0,B27*3.6/1000000/'E Balans VL '!Z9*100)</f>
        <v>0.1958967685866001</v>
      </c>
      <c r="D27" s="240" t="s">
        <v>707</v>
      </c>
      <c r="F27" s="6"/>
    </row>
    <row r="28" spans="1:18">
      <c r="A28" s="174" t="s">
        <v>52</v>
      </c>
      <c r="B28" s="34">
        <f>IF(ISERROR(TER_handel_ele_kWh/1000),0,TER_handel_ele_kWh/1000)</f>
        <v>8974.97921360285</v>
      </c>
      <c r="C28" s="40">
        <f>IF(ISERROR(B28*3.6/1000000/'E Balans VL '!Z13*100),0,B28*3.6/1000000/'E Balans VL '!Z13*100)</f>
        <v>0.2513939709922613</v>
      </c>
      <c r="D28" s="240" t="s">
        <v>707</v>
      </c>
      <c r="F28" s="6"/>
    </row>
    <row r="29" spans="1:18">
      <c r="A29" s="234" t="s">
        <v>51</v>
      </c>
      <c r="B29" s="34">
        <f>IF(ISERROR(TER_gezond_ele_kWh/1000),0,TER_gezond_ele_kWh/1000)</f>
        <v>978.74723934540896</v>
      </c>
      <c r="C29" s="40">
        <f>IF(ISERROR(B29*3.6/1000000/'E Balans VL '!Z10*100),0,B29*3.6/1000000/'E Balans VL '!Z10*100)</f>
        <v>0.1252113680368297</v>
      </c>
      <c r="D29" s="240" t="s">
        <v>707</v>
      </c>
      <c r="F29" s="6"/>
    </row>
    <row r="30" spans="1:18">
      <c r="A30" s="234" t="s">
        <v>50</v>
      </c>
      <c r="B30" s="34">
        <f>IF(ISERROR(TER_ander_ele_kWh/1000),0,TER_ander_ele_kWh/1000)</f>
        <v>1035.3965770683001</v>
      </c>
      <c r="C30" s="40">
        <f>IF(ISERROR(B30*3.6/1000000/'E Balans VL '!Z14*100),0,B30*3.6/1000000/'E Balans VL '!Z14*100)</f>
        <v>7.7438939560744713E-2</v>
      </c>
      <c r="D30" s="240" t="s">
        <v>707</v>
      </c>
      <c r="F30" s="6"/>
    </row>
    <row r="31" spans="1:18">
      <c r="A31" s="234" t="s">
        <v>55</v>
      </c>
      <c r="B31" s="34">
        <f>IF(ISERROR(TER_onderwijs_ele_kWh/1000),0,TER_onderwijs_ele_kWh/1000)</f>
        <v>747.19343156596995</v>
      </c>
      <c r="C31" s="40">
        <f>IF(ISERROR(B31*3.6/1000000/'E Balans VL '!Z11*100),0,B31*3.6/1000000/'E Balans VL '!Z11*100)</f>
        <v>0.15777086093804035</v>
      </c>
      <c r="D31" s="240" t="s">
        <v>707</v>
      </c>
    </row>
    <row r="32" spans="1:18">
      <c r="A32" s="234" t="s">
        <v>260</v>
      </c>
      <c r="B32" s="34">
        <f>IF(ISERROR(TER_rest_ele_kWh/1000),0,TER_rest_ele_kWh/1000)</f>
        <v>6642.1727749760803</v>
      </c>
      <c r="C32" s="40">
        <f>IF(ISERROR(B32*3.6/1000000/'E Balans VL '!Z8*100),0,B32*3.6/1000000/'E Balans VL '!Z8*100)</f>
        <v>5.4717768087165816E-2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54721.649741052592</v>
      </c>
      <c r="C5" s="18">
        <f>IF(ISERROR('Eigen informatie GS &amp; warmtenet'!B59),0,'Eigen informatie GS &amp; warmtenet'!B59)</f>
        <v>0</v>
      </c>
      <c r="D5" s="31">
        <f>SUM(D6:D15)</f>
        <v>156687.62264014708</v>
      </c>
      <c r="E5" s="18">
        <f>SUM(E6:E15)</f>
        <v>484.53876958458829</v>
      </c>
      <c r="F5" s="18">
        <f>SUM(F6:F15)</f>
        <v>13428.299167768004</v>
      </c>
      <c r="G5" s="19"/>
      <c r="H5" s="18"/>
      <c r="I5" s="18"/>
      <c r="J5" s="18">
        <f>SUM(J6:J15)</f>
        <v>179.19016775175237</v>
      </c>
      <c r="K5" s="18"/>
      <c r="L5" s="18"/>
      <c r="M5" s="18"/>
      <c r="N5" s="18">
        <f>SUM(N6:N15)</f>
        <v>1701.0568943750786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1327.2957034470098</v>
      </c>
      <c r="C8" s="34"/>
      <c r="D8" s="38">
        <f>IF( ISERROR(IND_metaal_Gas_kWH/1000),0,IND_metaal_Gas_kWH/1000)*0.902</f>
        <v>151.46966527782061</v>
      </c>
      <c r="E8" s="34">
        <f>C30*'E Balans VL '!I18/100/3.6*1000000</f>
        <v>12.087442776208169</v>
      </c>
      <c r="F8" s="34">
        <f>C30*'E Balans VL '!L18/100/3.6*1000000+C30*'E Balans VL '!N18/100/3.6*1000000</f>
        <v>175.06022362796506</v>
      </c>
      <c r="G8" s="35"/>
      <c r="H8" s="34"/>
      <c r="I8" s="34"/>
      <c r="J8" s="41">
        <f>C30*'E Balans VL '!D18/100/3.6*1000000+C30*'E Balans VL '!E18/100/3.6*1000000</f>
        <v>21.76572237256465</v>
      </c>
      <c r="K8" s="34"/>
      <c r="L8" s="34"/>
      <c r="M8" s="34"/>
      <c r="N8" s="34">
        <f>C30*'E Balans VL '!Y18/100/3.6*1000000</f>
        <v>4.5613880658817205</v>
      </c>
      <c r="O8" s="34"/>
      <c r="P8" s="34"/>
      <c r="R8" s="33"/>
    </row>
    <row r="9" spans="1:18">
      <c r="A9" s="6" t="s">
        <v>33</v>
      </c>
      <c r="B9" s="38">
        <f t="shared" si="0"/>
        <v>6783.3809830294103</v>
      </c>
      <c r="C9" s="34"/>
      <c r="D9" s="38">
        <f>IF( ISERROR(IND_andere_gas_kWh/1000),0,IND_andere_gas_kWh/1000)*0.902</f>
        <v>1688.3268380331854</v>
      </c>
      <c r="E9" s="34">
        <f>C31*'E Balans VL '!I19/100/3.6*1000000</f>
        <v>39.208955774352376</v>
      </c>
      <c r="F9" s="34">
        <f>C31*'E Balans VL '!L19/100/3.6*1000000+C31*'E Balans VL '!N19/100/3.6*1000000</f>
        <v>5396.5059753765418</v>
      </c>
      <c r="G9" s="35"/>
      <c r="H9" s="34"/>
      <c r="I9" s="34"/>
      <c r="J9" s="41">
        <f>C31*'E Balans VL '!D19/100/3.6*1000000+C31*'E Balans VL '!E19/100/3.6*1000000</f>
        <v>0.64163249333275452</v>
      </c>
      <c r="K9" s="34"/>
      <c r="L9" s="34"/>
      <c r="M9" s="34"/>
      <c r="N9" s="34">
        <f>C31*'E Balans VL '!Y19/100/3.6*1000000</f>
        <v>513.94376445309115</v>
      </c>
      <c r="O9" s="34"/>
      <c r="P9" s="34"/>
      <c r="R9" s="33"/>
    </row>
    <row r="10" spans="1:18">
      <c r="A10" s="6" t="s">
        <v>41</v>
      </c>
      <c r="B10" s="38">
        <f t="shared" si="0"/>
        <v>15470.966861639499</v>
      </c>
      <c r="C10" s="34"/>
      <c r="D10" s="38">
        <f>IF( ISERROR(IND_voed_gas_kWh/1000),0,IND_voed_gas_kWh/1000)*0.902</f>
        <v>4449.6342880223219</v>
      </c>
      <c r="E10" s="34">
        <f>C32*'E Balans VL '!I20/100/3.6*1000000</f>
        <v>152.12007864021118</v>
      </c>
      <c r="F10" s="34">
        <f>C32*'E Balans VL '!L20/100/3.6*1000000+C32*'E Balans VL '!N20/100/3.6*1000000</f>
        <v>1718.2528070139051</v>
      </c>
      <c r="G10" s="35"/>
      <c r="H10" s="34"/>
      <c r="I10" s="34"/>
      <c r="J10" s="41">
        <f>C32*'E Balans VL '!D20/100/3.6*1000000+C32*'E Balans VL '!E20/100/3.6*1000000</f>
        <v>6.0978103798062511E-2</v>
      </c>
      <c r="K10" s="34"/>
      <c r="L10" s="34"/>
      <c r="M10" s="34"/>
      <c r="N10" s="34">
        <f>C32*'E Balans VL '!Y20/100/3.6*1000000</f>
        <v>229.08862767087183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79.910400769375912</v>
      </c>
      <c r="C12" s="34"/>
      <c r="D12" s="38">
        <f>IF( ISERROR(IND_min_gas_kWh/1000),0,IND_min_gas_kWh/1000)*0.902</f>
        <v>0</v>
      </c>
      <c r="E12" s="34">
        <f>C34*'E Balans VL '!I22/100/3.6*1000000</f>
        <v>2.0258708596685193</v>
      </c>
      <c r="F12" s="34">
        <f>C34*'E Balans VL '!L22/100/3.6*1000000+C34*'E Balans VL '!N22/100/3.6*1000000</f>
        <v>22.111486427802248</v>
      </c>
      <c r="G12" s="35"/>
      <c r="H12" s="34"/>
      <c r="I12" s="34"/>
      <c r="J12" s="41">
        <f>C34*'E Balans VL '!D22/100/3.6*1000000+C34*'E Balans VL '!E22/100/3.6*1000000</f>
        <v>0.52774434475013676</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31060.0957921673</v>
      </c>
      <c r="C15" s="34"/>
      <c r="D15" s="38">
        <f>IF( ISERROR(IND_rest_gas_kWh/1000),0,IND_rest_gas_kWh/1000)*0.902</f>
        <v>150398.19184881376</v>
      </c>
      <c r="E15" s="34">
        <f>C37*'E Balans VL '!I15/100/3.6*1000000</f>
        <v>279.09642153414808</v>
      </c>
      <c r="F15" s="34">
        <f>C37*'E Balans VL '!L15/100/3.6*1000000+C37*'E Balans VL '!N15/100/3.6*1000000</f>
        <v>6116.3686753217889</v>
      </c>
      <c r="G15" s="35"/>
      <c r="H15" s="34"/>
      <c r="I15" s="34"/>
      <c r="J15" s="41">
        <f>C37*'E Balans VL '!D15/100/3.6*1000000+C37*'E Balans VL '!E15/100/3.6*1000000</f>
        <v>156.19409043730676</v>
      </c>
      <c r="K15" s="34"/>
      <c r="L15" s="34"/>
      <c r="M15" s="34"/>
      <c r="N15" s="34">
        <f>C37*'E Balans VL '!Y15/100/3.6*1000000</f>
        <v>953.46311418523408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54721.649741052592</v>
      </c>
      <c r="C18" s="22">
        <f>C5+C16</f>
        <v>0</v>
      </c>
      <c r="D18" s="22">
        <f>MAX((D5+D16),0)</f>
        <v>156687.62264014708</v>
      </c>
      <c r="E18" s="22">
        <f>MAX((E5+E16),0)</f>
        <v>484.53876958458829</v>
      </c>
      <c r="F18" s="22">
        <f>MAX((F5+F16),0)</f>
        <v>13428.299167768004</v>
      </c>
      <c r="G18" s="22"/>
      <c r="H18" s="22"/>
      <c r="I18" s="22"/>
      <c r="J18" s="22">
        <f>MAX((J5+J16),0)</f>
        <v>179.19016775175237</v>
      </c>
      <c r="K18" s="22"/>
      <c r="L18" s="22">
        <f>MAX((L5+L16),0)</f>
        <v>0</v>
      </c>
      <c r="M18" s="22"/>
      <c r="N18" s="22">
        <f>MAX((N5+N16),0)</f>
        <v>1701.0568943750786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0.2036466892276913</v>
      </c>
      <c r="C20" s="26">
        <f ca="1">'EF ele_warmte'!B22</f>
        <v>0.2369887567215252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11143.882798842711</v>
      </c>
      <c r="C22" s="24">
        <f ca="1">C18*C20</f>
        <v>0</v>
      </c>
      <c r="D22" s="24">
        <f>D18*D20</f>
        <v>31650.899773309713</v>
      </c>
      <c r="E22" s="24">
        <f>E18*E20</f>
        <v>109.99030069570155</v>
      </c>
      <c r="F22" s="24">
        <f>F18*F20</f>
        <v>3585.3558777940571</v>
      </c>
      <c r="G22" s="24"/>
      <c r="H22" s="24"/>
      <c r="I22" s="24"/>
      <c r="J22" s="24">
        <f>J18*J20</f>
        <v>63.433319384120338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1327.2957034470098</v>
      </c>
      <c r="C30" s="40">
        <f>IF(ISERROR(B30*3.6/1000000/'E Balans VL '!Z18*100),0,B30*3.6/1000000/'E Balans VL '!Z18*100)</f>
        <v>7.3855130346607054E-2</v>
      </c>
      <c r="D30" s="240" t="s">
        <v>707</v>
      </c>
    </row>
    <row r="31" spans="1:18">
      <c r="A31" s="6" t="s">
        <v>33</v>
      </c>
      <c r="B31" s="38">
        <f>IF( ISERROR(IND_ander_ele_kWh/1000),0,IND_ander_ele_kWh/1000)</f>
        <v>6783.3809830294103</v>
      </c>
      <c r="C31" s="40">
        <f>IF(ISERROR(B31*3.6/1000000/'E Balans VL '!Z19*100),0,B31*3.6/1000000/'E Balans VL '!Z19*100)</f>
        <v>0.31534156668913538</v>
      </c>
      <c r="D31" s="240" t="s">
        <v>707</v>
      </c>
    </row>
    <row r="32" spans="1:18">
      <c r="A32" s="174" t="s">
        <v>41</v>
      </c>
      <c r="B32" s="38">
        <f>IF( ISERROR(IND_voed_ele_kWh/1000),0,IND_voed_ele_kWh/1000)</f>
        <v>15470.966861639499</v>
      </c>
      <c r="C32" s="40">
        <f>IF(ISERROR(B32*3.6/1000000/'E Balans VL '!Z20*100),0,B32*3.6/1000000/'E Balans VL '!Z20*100)</f>
        <v>0.54686743361814227</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79.910400769375912</v>
      </c>
      <c r="C34" s="40">
        <f>IF(ISERROR(B34*3.6/1000000/'E Balans VL '!Z22*100),0,B34*3.6/1000000/'E Balans VL '!Z22*100)</f>
        <v>1.6059737157471859E-2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31060.0957921673</v>
      </c>
      <c r="C37" s="40">
        <f>IF(ISERROR(B37*3.6/1000000/'E Balans VL '!Z15*100),0,B37*3.6/1000000/'E Balans VL '!Z15*100)</f>
        <v>0.23454960593049909</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5605.8055597359835</v>
      </c>
      <c r="C5" s="18">
        <f>'Eigen informatie GS &amp; warmtenet'!B60</f>
        <v>0</v>
      </c>
      <c r="D5" s="31">
        <f>IF(ISERROR(SUM(LB_lb_gas_kWh,LB_rest_gas_kWh)/1000),0,SUM(LB_lb_gas_kWh,LB_rest_gas_kWh)/1000)*0.902</f>
        <v>251.24549151705938</v>
      </c>
      <c r="E5" s="18">
        <f>B17*'E Balans VL '!I25/3.6*1000000/100</f>
        <v>52.810444385646854</v>
      </c>
      <c r="F5" s="18">
        <f>B17*('E Balans VL '!L25/3.6*1000000+'E Balans VL '!N25/3.6*1000000)/100</f>
        <v>18293.603944897088</v>
      </c>
      <c r="G5" s="19"/>
      <c r="H5" s="18"/>
      <c r="I5" s="18"/>
      <c r="J5" s="18">
        <f>('E Balans VL '!D25+'E Balans VL '!E25)/3.6*1000000*landbouw!B17/100</f>
        <v>693.465414372346</v>
      </c>
      <c r="K5" s="18"/>
      <c r="L5" s="18">
        <f>L6*(-1)</f>
        <v>0</v>
      </c>
      <c r="M5" s="18"/>
      <c r="N5" s="18">
        <f>N6*(-1)</f>
        <v>10.392857142857142</v>
      </c>
      <c r="O5" s="18"/>
      <c r="P5" s="18"/>
      <c r="R5" s="33"/>
    </row>
    <row r="6" spans="1:18">
      <c r="A6" s="17" t="s">
        <v>502</v>
      </c>
      <c r="B6" s="18" t="s">
        <v>211</v>
      </c>
      <c r="C6" s="18">
        <f>'lokale energieproductie'!O92+'lokale energieproductie'!O61</f>
        <v>5.1964285714285703</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-10.392857142857142</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5605.8055597359835</v>
      </c>
      <c r="C8" s="22">
        <f>C5+C6</f>
        <v>5.1964285714285703</v>
      </c>
      <c r="D8" s="22">
        <f>MAX((D5+D6),0)</f>
        <v>251.24549151705938</v>
      </c>
      <c r="E8" s="22">
        <f>MAX((E5+E6),0)</f>
        <v>52.810444385646854</v>
      </c>
      <c r="F8" s="22">
        <f>MAX((F5+F6),0)</f>
        <v>18293.603944897088</v>
      </c>
      <c r="G8" s="22"/>
      <c r="H8" s="22"/>
      <c r="I8" s="22"/>
      <c r="J8" s="22">
        <f>MAX((J5+J6),0)</f>
        <v>693.465414372346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0.2036466892276913</v>
      </c>
      <c r="C10" s="32">
        <f ca="1">'EF ele_warmte'!B22</f>
        <v>0.2369887567215252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1141.6037426944179</v>
      </c>
      <c r="C12" s="24">
        <f ca="1">C8*C10</f>
        <v>1.2314951465350681</v>
      </c>
      <c r="D12" s="24">
        <f>D8*D10</f>
        <v>50.751589286445999</v>
      </c>
      <c r="E12" s="24">
        <f>E8*E10</f>
        <v>11.987970875541835</v>
      </c>
      <c r="F12" s="24">
        <f>F8*F10</f>
        <v>4884.3922532875231</v>
      </c>
      <c r="G12" s="24"/>
      <c r="H12" s="24"/>
      <c r="I12" s="24"/>
      <c r="J12" s="24">
        <f>J8*J10</f>
        <v>245.48675668781047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0.75893649487894188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904.10203672398507</v>
      </c>
      <c r="C26" s="250">
        <f>B26*'GWP N2O_CH4'!B5</f>
        <v>18986.142771203686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483.24479312061538</v>
      </c>
      <c r="C27" s="250">
        <f>B27*'GWP N2O_CH4'!B5</f>
        <v>10148.140655532923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14.688754621904661</v>
      </c>
      <c r="C28" s="250">
        <f>B28*'GWP N2O_CH4'!B4</f>
        <v>4553.5139327904444</v>
      </c>
      <c r="D28" s="51"/>
    </row>
    <row r="29" spans="1:4">
      <c r="A29" s="42" t="s">
        <v>277</v>
      </c>
      <c r="B29" s="250">
        <f>B34*'ha_N2O bodem landbouw'!B4</f>
        <v>44.746155061641609</v>
      </c>
      <c r="C29" s="250">
        <f>B29*'GWP N2O_CH4'!B4</f>
        <v>13871.308069108898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1.2080053245741905E-2</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1.1495279281901009E-5</v>
      </c>
      <c r="C5" s="447" t="s">
        <v>211</v>
      </c>
      <c r="D5" s="432">
        <f>SUM(D6:D11)</f>
        <v>3.1043244376602417E-5</v>
      </c>
      <c r="E5" s="432">
        <f>SUM(E6:E11)</f>
        <v>1.9869898800188362E-3</v>
      </c>
      <c r="F5" s="445" t="s">
        <v>211</v>
      </c>
      <c r="G5" s="432">
        <f>SUM(G6:G11)</f>
        <v>0.57017446155827867</v>
      </c>
      <c r="H5" s="432">
        <f>SUM(H6:H11)</f>
        <v>7.0774326331169202E-2</v>
      </c>
      <c r="I5" s="447" t="s">
        <v>211</v>
      </c>
      <c r="J5" s="447" t="s">
        <v>211</v>
      </c>
      <c r="K5" s="447" t="s">
        <v>211</v>
      </c>
      <c r="L5" s="447" t="s">
        <v>211</v>
      </c>
      <c r="M5" s="432">
        <f>SUM(M6:M11)</f>
        <v>2.8627656439988863E-2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5.5087000197659885E-6</v>
      </c>
      <c r="C6" s="433"/>
      <c r="D6" s="433">
        <f>vkm_2011_GW_PW*SUMIFS(TableVerdeelsleutelVkm[CNG],TableVerdeelsleutelVkm[Voertuigtype],"Lichte voertuigen")*SUMIFS(TableECFTransport[EnergieConsumptieFactor (PJ per km)],TableECFTransport[Index],CONCATENATE($A6,"_CNG_CNG"))</f>
        <v>1.3452337703054166E-5</v>
      </c>
      <c r="E6" s="435">
        <f>vkm_2011_GW_PW*SUMIFS(TableVerdeelsleutelVkm[LPG],TableVerdeelsleutelVkm[Voertuigtype],"Lichte voertuigen")*SUMIFS(TableECFTransport[EnergieConsumptieFactor (PJ per km)],TableECFTransport[Index],CONCATENATE($A6,"_LPG_LPG"))</f>
        <v>7.9738505922537879E-4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0.11527139033134447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3.0209319720146694E-2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6.5148941152658943E-3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6.5253944374306261E-2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2.6327422517578308E-5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2.9070430324463202E-3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1.3272902794187858E-6</v>
      </c>
      <c r="C8" s="433"/>
      <c r="D8" s="435">
        <f>vkm_2011_NGW_PW*SUMIFS(TableVerdeelsleutelVkm[CNG],TableVerdeelsleutelVkm[Voertuigtype],"Lichte voertuigen")*SUMIFS(TableECFTransport[EnergieConsumptieFactor (PJ per km)],TableECFTransport[Index],CONCATENATE($A8,"_CNG_CNG"))</f>
        <v>5.8153802670454246E-6</v>
      </c>
      <c r="E8" s="435">
        <f>vkm_2011_NGW_PW*SUMIFS(TableVerdeelsleutelVkm[LPG],TableVerdeelsleutelVkm[Voertuigtype],"Lichte voertuigen")*SUMIFS(TableECFTransport[EnergieConsumptieFactor (PJ per km)],TableECFTransport[Index],CONCATENATE($A8,"_LPG_LPG"))</f>
        <v>3.1623290258291038E-4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4.318644863396217E-2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1.2505589034587584E-2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2.4951277063383964E-3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2.6949026441050551E-2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9.4669700673827675E-6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1.2005064862777612E-3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4.6592889827162346E-6</v>
      </c>
      <c r="C10" s="433"/>
      <c r="D10" s="435">
        <f>vkm_2011_SW_PW*SUMIFS(TableVerdeelsleutelVkm[CNG],TableVerdeelsleutelVkm[Voertuigtype],"Lichte voertuigen")*SUMIFS(TableECFTransport[EnergieConsumptieFactor (PJ per km)],TableECFTransport[Index],CONCATENATE($A10,"_CNG_CNG"))</f>
        <v>1.177552640650283E-5</v>
      </c>
      <c r="E10" s="435">
        <f>vkm_2011_SW_PW*SUMIFS(TableVerdeelsleutelVkm[LPG],TableVerdeelsleutelVkm[Voertuigtype],"Lichte voertuigen")*SUMIFS(TableECFTransport[EnergieConsumptieFactor (PJ per km)],TableECFTransport[Index],CONCATENATE($A10,"_LPG_LPG"))</f>
        <v>8.7337191821054705E-4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0.11506186542593315</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2.793610731156328E-2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6.4015913242305338E-3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0.2044517863516821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8.7515872286687154E-5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9.1084937754299586E-3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3.1931331338613913</v>
      </c>
      <c r="C14" s="22"/>
      <c r="D14" s="22">
        <f t="shared" ref="D14:M14" si="0">((D5)*10^9/3600)+D12</f>
        <v>8.6231234379451145</v>
      </c>
      <c r="E14" s="22">
        <f t="shared" si="0"/>
        <v>551.94163333856557</v>
      </c>
      <c r="F14" s="22"/>
      <c r="G14" s="22">
        <f t="shared" si="0"/>
        <v>158381.79487729963</v>
      </c>
      <c r="H14" s="22">
        <f t="shared" si="0"/>
        <v>19659.535091991445</v>
      </c>
      <c r="I14" s="22"/>
      <c r="J14" s="22"/>
      <c r="K14" s="22"/>
      <c r="L14" s="22"/>
      <c r="M14" s="22">
        <f t="shared" si="0"/>
        <v>7952.1267888857956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0.2036466892276913</v>
      </c>
      <c r="C16" s="57">
        <f ca="1">'EF ele_warmte'!B22</f>
        <v>0.2369887567215252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0.65027099097411478</v>
      </c>
      <c r="C18" s="24"/>
      <c r="D18" s="24">
        <f t="shared" ref="D18:M18" si="1">D14*D16</f>
        <v>1.7418709344649133</v>
      </c>
      <c r="E18" s="24">
        <f t="shared" si="1"/>
        <v>125.29075076785439</v>
      </c>
      <c r="F18" s="24"/>
      <c r="G18" s="24">
        <f t="shared" si="1"/>
        <v>42287.939232239005</v>
      </c>
      <c r="H18" s="24">
        <f t="shared" si="1"/>
        <v>4895.2242379058698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4.4412065780901474E-3</v>
      </c>
      <c r="H50" s="323">
        <f t="shared" si="2"/>
        <v>0</v>
      </c>
      <c r="I50" s="323">
        <f t="shared" si="2"/>
        <v>0</v>
      </c>
      <c r="J50" s="323">
        <f t="shared" si="2"/>
        <v>0</v>
      </c>
      <c r="K50" s="323">
        <f t="shared" si="2"/>
        <v>0</v>
      </c>
      <c r="L50" s="323">
        <f t="shared" si="2"/>
        <v>0</v>
      </c>
      <c r="M50" s="323">
        <f t="shared" si="2"/>
        <v>1.9502070707245252E-4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4.4412065780901474E-3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1.9502070707245252E-4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1233.6684939139298</v>
      </c>
      <c r="H54" s="22">
        <f t="shared" si="3"/>
        <v>0</v>
      </c>
      <c r="I54" s="22">
        <f t="shared" si="3"/>
        <v>0</v>
      </c>
      <c r="J54" s="22">
        <f t="shared" si="3"/>
        <v>0</v>
      </c>
      <c r="K54" s="22">
        <f t="shared" si="3"/>
        <v>0</v>
      </c>
      <c r="L54" s="22">
        <f t="shared" si="3"/>
        <v>0</v>
      </c>
      <c r="M54" s="22">
        <f t="shared" si="3"/>
        <v>54.172418631236816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0.2036466892276913</v>
      </c>
      <c r="C56" s="57">
        <f ca="1">'EF ele_warmte'!B22</f>
        <v>0.2369887567215252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329.38948787501926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28385.459096252445</v>
      </c>
      <c r="D10" s="688">
        <f ca="1">tertiair!C16</f>
        <v>1870.7142857142858</v>
      </c>
      <c r="E10" s="688">
        <f ca="1">tertiair!D16</f>
        <v>29443.379899390311</v>
      </c>
      <c r="F10" s="688">
        <f>tertiair!E16</f>
        <v>253.42809789488507</v>
      </c>
      <c r="G10" s="688">
        <f ca="1">tertiair!F16</f>
        <v>5273.6124559553573</v>
      </c>
      <c r="H10" s="688">
        <f>tertiair!G16</f>
        <v>0</v>
      </c>
      <c r="I10" s="688">
        <f>tertiair!H16</f>
        <v>0</v>
      </c>
      <c r="J10" s="688">
        <f>tertiair!I16</f>
        <v>0</v>
      </c>
      <c r="K10" s="688">
        <f>tertiair!J16</f>
        <v>0</v>
      </c>
      <c r="L10" s="688">
        <f>tertiair!K16</f>
        <v>0</v>
      </c>
      <c r="M10" s="688">
        <f ca="1">tertiair!L16</f>
        <v>0</v>
      </c>
      <c r="N10" s="688">
        <f>tertiair!M16</f>
        <v>0</v>
      </c>
      <c r="O10" s="688">
        <f ca="1">tertiair!N16</f>
        <v>1090.9824971005232</v>
      </c>
      <c r="P10" s="688">
        <f>tertiair!O16</f>
        <v>0</v>
      </c>
      <c r="Q10" s="689">
        <f>tertiair!P16</f>
        <v>0</v>
      </c>
      <c r="R10" s="691">
        <f ca="1">SUM(C10:Q10)</f>
        <v>66317.576332307814</v>
      </c>
      <c r="S10" s="68"/>
    </row>
    <row r="11" spans="1:19" s="457" customFormat="1">
      <c r="A11" s="803" t="s">
        <v>225</v>
      </c>
      <c r="B11" s="808"/>
      <c r="C11" s="688">
        <f>huishoudens!B8</f>
        <v>19566.5120925271</v>
      </c>
      <c r="D11" s="688">
        <f>huishoudens!C8</f>
        <v>0</v>
      </c>
      <c r="E11" s="688">
        <f>huishoudens!D8</f>
        <v>48781.178314158919</v>
      </c>
      <c r="F11" s="688">
        <f>huishoudens!E8</f>
        <v>5474.2288952380577</v>
      </c>
      <c r="G11" s="688">
        <f>huishoudens!F8</f>
        <v>7953.19938029478</v>
      </c>
      <c r="H11" s="688">
        <f>huishoudens!G8</f>
        <v>0</v>
      </c>
      <c r="I11" s="688">
        <f>huishoudens!H8</f>
        <v>0</v>
      </c>
      <c r="J11" s="688">
        <f>huishoudens!I8</f>
        <v>0</v>
      </c>
      <c r="K11" s="688">
        <f>huishoudens!J8</f>
        <v>981.42328534896342</v>
      </c>
      <c r="L11" s="688">
        <f>huishoudens!K8</f>
        <v>0</v>
      </c>
      <c r="M11" s="688">
        <f>huishoudens!L8</f>
        <v>0</v>
      </c>
      <c r="N11" s="688">
        <f>huishoudens!M8</f>
        <v>0</v>
      </c>
      <c r="O11" s="688">
        <f>huishoudens!N8</f>
        <v>10717.107827365531</v>
      </c>
      <c r="P11" s="688">
        <f>huishoudens!O8</f>
        <v>109.43333333333334</v>
      </c>
      <c r="Q11" s="689">
        <f>huishoudens!P8</f>
        <v>247.86666666666667</v>
      </c>
      <c r="R11" s="691">
        <f>SUM(C11:Q11)</f>
        <v>93830.94979493336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54721.649741052592</v>
      </c>
      <c r="D13" s="688">
        <f>industrie!C18</f>
        <v>0</v>
      </c>
      <c r="E13" s="688">
        <f>industrie!D18</f>
        <v>156687.62264014708</v>
      </c>
      <c r="F13" s="688">
        <f>industrie!E18</f>
        <v>484.53876958458829</v>
      </c>
      <c r="G13" s="688">
        <f>industrie!F18</f>
        <v>13428.299167768004</v>
      </c>
      <c r="H13" s="688">
        <f>industrie!G18</f>
        <v>0</v>
      </c>
      <c r="I13" s="688">
        <f>industrie!H18</f>
        <v>0</v>
      </c>
      <c r="J13" s="688">
        <f>industrie!I18</f>
        <v>0</v>
      </c>
      <c r="K13" s="688">
        <f>industrie!J18</f>
        <v>179.19016775175237</v>
      </c>
      <c r="L13" s="688">
        <f>industrie!K18</f>
        <v>0</v>
      </c>
      <c r="M13" s="688">
        <f>industrie!L18</f>
        <v>0</v>
      </c>
      <c r="N13" s="688">
        <f>industrie!M18</f>
        <v>0</v>
      </c>
      <c r="O13" s="688">
        <f>industrie!N18</f>
        <v>1701.0568943750786</v>
      </c>
      <c r="P13" s="688">
        <f>industrie!O18</f>
        <v>0</v>
      </c>
      <c r="Q13" s="689">
        <f>industrie!P18</f>
        <v>0</v>
      </c>
      <c r="R13" s="691">
        <f>SUM(C13:Q13)</f>
        <v>227202.35738067908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102673.62092983213</v>
      </c>
      <c r="D16" s="721">
        <f t="shared" ref="D16:R16" ca="1" si="0">SUM(D9:D15)</f>
        <v>1870.7142857142858</v>
      </c>
      <c r="E16" s="721">
        <f t="shared" ca="1" si="0"/>
        <v>234912.18085369631</v>
      </c>
      <c r="F16" s="721">
        <f t="shared" si="0"/>
        <v>6212.1957627175316</v>
      </c>
      <c r="G16" s="721">
        <f t="shared" ca="1" si="0"/>
        <v>26655.111004018141</v>
      </c>
      <c r="H16" s="721">
        <f t="shared" si="0"/>
        <v>0</v>
      </c>
      <c r="I16" s="721">
        <f t="shared" si="0"/>
        <v>0</v>
      </c>
      <c r="J16" s="721">
        <f t="shared" si="0"/>
        <v>0</v>
      </c>
      <c r="K16" s="721">
        <f t="shared" si="0"/>
        <v>1160.6134531007158</v>
      </c>
      <c r="L16" s="721">
        <f t="shared" si="0"/>
        <v>0</v>
      </c>
      <c r="M16" s="721">
        <f t="shared" ca="1" si="0"/>
        <v>0</v>
      </c>
      <c r="N16" s="721">
        <f t="shared" si="0"/>
        <v>0</v>
      </c>
      <c r="O16" s="721">
        <f t="shared" ca="1" si="0"/>
        <v>13509.147218841134</v>
      </c>
      <c r="P16" s="721">
        <f t="shared" si="0"/>
        <v>109.43333333333334</v>
      </c>
      <c r="Q16" s="721">
        <f t="shared" si="0"/>
        <v>247.86666666666667</v>
      </c>
      <c r="R16" s="721">
        <f t="shared" ca="1" si="0"/>
        <v>387350.88350792025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1233.6684939139298</v>
      </c>
      <c r="I19" s="688">
        <f>transport!H54</f>
        <v>0</v>
      </c>
      <c r="J19" s="688">
        <f>transport!I54</f>
        <v>0</v>
      </c>
      <c r="K19" s="688">
        <f>transport!J54</f>
        <v>0</v>
      </c>
      <c r="L19" s="688">
        <f>transport!K54</f>
        <v>0</v>
      </c>
      <c r="M19" s="688">
        <f>transport!L54</f>
        <v>0</v>
      </c>
      <c r="N19" s="688">
        <f>transport!M54</f>
        <v>54.172418631236816</v>
      </c>
      <c r="O19" s="688">
        <f>transport!N54</f>
        <v>0</v>
      </c>
      <c r="P19" s="688">
        <f>transport!O54</f>
        <v>0</v>
      </c>
      <c r="Q19" s="689">
        <f>transport!P54</f>
        <v>0</v>
      </c>
      <c r="R19" s="691">
        <f>SUM(C19:Q19)</f>
        <v>1287.8409125451665</v>
      </c>
      <c r="S19" s="68"/>
    </row>
    <row r="20" spans="1:19" s="457" customFormat="1">
      <c r="A20" s="803" t="s">
        <v>307</v>
      </c>
      <c r="B20" s="808"/>
      <c r="C20" s="688">
        <f>transport!B14</f>
        <v>3.1931331338613913</v>
      </c>
      <c r="D20" s="688">
        <f>transport!C14</f>
        <v>0</v>
      </c>
      <c r="E20" s="688">
        <f>transport!D14</f>
        <v>8.6231234379451145</v>
      </c>
      <c r="F20" s="688">
        <f>transport!E14</f>
        <v>551.94163333856557</v>
      </c>
      <c r="G20" s="688">
        <f>transport!F14</f>
        <v>0</v>
      </c>
      <c r="H20" s="688">
        <f>transport!G14</f>
        <v>158381.79487729963</v>
      </c>
      <c r="I20" s="688">
        <f>transport!H14</f>
        <v>19659.535091991445</v>
      </c>
      <c r="J20" s="688">
        <f>transport!I14</f>
        <v>0</v>
      </c>
      <c r="K20" s="688">
        <f>transport!J14</f>
        <v>0</v>
      </c>
      <c r="L20" s="688">
        <f>transport!K14</f>
        <v>0</v>
      </c>
      <c r="M20" s="688">
        <f>transport!L14</f>
        <v>0</v>
      </c>
      <c r="N20" s="688">
        <f>transport!M14</f>
        <v>7952.1267888857956</v>
      </c>
      <c r="O20" s="688">
        <f>transport!N14</f>
        <v>0</v>
      </c>
      <c r="P20" s="688">
        <f>transport!O14</f>
        <v>0</v>
      </c>
      <c r="Q20" s="689">
        <f>transport!P14</f>
        <v>0</v>
      </c>
      <c r="R20" s="691">
        <f>SUM(C20:Q20)</f>
        <v>186557.21464808725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3.1931331338613913</v>
      </c>
      <c r="D22" s="806">
        <f t="shared" ref="D22:R22" si="1">SUM(D18:D21)</f>
        <v>0</v>
      </c>
      <c r="E22" s="806">
        <f t="shared" si="1"/>
        <v>8.6231234379451145</v>
      </c>
      <c r="F22" s="806">
        <f t="shared" si="1"/>
        <v>551.94163333856557</v>
      </c>
      <c r="G22" s="806">
        <f t="shared" si="1"/>
        <v>0</v>
      </c>
      <c r="H22" s="806">
        <f t="shared" si="1"/>
        <v>159615.46337121355</v>
      </c>
      <c r="I22" s="806">
        <f t="shared" si="1"/>
        <v>19659.535091991445</v>
      </c>
      <c r="J22" s="806">
        <f t="shared" si="1"/>
        <v>0</v>
      </c>
      <c r="K22" s="806">
        <f t="shared" si="1"/>
        <v>0</v>
      </c>
      <c r="L22" s="806">
        <f t="shared" si="1"/>
        <v>0</v>
      </c>
      <c r="M22" s="806">
        <f t="shared" si="1"/>
        <v>0</v>
      </c>
      <c r="N22" s="806">
        <f t="shared" si="1"/>
        <v>8006.2992075170323</v>
      </c>
      <c r="O22" s="806">
        <f t="shared" si="1"/>
        <v>0</v>
      </c>
      <c r="P22" s="806">
        <f t="shared" si="1"/>
        <v>0</v>
      </c>
      <c r="Q22" s="806">
        <f t="shared" si="1"/>
        <v>0</v>
      </c>
      <c r="R22" s="806">
        <f t="shared" si="1"/>
        <v>187845.05556063241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5605.8055597359835</v>
      </c>
      <c r="D24" s="688">
        <f>+landbouw!C8</f>
        <v>5.1964285714285703</v>
      </c>
      <c r="E24" s="688">
        <f>+landbouw!D8</f>
        <v>251.24549151705938</v>
      </c>
      <c r="F24" s="688">
        <f>+landbouw!E8</f>
        <v>52.810444385646854</v>
      </c>
      <c r="G24" s="688">
        <f>+landbouw!F8</f>
        <v>18293.603944897088</v>
      </c>
      <c r="H24" s="688">
        <f>+landbouw!G8</f>
        <v>0</v>
      </c>
      <c r="I24" s="688">
        <f>+landbouw!H8</f>
        <v>0</v>
      </c>
      <c r="J24" s="688">
        <f>+landbouw!I8</f>
        <v>0</v>
      </c>
      <c r="K24" s="688">
        <f>+landbouw!J8</f>
        <v>693.465414372346</v>
      </c>
      <c r="L24" s="688">
        <f>+landbouw!K8</f>
        <v>0</v>
      </c>
      <c r="M24" s="688">
        <f>+landbouw!L8</f>
        <v>0</v>
      </c>
      <c r="N24" s="688">
        <f>+landbouw!M8</f>
        <v>0</v>
      </c>
      <c r="O24" s="688">
        <f>+landbouw!N8</f>
        <v>0</v>
      </c>
      <c r="P24" s="688">
        <f>+landbouw!O8</f>
        <v>0</v>
      </c>
      <c r="Q24" s="689">
        <f>+landbouw!P8</f>
        <v>0</v>
      </c>
      <c r="R24" s="691">
        <f>SUM(C24:Q24)</f>
        <v>24902.127283479553</v>
      </c>
      <c r="S24" s="68"/>
    </row>
    <row r="25" spans="1:19" s="457" customFormat="1" ht="15" thickBot="1">
      <c r="A25" s="825" t="s">
        <v>912</v>
      </c>
      <c r="B25" s="1001"/>
      <c r="C25" s="1002">
        <f>IF(Onbekend_ele_kWh="---",0,Onbekend_ele_kWh)/1000+IF(REST_rest_ele_kWh="---",0,REST_rest_ele_kWh)/1000</f>
        <v>1215.72425737865</v>
      </c>
      <c r="D25" s="1002"/>
      <c r="E25" s="1002">
        <f>IF(onbekend_gas_kWh="---",0,onbekend_gas_kWh)/1000+IF(REST_rest_gas_kWh="---",0,REST_rest_gas_kWh)/1000</f>
        <v>3213.2432571229801</v>
      </c>
      <c r="F25" s="1002"/>
      <c r="G25" s="1002"/>
      <c r="H25" s="1002"/>
      <c r="I25" s="1002"/>
      <c r="J25" s="1002"/>
      <c r="K25" s="1002"/>
      <c r="L25" s="1002"/>
      <c r="M25" s="1002"/>
      <c r="N25" s="1002"/>
      <c r="O25" s="1002"/>
      <c r="P25" s="1002"/>
      <c r="Q25" s="1003"/>
      <c r="R25" s="691">
        <f>SUM(C25:Q25)</f>
        <v>4428.9675145016299</v>
      </c>
      <c r="S25" s="68"/>
    </row>
    <row r="26" spans="1:19" s="457" customFormat="1" ht="15.75" thickBot="1">
      <c r="A26" s="694" t="s">
        <v>913</v>
      </c>
      <c r="B26" s="811"/>
      <c r="C26" s="806">
        <f>SUM(C24:C25)</f>
        <v>6821.5298171146333</v>
      </c>
      <c r="D26" s="806">
        <f t="shared" ref="D26:R26" si="2">SUM(D24:D25)</f>
        <v>5.1964285714285703</v>
      </c>
      <c r="E26" s="806">
        <f t="shared" si="2"/>
        <v>3464.4887486400394</v>
      </c>
      <c r="F26" s="806">
        <f t="shared" si="2"/>
        <v>52.810444385646854</v>
      </c>
      <c r="G26" s="806">
        <f t="shared" si="2"/>
        <v>18293.603944897088</v>
      </c>
      <c r="H26" s="806">
        <f t="shared" si="2"/>
        <v>0</v>
      </c>
      <c r="I26" s="806">
        <f t="shared" si="2"/>
        <v>0</v>
      </c>
      <c r="J26" s="806">
        <f t="shared" si="2"/>
        <v>0</v>
      </c>
      <c r="K26" s="806">
        <f t="shared" si="2"/>
        <v>693.465414372346</v>
      </c>
      <c r="L26" s="806">
        <f t="shared" si="2"/>
        <v>0</v>
      </c>
      <c r="M26" s="806">
        <f t="shared" si="2"/>
        <v>0</v>
      </c>
      <c r="N26" s="806">
        <f t="shared" si="2"/>
        <v>0</v>
      </c>
      <c r="O26" s="806">
        <f t="shared" si="2"/>
        <v>0</v>
      </c>
      <c r="P26" s="806">
        <f t="shared" si="2"/>
        <v>0</v>
      </c>
      <c r="Q26" s="806">
        <f t="shared" si="2"/>
        <v>0</v>
      </c>
      <c r="R26" s="806">
        <f t="shared" si="2"/>
        <v>29331.094797981183</v>
      </c>
      <c r="S26" s="68"/>
    </row>
    <row r="27" spans="1:19" s="457" customFormat="1" ht="17.25" thickTop="1" thickBot="1">
      <c r="A27" s="695" t="s">
        <v>116</v>
      </c>
      <c r="B27" s="798"/>
      <c r="C27" s="696">
        <f ca="1">C22+C16+C26</f>
        <v>109498.34388008062</v>
      </c>
      <c r="D27" s="696">
        <f t="shared" ref="D27:R27" ca="1" si="3">D22+D16+D26</f>
        <v>1875.9107142857144</v>
      </c>
      <c r="E27" s="696">
        <f t="shared" ca="1" si="3"/>
        <v>238385.29272577428</v>
      </c>
      <c r="F27" s="696">
        <f t="shared" si="3"/>
        <v>6816.9478404417432</v>
      </c>
      <c r="G27" s="696">
        <f t="shared" ca="1" si="3"/>
        <v>44948.714948915229</v>
      </c>
      <c r="H27" s="696">
        <f t="shared" si="3"/>
        <v>159615.46337121355</v>
      </c>
      <c r="I27" s="696">
        <f t="shared" si="3"/>
        <v>19659.535091991445</v>
      </c>
      <c r="J27" s="696">
        <f t="shared" si="3"/>
        <v>0</v>
      </c>
      <c r="K27" s="696">
        <f t="shared" si="3"/>
        <v>1854.0788674730618</v>
      </c>
      <c r="L27" s="696">
        <f t="shared" si="3"/>
        <v>0</v>
      </c>
      <c r="M27" s="696">
        <f t="shared" ca="1" si="3"/>
        <v>0</v>
      </c>
      <c r="N27" s="696">
        <f t="shared" si="3"/>
        <v>8006.2992075170323</v>
      </c>
      <c r="O27" s="696">
        <f t="shared" ca="1" si="3"/>
        <v>13509.147218841134</v>
      </c>
      <c r="P27" s="696">
        <f t="shared" si="3"/>
        <v>109.43333333333334</v>
      </c>
      <c r="Q27" s="696">
        <f t="shared" si="3"/>
        <v>247.86666666666667</v>
      </c>
      <c r="R27" s="696">
        <f t="shared" ca="1" si="3"/>
        <v>604527.03386653389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5780.6047671598644</v>
      </c>
      <c r="D40" s="688">
        <f ca="1">tertiair!C20</f>
        <v>443.33825275262467</v>
      </c>
      <c r="E40" s="688">
        <f ca="1">tertiair!D20</f>
        <v>5947.5627396768432</v>
      </c>
      <c r="F40" s="688">
        <f>tertiair!E20</f>
        <v>57.528178222138912</v>
      </c>
      <c r="G40" s="688">
        <f ca="1">tertiair!F20</f>
        <v>1408.0545257400804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13637.088463551552</v>
      </c>
    </row>
    <row r="41" spans="1:18">
      <c r="A41" s="816" t="s">
        <v>225</v>
      </c>
      <c r="B41" s="823"/>
      <c r="C41" s="688">
        <f ca="1">huishoudens!B12</f>
        <v>3984.6554073767302</v>
      </c>
      <c r="D41" s="688">
        <f ca="1">huishoudens!C12</f>
        <v>0</v>
      </c>
      <c r="E41" s="688">
        <f>huishoudens!D12</f>
        <v>9853.7980194601023</v>
      </c>
      <c r="F41" s="688">
        <f>huishoudens!E12</f>
        <v>1242.6499592190391</v>
      </c>
      <c r="G41" s="688">
        <f>huishoudens!F12</f>
        <v>2123.5042345387064</v>
      </c>
      <c r="H41" s="688">
        <f>huishoudens!G12</f>
        <v>0</v>
      </c>
      <c r="I41" s="688">
        <f>huishoudens!H12</f>
        <v>0</v>
      </c>
      <c r="J41" s="688">
        <f>huishoudens!I12</f>
        <v>0</v>
      </c>
      <c r="K41" s="688">
        <f>huishoudens!J12</f>
        <v>347.42384301353303</v>
      </c>
      <c r="L41" s="688">
        <f>huishoudens!K12</f>
        <v>0</v>
      </c>
      <c r="M41" s="688">
        <f>huishoudens!L12</f>
        <v>0</v>
      </c>
      <c r="N41" s="688">
        <f>huishoudens!M12</f>
        <v>0</v>
      </c>
      <c r="O41" s="688">
        <f>huishoudens!N12</f>
        <v>0</v>
      </c>
      <c r="P41" s="688">
        <f>huishoudens!O12</f>
        <v>0</v>
      </c>
      <c r="Q41" s="763">
        <f>huishoudens!P12</f>
        <v>0</v>
      </c>
      <c r="R41" s="844">
        <f t="shared" ca="1" si="4"/>
        <v>17552.031463608113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11143.882798842711</v>
      </c>
      <c r="D43" s="688">
        <f ca="1">industrie!C22</f>
        <v>0</v>
      </c>
      <c r="E43" s="688">
        <f>industrie!D22</f>
        <v>31650.899773309713</v>
      </c>
      <c r="F43" s="688">
        <f>industrie!E22</f>
        <v>109.99030069570155</v>
      </c>
      <c r="G43" s="688">
        <f>industrie!F22</f>
        <v>3585.3558777940571</v>
      </c>
      <c r="H43" s="688">
        <f>industrie!G22</f>
        <v>0</v>
      </c>
      <c r="I43" s="688">
        <f>industrie!H22</f>
        <v>0</v>
      </c>
      <c r="J43" s="688">
        <f>industrie!I22</f>
        <v>0</v>
      </c>
      <c r="K43" s="688">
        <f>industrie!J22</f>
        <v>63.433319384120338</v>
      </c>
      <c r="L43" s="688">
        <f>industrie!K22</f>
        <v>0</v>
      </c>
      <c r="M43" s="688">
        <f>industrie!L22</f>
        <v>0</v>
      </c>
      <c r="N43" s="688">
        <f>industrie!M22</f>
        <v>0</v>
      </c>
      <c r="O43" s="688">
        <f>industrie!N22</f>
        <v>0</v>
      </c>
      <c r="P43" s="688">
        <f>industrie!O22</f>
        <v>0</v>
      </c>
      <c r="Q43" s="763">
        <f>industrie!P22</f>
        <v>0</v>
      </c>
      <c r="R43" s="843">
        <f t="shared" ca="1" si="4"/>
        <v>46553.56207002631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20909.142973379305</v>
      </c>
      <c r="D46" s="721">
        <f t="shared" ref="D46:Q46" ca="1" si="5">SUM(D39:D45)</f>
        <v>443.33825275262467</v>
      </c>
      <c r="E46" s="721">
        <f t="shared" ca="1" si="5"/>
        <v>47452.260532446657</v>
      </c>
      <c r="F46" s="721">
        <f t="shared" si="5"/>
        <v>1410.1684381368796</v>
      </c>
      <c r="G46" s="721">
        <f t="shared" ca="1" si="5"/>
        <v>7116.9146380728434</v>
      </c>
      <c r="H46" s="721">
        <f t="shared" si="5"/>
        <v>0</v>
      </c>
      <c r="I46" s="721">
        <f t="shared" si="5"/>
        <v>0</v>
      </c>
      <c r="J46" s="721">
        <f t="shared" si="5"/>
        <v>0</v>
      </c>
      <c r="K46" s="721">
        <f t="shared" si="5"/>
        <v>410.85716239765338</v>
      </c>
      <c r="L46" s="721">
        <f t="shared" si="5"/>
        <v>0</v>
      </c>
      <c r="M46" s="721">
        <f t="shared" ca="1" si="5"/>
        <v>0</v>
      </c>
      <c r="N46" s="721">
        <f t="shared" si="5"/>
        <v>0</v>
      </c>
      <c r="O46" s="721">
        <f t="shared" ca="1" si="5"/>
        <v>0</v>
      </c>
      <c r="P46" s="721">
        <f t="shared" si="5"/>
        <v>0</v>
      </c>
      <c r="Q46" s="721">
        <f t="shared" si="5"/>
        <v>0</v>
      </c>
      <c r="R46" s="721">
        <f ca="1">SUM(R39:R45)</f>
        <v>77742.68199718598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329.38948787501926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329.38948787501926</v>
      </c>
    </row>
    <row r="50" spans="1:18">
      <c r="A50" s="819" t="s">
        <v>307</v>
      </c>
      <c r="B50" s="829"/>
      <c r="C50" s="1008">
        <f ca="1">transport!B18</f>
        <v>0.65027099097411478</v>
      </c>
      <c r="D50" s="1008">
        <f>transport!C18</f>
        <v>0</v>
      </c>
      <c r="E50" s="1008">
        <f>transport!D18</f>
        <v>1.7418709344649133</v>
      </c>
      <c r="F50" s="1008">
        <f>transport!E18</f>
        <v>125.29075076785439</v>
      </c>
      <c r="G50" s="1008">
        <f>transport!F18</f>
        <v>0</v>
      </c>
      <c r="H50" s="1008">
        <f>transport!G18</f>
        <v>42287.939232239005</v>
      </c>
      <c r="I50" s="1008">
        <f>transport!H18</f>
        <v>4895.2242379058698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47310.846362838172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0.65027099097411478</v>
      </c>
      <c r="D52" s="721">
        <f t="shared" ref="D52:Q52" ca="1" si="6">SUM(D48:D51)</f>
        <v>0</v>
      </c>
      <c r="E52" s="721">
        <f t="shared" si="6"/>
        <v>1.7418709344649133</v>
      </c>
      <c r="F52" s="721">
        <f t="shared" si="6"/>
        <v>125.29075076785439</v>
      </c>
      <c r="G52" s="721">
        <f t="shared" si="6"/>
        <v>0</v>
      </c>
      <c r="H52" s="721">
        <f t="shared" si="6"/>
        <v>42617.328720114027</v>
      </c>
      <c r="I52" s="721">
        <f t="shared" si="6"/>
        <v>4895.2242379058698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47640.235850713194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1141.6037426944179</v>
      </c>
      <c r="D54" s="1008">
        <f ca="1">+landbouw!C12</f>
        <v>1.2314951465350681</v>
      </c>
      <c r="E54" s="1008">
        <f>+landbouw!D12</f>
        <v>50.751589286445999</v>
      </c>
      <c r="F54" s="1008">
        <f>+landbouw!E12</f>
        <v>11.987970875541835</v>
      </c>
      <c r="G54" s="1008">
        <f>+landbouw!F12</f>
        <v>4884.3922532875231</v>
      </c>
      <c r="H54" s="1008">
        <f>+landbouw!G12</f>
        <v>0</v>
      </c>
      <c r="I54" s="1008">
        <f>+landbouw!H12</f>
        <v>0</v>
      </c>
      <c r="J54" s="1008">
        <f>+landbouw!I12</f>
        <v>0</v>
      </c>
      <c r="K54" s="1008">
        <f>+landbouw!J12</f>
        <v>245.48675668781047</v>
      </c>
      <c r="L54" s="1008">
        <f>+landbouw!K12</f>
        <v>0</v>
      </c>
      <c r="M54" s="1008">
        <f>+landbouw!L12</f>
        <v>0</v>
      </c>
      <c r="N54" s="1008">
        <f>+landbouw!M12</f>
        <v>0</v>
      </c>
      <c r="O54" s="1008">
        <f>+landbouw!N12</f>
        <v>0</v>
      </c>
      <c r="P54" s="1008">
        <f>+landbouw!O12</f>
        <v>0</v>
      </c>
      <c r="Q54" s="1009">
        <f>+landbouw!P12</f>
        <v>0</v>
      </c>
      <c r="R54" s="720">
        <f ca="1">SUM(C54:Q54)</f>
        <v>6335.4538079782742</v>
      </c>
    </row>
    <row r="55" spans="1:18" ht="15" thickBot="1">
      <c r="A55" s="819" t="s">
        <v>912</v>
      </c>
      <c r="B55" s="829"/>
      <c r="C55" s="1008">
        <f ca="1">C25*'EF ele_warmte'!B12</f>
        <v>247.57822002895574</v>
      </c>
      <c r="D55" s="1008"/>
      <c r="E55" s="1008">
        <f>E25*EF_CO2_aardgas</f>
        <v>649.07513793884198</v>
      </c>
      <c r="F55" s="1008"/>
      <c r="G55" s="1008"/>
      <c r="H55" s="1008"/>
      <c r="I55" s="1008"/>
      <c r="J55" s="1008"/>
      <c r="K55" s="1008"/>
      <c r="L55" s="1008"/>
      <c r="M55" s="1008"/>
      <c r="N55" s="1008"/>
      <c r="O55" s="1008"/>
      <c r="P55" s="1008"/>
      <c r="Q55" s="1009"/>
      <c r="R55" s="720">
        <f ca="1">SUM(C55:Q55)</f>
        <v>896.65335796779777</v>
      </c>
    </row>
    <row r="56" spans="1:18" ht="15.75" thickBot="1">
      <c r="A56" s="817" t="s">
        <v>913</v>
      </c>
      <c r="B56" s="830"/>
      <c r="C56" s="721">
        <f ca="1">SUM(C54:C55)</f>
        <v>1389.1819627233735</v>
      </c>
      <c r="D56" s="721">
        <f t="shared" ref="D56:Q56" ca="1" si="7">SUM(D54:D55)</f>
        <v>1.2314951465350681</v>
      </c>
      <c r="E56" s="721">
        <f t="shared" si="7"/>
        <v>699.82672722528798</v>
      </c>
      <c r="F56" s="721">
        <f t="shared" si="7"/>
        <v>11.987970875541835</v>
      </c>
      <c r="G56" s="721">
        <f t="shared" si="7"/>
        <v>4884.3922532875231</v>
      </c>
      <c r="H56" s="721">
        <f t="shared" si="7"/>
        <v>0</v>
      </c>
      <c r="I56" s="721">
        <f t="shared" si="7"/>
        <v>0</v>
      </c>
      <c r="J56" s="721">
        <f t="shared" si="7"/>
        <v>0</v>
      </c>
      <c r="K56" s="721">
        <f t="shared" si="7"/>
        <v>245.48675668781047</v>
      </c>
      <c r="L56" s="721">
        <f t="shared" si="7"/>
        <v>0</v>
      </c>
      <c r="M56" s="721">
        <f t="shared" si="7"/>
        <v>0</v>
      </c>
      <c r="N56" s="721">
        <f t="shared" si="7"/>
        <v>0</v>
      </c>
      <c r="O56" s="721">
        <f t="shared" si="7"/>
        <v>0</v>
      </c>
      <c r="P56" s="721">
        <f t="shared" si="7"/>
        <v>0</v>
      </c>
      <c r="Q56" s="722">
        <f t="shared" si="7"/>
        <v>0</v>
      </c>
      <c r="R56" s="723">
        <f ca="1">SUM(R54:R55)</f>
        <v>7232.1071659460722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22298.975207093652</v>
      </c>
      <c r="D61" s="729">
        <f t="shared" ref="D61:Q61" ca="1" si="8">D46+D52+D56</f>
        <v>444.56974789915972</v>
      </c>
      <c r="E61" s="729">
        <f t="shared" ca="1" si="8"/>
        <v>48153.829130606406</v>
      </c>
      <c r="F61" s="729">
        <f t="shared" si="8"/>
        <v>1547.4471597802758</v>
      </c>
      <c r="G61" s="729">
        <f t="shared" ca="1" si="8"/>
        <v>12001.306891360367</v>
      </c>
      <c r="H61" s="729">
        <f t="shared" si="8"/>
        <v>42617.328720114027</v>
      </c>
      <c r="I61" s="729">
        <f t="shared" si="8"/>
        <v>4895.2242379058698</v>
      </c>
      <c r="J61" s="729">
        <f t="shared" si="8"/>
        <v>0</v>
      </c>
      <c r="K61" s="729">
        <f t="shared" si="8"/>
        <v>656.34391908546388</v>
      </c>
      <c r="L61" s="729">
        <f t="shared" si="8"/>
        <v>0</v>
      </c>
      <c r="M61" s="729">
        <f t="shared" ca="1" si="8"/>
        <v>0</v>
      </c>
      <c r="N61" s="729">
        <f t="shared" si="8"/>
        <v>0</v>
      </c>
      <c r="O61" s="729">
        <f t="shared" ca="1" si="8"/>
        <v>0</v>
      </c>
      <c r="P61" s="729">
        <f t="shared" si="8"/>
        <v>0</v>
      </c>
      <c r="Q61" s="729">
        <f t="shared" si="8"/>
        <v>0</v>
      </c>
      <c r="R61" s="729">
        <f ca="1">R46+R52+R56</f>
        <v>132615.02501384524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0.2036466892276913</v>
      </c>
      <c r="D63" s="773">
        <f t="shared" ca="1" si="9"/>
        <v>0.2369887567215252</v>
      </c>
      <c r="E63" s="1010">
        <f t="shared" ca="1" si="9"/>
        <v>0.20200000000000001</v>
      </c>
      <c r="F63" s="773">
        <f t="shared" si="9"/>
        <v>0.22700000000000001</v>
      </c>
      <c r="G63" s="773">
        <f t="shared" ca="1" si="9"/>
        <v>0.26700000000000002</v>
      </c>
      <c r="H63" s="773">
        <f t="shared" si="9"/>
        <v>0.26700000000000007</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8693.0055494732042</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3.6375000000000002</v>
      </c>
      <c r="C76" s="739">
        <f>'lokale energieproductie'!B8*IFERROR(SUM(D76:H76)/SUM(D76:O76),0)</f>
        <v>1309.5</v>
      </c>
      <c r="D76" s="1020">
        <f>'lokale energieproductie'!C8</f>
        <v>1540.5882352941176</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4.2794117647058822</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311.19882352941175</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8696.6430494732049</v>
      </c>
      <c r="C78" s="744">
        <f>SUM(C72:C77)</f>
        <v>1309.5</v>
      </c>
      <c r="D78" s="745">
        <f t="shared" ref="D78:H78" si="10">SUM(D76:D77)</f>
        <v>1540.5882352941176</v>
      </c>
      <c r="E78" s="745">
        <f t="shared" si="10"/>
        <v>0</v>
      </c>
      <c r="F78" s="745">
        <f t="shared" si="10"/>
        <v>0</v>
      </c>
      <c r="G78" s="745">
        <f t="shared" si="10"/>
        <v>0</v>
      </c>
      <c r="H78" s="745">
        <f t="shared" si="10"/>
        <v>0</v>
      </c>
      <c r="I78" s="745">
        <f>SUM(I76:I77)</f>
        <v>0</v>
      </c>
      <c r="J78" s="745">
        <f>SUM(J76:J77)</f>
        <v>4.2794117647058822</v>
      </c>
      <c r="K78" s="745">
        <f t="shared" ref="K78:L78" si="11">SUM(K76:K77)</f>
        <v>0</v>
      </c>
      <c r="L78" s="745">
        <f t="shared" si="11"/>
        <v>0</v>
      </c>
      <c r="M78" s="745">
        <f>SUM(M76:M77)</f>
        <v>0</v>
      </c>
      <c r="N78" s="745">
        <f>SUM(N76:N77)</f>
        <v>0</v>
      </c>
      <c r="O78" s="854">
        <f>SUM(O76:O77)</f>
        <v>0</v>
      </c>
      <c r="P78" s="746">
        <v>0</v>
      </c>
      <c r="Q78" s="746">
        <f>SUM(Q76:Q77)</f>
        <v>311.19882352941175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5.1964285714285703</v>
      </c>
      <c r="C87" s="755">
        <f>'lokale energieproductie'!B17*IFERROR(SUM(D87:H87)/SUM(D87:O87),0)</f>
        <v>1870.7142857142858</v>
      </c>
      <c r="D87" s="766">
        <f>'lokale energieproductie'!C17</f>
        <v>2200.840336134454</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6.1134453781512601</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444.56974789915972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5.1964285714285703</v>
      </c>
      <c r="C90" s="744">
        <f>SUM(C87:C89)</f>
        <v>1870.7142857142858</v>
      </c>
      <c r="D90" s="744">
        <f t="shared" ref="D90:H90" si="12">SUM(D87:D89)</f>
        <v>2200.840336134454</v>
      </c>
      <c r="E90" s="744">
        <f t="shared" si="12"/>
        <v>0</v>
      </c>
      <c r="F90" s="744">
        <f t="shared" si="12"/>
        <v>0</v>
      </c>
      <c r="G90" s="744">
        <f t="shared" si="12"/>
        <v>0</v>
      </c>
      <c r="H90" s="744">
        <f t="shared" si="12"/>
        <v>0</v>
      </c>
      <c r="I90" s="744">
        <f>SUM(I87:I89)</f>
        <v>0</v>
      </c>
      <c r="J90" s="744">
        <f>SUM(J87:J89)</f>
        <v>6.1134453781512601</v>
      </c>
      <c r="K90" s="744">
        <f t="shared" ref="K90:L90" si="13">SUM(K87:K89)</f>
        <v>0</v>
      </c>
      <c r="L90" s="744">
        <f t="shared" si="13"/>
        <v>0</v>
      </c>
      <c r="M90" s="744">
        <f>SUM(M87:M89)</f>
        <v>0</v>
      </c>
      <c r="N90" s="744">
        <f>SUM(N87:N89)</f>
        <v>0</v>
      </c>
      <c r="O90" s="744">
        <f>SUM(O87:O89)</f>
        <v>0</v>
      </c>
      <c r="P90" s="744">
        <v>0</v>
      </c>
      <c r="Q90" s="744">
        <f>SUM(Q87:Q89)</f>
        <v>444.56974789915972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8693.0055494732042</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1313.1375</v>
      </c>
      <c r="C8" s="558">
        <f>B101</f>
        <v>1540.5882352941176</v>
      </c>
      <c r="D8" s="991"/>
      <c r="E8" s="991">
        <f>E101</f>
        <v>0</v>
      </c>
      <c r="F8" s="992"/>
      <c r="G8" s="559"/>
      <c r="H8" s="991">
        <f>I101</f>
        <v>0</v>
      </c>
      <c r="I8" s="991">
        <f>G101+F101</f>
        <v>0</v>
      </c>
      <c r="J8" s="991">
        <f>H101+D101+C101</f>
        <v>4.2794117647058822</v>
      </c>
      <c r="K8" s="991"/>
      <c r="L8" s="991"/>
      <c r="M8" s="991"/>
      <c r="N8" s="560"/>
      <c r="O8" s="561">
        <f>C8*$C$12+D8*$D$12+E8*$E$12+F8*$F$12+G8*$G$12+H8*$H$12+I8*$I$12+J8*$J$12</f>
        <v>311.19882352941175</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10006.143049473205</v>
      </c>
      <c r="C10" s="570">
        <f t="shared" ref="C10:L10" si="0">SUM(C8:C9)</f>
        <v>1540.5882352941176</v>
      </c>
      <c r="D10" s="570">
        <f t="shared" si="0"/>
        <v>0</v>
      </c>
      <c r="E10" s="570">
        <f t="shared" si="0"/>
        <v>0</v>
      </c>
      <c r="F10" s="570">
        <f t="shared" si="0"/>
        <v>0</v>
      </c>
      <c r="G10" s="570">
        <f t="shared" si="0"/>
        <v>0</v>
      </c>
      <c r="H10" s="570">
        <f t="shared" si="0"/>
        <v>0</v>
      </c>
      <c r="I10" s="570">
        <f t="shared" si="0"/>
        <v>0</v>
      </c>
      <c r="J10" s="570">
        <f t="shared" si="0"/>
        <v>4.2794117647058822</v>
      </c>
      <c r="K10" s="570">
        <f t="shared" si="0"/>
        <v>0</v>
      </c>
      <c r="L10" s="570">
        <f t="shared" si="0"/>
        <v>0</v>
      </c>
      <c r="M10" s="995"/>
      <c r="N10" s="995"/>
      <c r="O10" s="571">
        <f>SUM(O4:O9)</f>
        <v>311.19882352941175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1875.9107142857144</v>
      </c>
      <c r="C17" s="582">
        <f>B102</f>
        <v>2200.840336134454</v>
      </c>
      <c r="D17" s="583"/>
      <c r="E17" s="583">
        <f>E102</f>
        <v>0</v>
      </c>
      <c r="F17" s="584"/>
      <c r="G17" s="585"/>
      <c r="H17" s="582">
        <f>I102</f>
        <v>0</v>
      </c>
      <c r="I17" s="583">
        <f>G102+F102</f>
        <v>0</v>
      </c>
      <c r="J17" s="583">
        <f>H102+D102+C102</f>
        <v>6.1134453781512601</v>
      </c>
      <c r="K17" s="583"/>
      <c r="L17" s="583"/>
      <c r="M17" s="583"/>
      <c r="N17" s="998"/>
      <c r="O17" s="586">
        <f>C17*$C$22+E17*$E$22+H17*$H$22+I17*$I$22+J17*$J$22+D17*$D$22+F17*$F$22+G17*$G$22+K17*$K$22+L17*$L$22</f>
        <v>444.56974789915972</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1875.9107142857144</v>
      </c>
      <c r="C20" s="569">
        <f>SUM(C17:C19)</f>
        <v>2200.840336134454</v>
      </c>
      <c r="D20" s="569">
        <f t="shared" ref="D20:L20" si="1">SUM(D17:D19)</f>
        <v>0</v>
      </c>
      <c r="E20" s="569">
        <f t="shared" si="1"/>
        <v>0</v>
      </c>
      <c r="F20" s="569">
        <f t="shared" si="1"/>
        <v>0</v>
      </c>
      <c r="G20" s="569">
        <f t="shared" si="1"/>
        <v>0</v>
      </c>
      <c r="H20" s="569">
        <f t="shared" si="1"/>
        <v>0</v>
      </c>
      <c r="I20" s="569">
        <f t="shared" si="1"/>
        <v>0</v>
      </c>
      <c r="J20" s="569">
        <f t="shared" si="1"/>
        <v>6.1134453781512601</v>
      </c>
      <c r="K20" s="569">
        <f t="shared" si="1"/>
        <v>0</v>
      </c>
      <c r="L20" s="569">
        <f t="shared" si="1"/>
        <v>0</v>
      </c>
      <c r="M20" s="569"/>
      <c r="N20" s="569"/>
      <c r="O20" s="590">
        <f>SUM(O17:O19)</f>
        <v>444.56974789915972</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51">
      <c r="A28" s="594"/>
      <c r="B28" s="789">
        <v>38025</v>
      </c>
      <c r="C28" s="789">
        <v>8630</v>
      </c>
      <c r="D28" s="642" t="s">
        <v>948</v>
      </c>
      <c r="E28" s="641" t="s">
        <v>949</v>
      </c>
      <c r="F28" s="641" t="s">
        <v>950</v>
      </c>
      <c r="G28" s="641" t="s">
        <v>951</v>
      </c>
      <c r="H28" s="641" t="s">
        <v>952</v>
      </c>
      <c r="I28" s="641" t="s">
        <v>949</v>
      </c>
      <c r="J28" s="788">
        <v>40345</v>
      </c>
      <c r="K28" s="788">
        <v>40452</v>
      </c>
      <c r="L28" s="641" t="s">
        <v>953</v>
      </c>
      <c r="M28" s="641">
        <v>291</v>
      </c>
      <c r="N28" s="641">
        <v>1309.5</v>
      </c>
      <c r="O28" s="641">
        <v>1870.7142857142858</v>
      </c>
      <c r="P28" s="641">
        <v>3741.4285714285716</v>
      </c>
      <c r="Q28" s="641">
        <v>0</v>
      </c>
      <c r="R28" s="641">
        <v>0</v>
      </c>
      <c r="S28" s="641">
        <v>0</v>
      </c>
      <c r="T28" s="641">
        <v>0</v>
      </c>
      <c r="U28" s="641">
        <v>0</v>
      </c>
      <c r="V28" s="641">
        <v>0</v>
      </c>
      <c r="W28" s="641"/>
      <c r="X28" s="641">
        <v>1500</v>
      </c>
      <c r="Y28" s="641" t="s">
        <v>51</v>
      </c>
      <c r="Z28" s="643" t="s">
        <v>156</v>
      </c>
    </row>
    <row r="29" spans="1:26" s="595" customFormat="1" ht="25.5">
      <c r="A29" s="594"/>
      <c r="B29" s="789">
        <v>38025</v>
      </c>
      <c r="C29" s="789">
        <v>8630</v>
      </c>
      <c r="D29" s="642" t="s">
        <v>954</v>
      </c>
      <c r="E29" s="641" t="s">
        <v>955</v>
      </c>
      <c r="F29" s="641" t="s">
        <v>956</v>
      </c>
      <c r="G29" s="641" t="s">
        <v>951</v>
      </c>
      <c r="H29" s="641" t="s">
        <v>952</v>
      </c>
      <c r="I29" s="641" t="s">
        <v>957</v>
      </c>
      <c r="J29" s="788">
        <v>41117</v>
      </c>
      <c r="K29" s="788">
        <v>41244</v>
      </c>
      <c r="L29" s="641" t="s">
        <v>953</v>
      </c>
      <c r="M29" s="641">
        <v>9.6999999999999993</v>
      </c>
      <c r="N29" s="641">
        <v>3.6374999999999993</v>
      </c>
      <c r="O29" s="641">
        <v>5.1964285714285703</v>
      </c>
      <c r="P29" s="641">
        <v>0</v>
      </c>
      <c r="Q29" s="641">
        <v>10.392857142857142</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300.7</v>
      </c>
      <c r="N58" s="599">
        <f>SUM(N28:N57)</f>
        <v>1313.1375</v>
      </c>
      <c r="O58" s="599">
        <f t="shared" ref="O58:W58" si="2">SUM(O28:O57)</f>
        <v>1875.9107142857144</v>
      </c>
      <c r="P58" s="599">
        <f t="shared" si="2"/>
        <v>3741.4285714285716</v>
      </c>
      <c r="Q58" s="599">
        <f t="shared" si="2"/>
        <v>10.392857142857142</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291</v>
      </c>
      <c r="N60" s="599">
        <f ca="1">SUMIF($Z$28:AD57,"tertiair",N28:N57)</f>
        <v>1309.5</v>
      </c>
      <c r="O60" s="599">
        <f ca="1">SUMIF($Z$28:AE57,"tertiair",O28:O57)</f>
        <v>1870.7142857142858</v>
      </c>
      <c r="P60" s="599">
        <f ca="1">SUMIF($Z$28:AF57,"tertiair",P28:P57)</f>
        <v>3741.4285714285716</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9.6999999999999993</v>
      </c>
      <c r="N61" s="604">
        <f t="shared" si="4"/>
        <v>3.6374999999999993</v>
      </c>
      <c r="O61" s="604">
        <f t="shared" si="4"/>
        <v>5.1964285714285703</v>
      </c>
      <c r="P61" s="604">
        <f t="shared" si="4"/>
        <v>0</v>
      </c>
      <c r="Q61" s="604">
        <f t="shared" si="4"/>
        <v>10.392857142857142</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1540.5882352941176</v>
      </c>
      <c r="C101" s="633">
        <f t="shared" si="9"/>
        <v>4.2794117647058822</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2200.840336134454</v>
      </c>
      <c r="C102" s="636">
        <f t="shared" si="10"/>
        <v>6.1134453781512601</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19566.5120925271</v>
      </c>
      <c r="C4" s="461">
        <f>huishoudens!C8</f>
        <v>0</v>
      </c>
      <c r="D4" s="461">
        <f>huishoudens!D8</f>
        <v>48781.178314158919</v>
      </c>
      <c r="E4" s="461">
        <f>huishoudens!E8</f>
        <v>5474.2288952380577</v>
      </c>
      <c r="F4" s="461">
        <f>huishoudens!F8</f>
        <v>7953.19938029478</v>
      </c>
      <c r="G4" s="461">
        <f>huishoudens!G8</f>
        <v>0</v>
      </c>
      <c r="H4" s="461">
        <f>huishoudens!H8</f>
        <v>0</v>
      </c>
      <c r="I4" s="461">
        <f>huishoudens!I8</f>
        <v>0</v>
      </c>
      <c r="J4" s="461">
        <f>huishoudens!J8</f>
        <v>981.42328534896342</v>
      </c>
      <c r="K4" s="461">
        <f>huishoudens!K8</f>
        <v>0</v>
      </c>
      <c r="L4" s="461">
        <f>huishoudens!L8</f>
        <v>0</v>
      </c>
      <c r="M4" s="461">
        <f>huishoudens!M8</f>
        <v>0</v>
      </c>
      <c r="N4" s="461">
        <f>huishoudens!N8</f>
        <v>10717.107827365531</v>
      </c>
      <c r="O4" s="461">
        <f>huishoudens!O8</f>
        <v>109.43333333333334</v>
      </c>
      <c r="P4" s="462">
        <f>huishoudens!P8</f>
        <v>247.86666666666667</v>
      </c>
      <c r="Q4" s="463">
        <f>SUM(B4:P4)</f>
        <v>93830.94979493336</v>
      </c>
    </row>
    <row r="5" spans="1:17">
      <c r="A5" s="460" t="s">
        <v>156</v>
      </c>
      <c r="B5" s="461">
        <f ca="1">tertiair!B16</f>
        <v>27446.459096252445</v>
      </c>
      <c r="C5" s="461">
        <f ca="1">tertiair!C16</f>
        <v>1870.7142857142858</v>
      </c>
      <c r="D5" s="461">
        <f ca="1">tertiair!D16</f>
        <v>29443.379899390311</v>
      </c>
      <c r="E5" s="461">
        <f>tertiair!E16</f>
        <v>253.42809789488507</v>
      </c>
      <c r="F5" s="461">
        <f ca="1">tertiair!F16</f>
        <v>5273.6124559553573</v>
      </c>
      <c r="G5" s="461">
        <f>tertiair!G16</f>
        <v>0</v>
      </c>
      <c r="H5" s="461">
        <f>tertiair!H16</f>
        <v>0</v>
      </c>
      <c r="I5" s="461">
        <f>tertiair!I16</f>
        <v>0</v>
      </c>
      <c r="J5" s="461">
        <f>tertiair!J16</f>
        <v>0</v>
      </c>
      <c r="K5" s="461">
        <f>tertiair!K16</f>
        <v>0</v>
      </c>
      <c r="L5" s="461">
        <f ca="1">tertiair!L16</f>
        <v>0</v>
      </c>
      <c r="M5" s="461">
        <f>tertiair!M16</f>
        <v>0</v>
      </c>
      <c r="N5" s="461">
        <f ca="1">tertiair!N16</f>
        <v>1090.9824971005232</v>
      </c>
      <c r="O5" s="461">
        <f>tertiair!O16</f>
        <v>0</v>
      </c>
      <c r="P5" s="462">
        <f>tertiair!P16</f>
        <v>0</v>
      </c>
      <c r="Q5" s="460">
        <f t="shared" ref="Q5:Q14" ca="1" si="0">SUM(B5:P5)</f>
        <v>65378.576332307814</v>
      </c>
    </row>
    <row r="6" spans="1:17">
      <c r="A6" s="460" t="s">
        <v>194</v>
      </c>
      <c r="B6" s="461">
        <f>'openbare verlichting'!B8</f>
        <v>939</v>
      </c>
      <c r="C6" s="461"/>
      <c r="D6" s="461"/>
      <c r="E6" s="461"/>
      <c r="F6" s="461"/>
      <c r="G6" s="461"/>
      <c r="H6" s="461"/>
      <c r="I6" s="461"/>
      <c r="J6" s="461"/>
      <c r="K6" s="461"/>
      <c r="L6" s="461"/>
      <c r="M6" s="461"/>
      <c r="N6" s="461"/>
      <c r="O6" s="461"/>
      <c r="P6" s="462"/>
      <c r="Q6" s="460">
        <f t="shared" si="0"/>
        <v>939</v>
      </c>
    </row>
    <row r="7" spans="1:17">
      <c r="A7" s="460" t="s">
        <v>112</v>
      </c>
      <c r="B7" s="461">
        <f>landbouw!B8</f>
        <v>5605.8055597359835</v>
      </c>
      <c r="C7" s="461">
        <f>landbouw!C8</f>
        <v>5.1964285714285703</v>
      </c>
      <c r="D7" s="461">
        <f>landbouw!D8</f>
        <v>251.24549151705938</v>
      </c>
      <c r="E7" s="461">
        <f>landbouw!E8</f>
        <v>52.810444385646854</v>
      </c>
      <c r="F7" s="461">
        <f>landbouw!F8</f>
        <v>18293.603944897088</v>
      </c>
      <c r="G7" s="461">
        <f>landbouw!G8</f>
        <v>0</v>
      </c>
      <c r="H7" s="461">
        <f>landbouw!H8</f>
        <v>0</v>
      </c>
      <c r="I7" s="461">
        <f>landbouw!I8</f>
        <v>0</v>
      </c>
      <c r="J7" s="461">
        <f>landbouw!J8</f>
        <v>693.465414372346</v>
      </c>
      <c r="K7" s="461">
        <f>landbouw!K8</f>
        <v>0</v>
      </c>
      <c r="L7" s="461">
        <f>landbouw!L8</f>
        <v>0</v>
      </c>
      <c r="M7" s="461">
        <f>landbouw!M8</f>
        <v>0</v>
      </c>
      <c r="N7" s="461">
        <f>landbouw!N8</f>
        <v>0</v>
      </c>
      <c r="O7" s="461">
        <f>landbouw!O8</f>
        <v>0</v>
      </c>
      <c r="P7" s="462">
        <f>landbouw!P8</f>
        <v>0</v>
      </c>
      <c r="Q7" s="460">
        <f t="shared" si="0"/>
        <v>24902.127283479553</v>
      </c>
    </row>
    <row r="8" spans="1:17">
      <c r="A8" s="460" t="s">
        <v>685</v>
      </c>
      <c r="B8" s="461">
        <f>industrie!B18</f>
        <v>54721.649741052592</v>
      </c>
      <c r="C8" s="461">
        <f>industrie!C18</f>
        <v>0</v>
      </c>
      <c r="D8" s="461">
        <f>industrie!D18</f>
        <v>156687.62264014708</v>
      </c>
      <c r="E8" s="461">
        <f>industrie!E18</f>
        <v>484.53876958458829</v>
      </c>
      <c r="F8" s="461">
        <f>industrie!F18</f>
        <v>13428.299167768004</v>
      </c>
      <c r="G8" s="461">
        <f>industrie!G18</f>
        <v>0</v>
      </c>
      <c r="H8" s="461">
        <f>industrie!H18</f>
        <v>0</v>
      </c>
      <c r="I8" s="461">
        <f>industrie!I18</f>
        <v>0</v>
      </c>
      <c r="J8" s="461">
        <f>industrie!J18</f>
        <v>179.19016775175237</v>
      </c>
      <c r="K8" s="461">
        <f>industrie!K18</f>
        <v>0</v>
      </c>
      <c r="L8" s="461">
        <f>industrie!L18</f>
        <v>0</v>
      </c>
      <c r="M8" s="461">
        <f>industrie!M18</f>
        <v>0</v>
      </c>
      <c r="N8" s="461">
        <f>industrie!N18</f>
        <v>1701.0568943750786</v>
      </c>
      <c r="O8" s="461">
        <f>industrie!O18</f>
        <v>0</v>
      </c>
      <c r="P8" s="462">
        <f>industrie!P18</f>
        <v>0</v>
      </c>
      <c r="Q8" s="460">
        <f t="shared" si="0"/>
        <v>227202.35738067908</v>
      </c>
    </row>
    <row r="9" spans="1:17" s="466" customFormat="1">
      <c r="A9" s="464" t="s">
        <v>579</v>
      </c>
      <c r="B9" s="465">
        <f>transport!B14</f>
        <v>3.1931331338613913</v>
      </c>
      <c r="C9" s="465">
        <f>transport!C14</f>
        <v>0</v>
      </c>
      <c r="D9" s="465">
        <f>transport!D14</f>
        <v>8.6231234379451145</v>
      </c>
      <c r="E9" s="465">
        <f>transport!E14</f>
        <v>551.94163333856557</v>
      </c>
      <c r="F9" s="465">
        <f>transport!F14</f>
        <v>0</v>
      </c>
      <c r="G9" s="465">
        <f>transport!G14</f>
        <v>158381.79487729963</v>
      </c>
      <c r="H9" s="465">
        <f>transport!H14</f>
        <v>19659.535091991445</v>
      </c>
      <c r="I9" s="465">
        <f>transport!I14</f>
        <v>0</v>
      </c>
      <c r="J9" s="465">
        <f>transport!J14</f>
        <v>0</v>
      </c>
      <c r="K9" s="465">
        <f>transport!K14</f>
        <v>0</v>
      </c>
      <c r="L9" s="465">
        <f>transport!L14</f>
        <v>0</v>
      </c>
      <c r="M9" s="465">
        <f>transport!M14</f>
        <v>7952.1267888857956</v>
      </c>
      <c r="N9" s="465">
        <f>transport!N14</f>
        <v>0</v>
      </c>
      <c r="O9" s="465">
        <f>transport!O14</f>
        <v>0</v>
      </c>
      <c r="P9" s="465">
        <f>transport!P14</f>
        <v>0</v>
      </c>
      <c r="Q9" s="464">
        <f>SUM(B9:P9)</f>
        <v>186557.21464808725</v>
      </c>
    </row>
    <row r="10" spans="1:17">
      <c r="A10" s="460" t="s">
        <v>569</v>
      </c>
      <c r="B10" s="461">
        <f>transport!B54</f>
        <v>0</v>
      </c>
      <c r="C10" s="461">
        <f>transport!C54</f>
        <v>0</v>
      </c>
      <c r="D10" s="461">
        <f>transport!D54</f>
        <v>0</v>
      </c>
      <c r="E10" s="461">
        <f>transport!E54</f>
        <v>0</v>
      </c>
      <c r="F10" s="461">
        <f>transport!F54</f>
        <v>0</v>
      </c>
      <c r="G10" s="461">
        <f>transport!G54</f>
        <v>1233.6684939139298</v>
      </c>
      <c r="H10" s="461">
        <f>transport!H54</f>
        <v>0</v>
      </c>
      <c r="I10" s="461">
        <f>transport!I54</f>
        <v>0</v>
      </c>
      <c r="J10" s="461">
        <f>transport!J54</f>
        <v>0</v>
      </c>
      <c r="K10" s="461">
        <f>transport!K54</f>
        <v>0</v>
      </c>
      <c r="L10" s="461">
        <f>transport!L54</f>
        <v>0</v>
      </c>
      <c r="M10" s="461">
        <f>transport!M54</f>
        <v>54.172418631236816</v>
      </c>
      <c r="N10" s="461">
        <f>transport!N54</f>
        <v>0</v>
      </c>
      <c r="O10" s="461">
        <f>transport!O54</f>
        <v>0</v>
      </c>
      <c r="P10" s="462">
        <f>transport!P54</f>
        <v>0</v>
      </c>
      <c r="Q10" s="460">
        <f t="shared" si="0"/>
        <v>1287.8409125451665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1215.72425737865</v>
      </c>
      <c r="C14" s="468"/>
      <c r="D14" s="468">
        <f>'SEAP template'!E25</f>
        <v>3213.2432571229801</v>
      </c>
      <c r="E14" s="468"/>
      <c r="F14" s="468"/>
      <c r="G14" s="468"/>
      <c r="H14" s="468"/>
      <c r="I14" s="468"/>
      <c r="J14" s="468"/>
      <c r="K14" s="468"/>
      <c r="L14" s="468"/>
      <c r="M14" s="468"/>
      <c r="N14" s="468"/>
      <c r="O14" s="468"/>
      <c r="P14" s="469"/>
      <c r="Q14" s="460">
        <f t="shared" si="0"/>
        <v>4428.9675145016299</v>
      </c>
    </row>
    <row r="15" spans="1:17" s="473" customFormat="1">
      <c r="A15" s="470" t="s">
        <v>573</v>
      </c>
      <c r="B15" s="471">
        <f ca="1">SUM(B4:B14)</f>
        <v>109498.34388008062</v>
      </c>
      <c r="C15" s="471">
        <f t="shared" ref="C15:Q15" ca="1" si="1">SUM(C4:C14)</f>
        <v>1875.9107142857144</v>
      </c>
      <c r="D15" s="471">
        <f t="shared" ca="1" si="1"/>
        <v>238385.29272577431</v>
      </c>
      <c r="E15" s="471">
        <f t="shared" si="1"/>
        <v>6816.9478404417432</v>
      </c>
      <c r="F15" s="471">
        <f t="shared" ca="1" si="1"/>
        <v>44948.714948915229</v>
      </c>
      <c r="G15" s="471">
        <f t="shared" si="1"/>
        <v>159615.46337121355</v>
      </c>
      <c r="H15" s="471">
        <f t="shared" si="1"/>
        <v>19659.535091991445</v>
      </c>
      <c r="I15" s="471">
        <f t="shared" si="1"/>
        <v>0</v>
      </c>
      <c r="J15" s="471">
        <f t="shared" si="1"/>
        <v>1854.0788674730618</v>
      </c>
      <c r="K15" s="471">
        <f t="shared" si="1"/>
        <v>0</v>
      </c>
      <c r="L15" s="471">
        <f t="shared" ca="1" si="1"/>
        <v>0</v>
      </c>
      <c r="M15" s="471">
        <f t="shared" si="1"/>
        <v>8006.2992075170323</v>
      </c>
      <c r="N15" s="471">
        <f t="shared" ca="1" si="1"/>
        <v>13509.147218841134</v>
      </c>
      <c r="O15" s="471">
        <f t="shared" si="1"/>
        <v>109.43333333333334</v>
      </c>
      <c r="P15" s="471">
        <f t="shared" si="1"/>
        <v>247.86666666666667</v>
      </c>
      <c r="Q15" s="471">
        <f t="shared" ca="1" si="1"/>
        <v>604527.03386653389</v>
      </c>
    </row>
    <row r="17" spans="1:17">
      <c r="A17" s="474" t="s">
        <v>574</v>
      </c>
      <c r="B17" s="778">
        <f ca="1">huishoudens!B10</f>
        <v>0.2036466892276913</v>
      </c>
      <c r="C17" s="778">
        <f ca="1">huishoudens!C10</f>
        <v>0.2369887567215252</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3984.6554073767302</v>
      </c>
      <c r="C22" s="461">
        <f t="shared" ref="C22:C32" ca="1" si="3">C4*$C$17</f>
        <v>0</v>
      </c>
      <c r="D22" s="461">
        <f t="shared" ref="D22:D32" si="4">D4*$D$17</f>
        <v>9853.7980194601023</v>
      </c>
      <c r="E22" s="461">
        <f t="shared" ref="E22:E32" si="5">E4*$E$17</f>
        <v>1242.6499592190391</v>
      </c>
      <c r="F22" s="461">
        <f t="shared" ref="F22:F32" si="6">F4*$F$17</f>
        <v>2123.5042345387064</v>
      </c>
      <c r="G22" s="461">
        <f t="shared" ref="G22:G32" si="7">G4*$G$17</f>
        <v>0</v>
      </c>
      <c r="H22" s="461">
        <f t="shared" ref="H22:H32" si="8">H4*$H$17</f>
        <v>0</v>
      </c>
      <c r="I22" s="461">
        <f t="shared" ref="I22:I32" si="9">I4*$I$17</f>
        <v>0</v>
      </c>
      <c r="J22" s="461">
        <f t="shared" ref="J22:J32" si="10">J4*$J$17</f>
        <v>347.42384301353303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17552.031463608113</v>
      </c>
    </row>
    <row r="23" spans="1:17">
      <c r="A23" s="460" t="s">
        <v>156</v>
      </c>
      <c r="B23" s="461">
        <f t="shared" ca="1" si="2"/>
        <v>5589.3805259750625</v>
      </c>
      <c r="C23" s="461">
        <f t="shared" ca="1" si="3"/>
        <v>443.33825275262467</v>
      </c>
      <c r="D23" s="461">
        <f t="shared" ca="1" si="4"/>
        <v>5947.5627396768432</v>
      </c>
      <c r="E23" s="461">
        <f t="shared" si="5"/>
        <v>57.528178222138912</v>
      </c>
      <c r="F23" s="461">
        <f t="shared" ca="1" si="6"/>
        <v>1408.0545257400804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13445.86422236675</v>
      </c>
    </row>
    <row r="24" spans="1:17">
      <c r="A24" s="460" t="s">
        <v>194</v>
      </c>
      <c r="B24" s="461">
        <f t="shared" ca="1" si="2"/>
        <v>191.22424118480214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191.22424118480214</v>
      </c>
    </row>
    <row r="25" spans="1:17">
      <c r="A25" s="460" t="s">
        <v>112</v>
      </c>
      <c r="B25" s="461">
        <f t="shared" ca="1" si="2"/>
        <v>1141.6037426944179</v>
      </c>
      <c r="C25" s="461">
        <f t="shared" ca="1" si="3"/>
        <v>1.2314951465350681</v>
      </c>
      <c r="D25" s="461">
        <f t="shared" si="4"/>
        <v>50.751589286445999</v>
      </c>
      <c r="E25" s="461">
        <f t="shared" si="5"/>
        <v>11.987970875541835</v>
      </c>
      <c r="F25" s="461">
        <f t="shared" si="6"/>
        <v>4884.3922532875231</v>
      </c>
      <c r="G25" s="461">
        <f t="shared" si="7"/>
        <v>0</v>
      </c>
      <c r="H25" s="461">
        <f t="shared" si="8"/>
        <v>0</v>
      </c>
      <c r="I25" s="461">
        <f t="shared" si="9"/>
        <v>0</v>
      </c>
      <c r="J25" s="461">
        <f t="shared" si="10"/>
        <v>245.48675668781047</v>
      </c>
      <c r="K25" s="461">
        <f t="shared" si="11"/>
        <v>0</v>
      </c>
      <c r="L25" s="461">
        <f t="shared" si="12"/>
        <v>0</v>
      </c>
      <c r="M25" s="461">
        <f t="shared" si="13"/>
        <v>0</v>
      </c>
      <c r="N25" s="461">
        <f t="shared" si="14"/>
        <v>0</v>
      </c>
      <c r="O25" s="461">
        <f t="shared" si="15"/>
        <v>0</v>
      </c>
      <c r="P25" s="462">
        <f t="shared" si="16"/>
        <v>0</v>
      </c>
      <c r="Q25" s="460">
        <f t="shared" ca="1" si="17"/>
        <v>6335.4538079782742</v>
      </c>
    </row>
    <row r="26" spans="1:17">
      <c r="A26" s="460" t="s">
        <v>685</v>
      </c>
      <c r="B26" s="461">
        <f t="shared" ca="1" si="2"/>
        <v>11143.882798842711</v>
      </c>
      <c r="C26" s="461">
        <f t="shared" ca="1" si="3"/>
        <v>0</v>
      </c>
      <c r="D26" s="461">
        <f t="shared" si="4"/>
        <v>31650.899773309713</v>
      </c>
      <c r="E26" s="461">
        <f t="shared" si="5"/>
        <v>109.99030069570155</v>
      </c>
      <c r="F26" s="461">
        <f t="shared" si="6"/>
        <v>3585.3558777940571</v>
      </c>
      <c r="G26" s="461">
        <f t="shared" si="7"/>
        <v>0</v>
      </c>
      <c r="H26" s="461">
        <f t="shared" si="8"/>
        <v>0</v>
      </c>
      <c r="I26" s="461">
        <f t="shared" si="9"/>
        <v>0</v>
      </c>
      <c r="J26" s="461">
        <f t="shared" si="10"/>
        <v>63.433319384120338</v>
      </c>
      <c r="K26" s="461">
        <f t="shared" si="11"/>
        <v>0</v>
      </c>
      <c r="L26" s="461">
        <f t="shared" si="12"/>
        <v>0</v>
      </c>
      <c r="M26" s="461">
        <f t="shared" si="13"/>
        <v>0</v>
      </c>
      <c r="N26" s="461">
        <f t="shared" si="14"/>
        <v>0</v>
      </c>
      <c r="O26" s="461">
        <f t="shared" si="15"/>
        <v>0</v>
      </c>
      <c r="P26" s="462">
        <f t="shared" si="16"/>
        <v>0</v>
      </c>
      <c r="Q26" s="460">
        <f t="shared" ca="1" si="17"/>
        <v>46553.56207002631</v>
      </c>
    </row>
    <row r="27" spans="1:17" s="466" customFormat="1">
      <c r="A27" s="464" t="s">
        <v>579</v>
      </c>
      <c r="B27" s="772">
        <f t="shared" ca="1" si="2"/>
        <v>0.65027099097411478</v>
      </c>
      <c r="C27" s="465">
        <f t="shared" ca="1" si="3"/>
        <v>0</v>
      </c>
      <c r="D27" s="465">
        <f t="shared" si="4"/>
        <v>1.7418709344649133</v>
      </c>
      <c r="E27" s="465">
        <f t="shared" si="5"/>
        <v>125.29075076785439</v>
      </c>
      <c r="F27" s="465">
        <f t="shared" si="6"/>
        <v>0</v>
      </c>
      <c r="G27" s="465">
        <f t="shared" si="7"/>
        <v>42287.939232239005</v>
      </c>
      <c r="H27" s="465">
        <f t="shared" si="8"/>
        <v>4895.2242379058698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47310.846362838172</v>
      </c>
    </row>
    <row r="28" spans="1:17">
      <c r="A28" s="460" t="s">
        <v>569</v>
      </c>
      <c r="B28" s="461">
        <f t="shared" ca="1" si="2"/>
        <v>0</v>
      </c>
      <c r="C28" s="461">
        <f t="shared" ca="1" si="3"/>
        <v>0</v>
      </c>
      <c r="D28" s="461">
        <f t="shared" si="4"/>
        <v>0</v>
      </c>
      <c r="E28" s="461">
        <f t="shared" si="5"/>
        <v>0</v>
      </c>
      <c r="F28" s="461">
        <f t="shared" si="6"/>
        <v>0</v>
      </c>
      <c r="G28" s="461">
        <f t="shared" si="7"/>
        <v>329.38948787501926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329.38948787501926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247.57822002895574</v>
      </c>
      <c r="C32" s="461">
        <f t="shared" ca="1" si="3"/>
        <v>0</v>
      </c>
      <c r="D32" s="461">
        <f t="shared" si="4"/>
        <v>649.07513793884198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896.65335796779777</v>
      </c>
    </row>
    <row r="33" spans="1:17" s="473" customFormat="1">
      <c r="A33" s="470" t="s">
        <v>573</v>
      </c>
      <c r="B33" s="471">
        <f ca="1">SUM(B22:B32)</f>
        <v>22298.975207093648</v>
      </c>
      <c r="C33" s="471">
        <f t="shared" ref="C33:Q33" ca="1" si="18">SUM(C22:C32)</f>
        <v>444.56974789915972</v>
      </c>
      <c r="D33" s="471">
        <f t="shared" ca="1" si="18"/>
        <v>48153.829130606406</v>
      </c>
      <c r="E33" s="471">
        <f t="shared" si="18"/>
        <v>1547.4471597802758</v>
      </c>
      <c r="F33" s="471">
        <f t="shared" ca="1" si="18"/>
        <v>12001.306891360367</v>
      </c>
      <c r="G33" s="471">
        <f t="shared" si="18"/>
        <v>42617.328720114027</v>
      </c>
      <c r="H33" s="471">
        <f t="shared" si="18"/>
        <v>4895.2242379058698</v>
      </c>
      <c r="I33" s="471">
        <f t="shared" si="18"/>
        <v>0</v>
      </c>
      <c r="J33" s="471">
        <f t="shared" si="18"/>
        <v>656.34391908546377</v>
      </c>
      <c r="K33" s="471">
        <f t="shared" si="18"/>
        <v>0</v>
      </c>
      <c r="L33" s="471">
        <f t="shared" ca="1" si="18"/>
        <v>0</v>
      </c>
      <c r="M33" s="471">
        <f t="shared" si="18"/>
        <v>0</v>
      </c>
      <c r="N33" s="471">
        <f t="shared" ca="1" si="18"/>
        <v>0</v>
      </c>
      <c r="O33" s="471">
        <f t="shared" si="18"/>
        <v>0</v>
      </c>
      <c r="P33" s="471">
        <f t="shared" si="18"/>
        <v>0</v>
      </c>
      <c r="Q33" s="471">
        <f t="shared" ca="1" si="18"/>
        <v>132615.02501384524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8693.0055494732042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3.6375000000000002</v>
      </c>
      <c r="C8" s="1037">
        <f>'SEAP template'!C76</f>
        <v>1309.5</v>
      </c>
      <c r="D8" s="1037">
        <f>'SEAP template'!D76</f>
        <v>1540.5882352941176</v>
      </c>
      <c r="E8" s="1037">
        <f>'SEAP template'!E76</f>
        <v>0</v>
      </c>
      <c r="F8" s="1037">
        <f>'SEAP template'!F76</f>
        <v>0</v>
      </c>
      <c r="G8" s="1037">
        <f>'SEAP template'!G76</f>
        <v>0</v>
      </c>
      <c r="H8" s="1037">
        <f>'SEAP template'!H76</f>
        <v>0</v>
      </c>
      <c r="I8" s="1037">
        <f>'SEAP template'!I76</f>
        <v>0</v>
      </c>
      <c r="J8" s="1037">
        <f>'SEAP template'!J76</f>
        <v>4.2794117647058822</v>
      </c>
      <c r="K8" s="1037">
        <f>'SEAP template'!K76</f>
        <v>0</v>
      </c>
      <c r="L8" s="1037">
        <f>'SEAP template'!L76</f>
        <v>0</v>
      </c>
      <c r="M8" s="1037">
        <f>'SEAP template'!M76</f>
        <v>0</v>
      </c>
      <c r="N8" s="1037">
        <f>'SEAP template'!N76</f>
        <v>0</v>
      </c>
      <c r="O8" s="1037">
        <f>'SEAP template'!O76</f>
        <v>0</v>
      </c>
      <c r="P8" s="1038">
        <f>'SEAP template'!Q76</f>
        <v>311.19882352941175</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8696.6430494732049</v>
      </c>
      <c r="C10" s="1041">
        <f>SUM(C4:C9)</f>
        <v>1309.5</v>
      </c>
      <c r="D10" s="1041">
        <f t="shared" ref="D10:H10" si="0">SUM(D8:D9)</f>
        <v>1540.5882352941176</v>
      </c>
      <c r="E10" s="1041">
        <f t="shared" si="0"/>
        <v>0</v>
      </c>
      <c r="F10" s="1041">
        <f t="shared" si="0"/>
        <v>0</v>
      </c>
      <c r="G10" s="1041">
        <f t="shared" si="0"/>
        <v>0</v>
      </c>
      <c r="H10" s="1041">
        <f t="shared" si="0"/>
        <v>0</v>
      </c>
      <c r="I10" s="1041">
        <f>SUM(I8:I9)</f>
        <v>0</v>
      </c>
      <c r="J10" s="1041">
        <f>SUM(J8:J9)</f>
        <v>4.2794117647058822</v>
      </c>
      <c r="K10" s="1041">
        <f t="shared" ref="K10:L10" si="1">SUM(K8:K9)</f>
        <v>0</v>
      </c>
      <c r="L10" s="1041">
        <f t="shared" si="1"/>
        <v>0</v>
      </c>
      <c r="M10" s="1041">
        <f>SUM(M8:M9)</f>
        <v>0</v>
      </c>
      <c r="N10" s="1041">
        <f>SUM(N8:N9)</f>
        <v>0</v>
      </c>
      <c r="O10" s="1041">
        <f>SUM(O8:O9)</f>
        <v>0</v>
      </c>
      <c r="P10" s="1041">
        <f>SUM(P8:P9)</f>
        <v>311.19882352941175</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0.2036466892276913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5.1964285714285703</v>
      </c>
      <c r="C17" s="1044">
        <f>'SEAP template'!C87</f>
        <v>1870.7142857142858</v>
      </c>
      <c r="D17" s="1038">
        <f>'SEAP template'!D87</f>
        <v>2200.840336134454</v>
      </c>
      <c r="E17" s="1038">
        <f>'SEAP template'!E87</f>
        <v>0</v>
      </c>
      <c r="F17" s="1038">
        <f>'SEAP template'!F87</f>
        <v>0</v>
      </c>
      <c r="G17" s="1038">
        <f>'SEAP template'!G87</f>
        <v>0</v>
      </c>
      <c r="H17" s="1038">
        <f>'SEAP template'!H87</f>
        <v>0</v>
      </c>
      <c r="I17" s="1038">
        <f>'SEAP template'!I87</f>
        <v>0</v>
      </c>
      <c r="J17" s="1038">
        <f>'SEAP template'!J87</f>
        <v>6.1134453781512601</v>
      </c>
      <c r="K17" s="1038">
        <f>'SEAP template'!K87</f>
        <v>0</v>
      </c>
      <c r="L17" s="1038">
        <f>'SEAP template'!L87</f>
        <v>0</v>
      </c>
      <c r="M17" s="1038">
        <f>'SEAP template'!M87</f>
        <v>0</v>
      </c>
      <c r="N17" s="1038">
        <f>'SEAP template'!N87</f>
        <v>0</v>
      </c>
      <c r="O17" s="1038">
        <f>'SEAP template'!O87</f>
        <v>0</v>
      </c>
      <c r="P17" s="1038">
        <f>'SEAP template'!Q87</f>
        <v>444.56974789915972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5.1964285714285703</v>
      </c>
      <c r="C20" s="1041">
        <f>SUM(C17:C19)</f>
        <v>1870.7142857142858</v>
      </c>
      <c r="D20" s="1041">
        <f t="shared" ref="D20:H20" si="2">SUM(D17:D19)</f>
        <v>2200.840336134454</v>
      </c>
      <c r="E20" s="1041">
        <f t="shared" si="2"/>
        <v>0</v>
      </c>
      <c r="F20" s="1041">
        <f t="shared" si="2"/>
        <v>0</v>
      </c>
      <c r="G20" s="1041">
        <f t="shared" si="2"/>
        <v>0</v>
      </c>
      <c r="H20" s="1041">
        <f t="shared" si="2"/>
        <v>0</v>
      </c>
      <c r="I20" s="1041">
        <f>SUM(I17:I19)</f>
        <v>0</v>
      </c>
      <c r="J20" s="1041">
        <f>SUM(J17:J19)</f>
        <v>6.1134453781512601</v>
      </c>
      <c r="K20" s="1041">
        <f t="shared" ref="K20:L20" si="3">SUM(K17:K19)</f>
        <v>0</v>
      </c>
      <c r="L20" s="1041">
        <f t="shared" si="3"/>
        <v>0</v>
      </c>
      <c r="M20" s="1041">
        <f>SUM(M17:M19)</f>
        <v>0</v>
      </c>
      <c r="N20" s="1041">
        <f>SUM(N17:N19)</f>
        <v>0</v>
      </c>
      <c r="O20" s="1041">
        <f>SUM(O17:O19)</f>
        <v>0</v>
      </c>
      <c r="P20" s="1041">
        <f>SUM(P17:P19)</f>
        <v>444.56974789915972</v>
      </c>
    </row>
    <row r="22" spans="1:16">
      <c r="A22" s="474" t="s">
        <v>932</v>
      </c>
      <c r="B22" s="778" t="s">
        <v>926</v>
      </c>
      <c r="C22" s="778">
        <f ca="1">'EF ele_warmte'!B22</f>
        <v>0.2369887567215252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0.2036466892276913</v>
      </c>
      <c r="C17" s="510">
        <f ca="1">'EF ele_warmte'!B22</f>
        <v>0.2369887567215252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2019-08-12T07:55:08Z</dcterms:modified>
</cp:coreProperties>
</file>