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B10"/>
  <c r="F20"/>
  <c r="O18"/>
  <c r="B17"/>
  <c r="B20" s="1"/>
  <c r="C98"/>
  <c r="F101" s="1"/>
  <c r="I102"/>
  <c r="H17" s="1"/>
  <c r="H20" s="1"/>
  <c r="E102"/>
  <c r="E17" s="1"/>
  <c r="E20" s="1"/>
  <c r="G102"/>
  <c r="C102"/>
  <c r="H102"/>
  <c r="D102"/>
  <c r="F102"/>
  <c r="B102"/>
  <c r="C17" s="1"/>
  <c r="N6" i="17"/>
  <c r="L6"/>
  <c r="F6"/>
  <c r="D6"/>
  <c r="C6"/>
  <c r="N16" i="16"/>
  <c r="L16"/>
  <c r="F16"/>
  <c r="D16"/>
  <c r="C16"/>
  <c r="B16"/>
  <c r="B13" i="15"/>
  <c r="B101" i="18" l="1"/>
  <c r="C8" s="1"/>
  <c r="D76" i="14" s="1"/>
  <c r="I101" i="18"/>
  <c r="H8" s="1"/>
  <c r="H10" s="1"/>
  <c r="C101"/>
  <c r="H101"/>
  <c r="J8" s="1"/>
  <c r="D101"/>
  <c r="E101"/>
  <c r="E8" s="1"/>
  <c r="E10" s="1"/>
  <c r="G101"/>
  <c r="I8" s="1"/>
  <c r="C10"/>
  <c r="C20"/>
  <c r="I17"/>
  <c r="I20" s="1"/>
  <c r="J17"/>
  <c r="J20" s="1"/>
  <c r="B19" i="6"/>
  <c r="B18"/>
  <c r="B5"/>
  <c r="C29" i="14" s="1"/>
  <c r="B6" i="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Q11" s="1"/>
  <c r="P32"/>
  <c r="O32"/>
  <c r="P31"/>
  <c r="O31"/>
  <c r="Q12"/>
  <c r="P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C88" s="1"/>
  <c r="C18" i="56" s="1"/>
  <c r="O87" i="14"/>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L76"/>
  <c r="L8" i="56" s="1"/>
  <c r="K76" i="14"/>
  <c r="H76"/>
  <c r="H8" i="56" s="1"/>
  <c r="G76" i="14"/>
  <c r="G8" i="56" s="1"/>
  <c r="F76" i="14"/>
  <c r="F8" i="56" s="1"/>
  <c r="E76" i="14"/>
  <c r="B75"/>
  <c r="B7" i="56" s="1"/>
  <c r="B74" i="14"/>
  <c r="B6" i="56" s="1"/>
  <c r="B73" i="14"/>
  <c r="B5" i="56" s="1"/>
  <c r="B72" i="14"/>
  <c r="B4" i="56" s="1"/>
  <c r="Q54" i="14"/>
  <c r="P54"/>
  <c r="L54"/>
  <c r="J54"/>
  <c r="I54"/>
  <c r="I56" s="1"/>
  <c r="H54"/>
  <c r="Q24"/>
  <c r="P24"/>
  <c r="N24"/>
  <c r="L24"/>
  <c r="L26" s="1"/>
  <c r="J24"/>
  <c r="J26" s="1"/>
  <c r="I24"/>
  <c r="H24"/>
  <c r="H26" s="1"/>
  <c r="Q50"/>
  <c r="P50"/>
  <c r="O50"/>
  <c r="M50"/>
  <c r="L50"/>
  <c r="K50"/>
  <c r="J50"/>
  <c r="G50"/>
  <c r="D50"/>
  <c r="Q49"/>
  <c r="P49"/>
  <c r="Q20"/>
  <c r="P20"/>
  <c r="O20"/>
  <c r="M20"/>
  <c r="L20"/>
  <c r="K20"/>
  <c r="K22" s="1"/>
  <c r="J20"/>
  <c r="G20"/>
  <c r="D20"/>
  <c r="Q19"/>
  <c r="Q22" s="1"/>
  <c r="P19"/>
  <c r="P22" s="1"/>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Q89"/>
  <c r="P19" i="56" s="1"/>
  <c r="R90" i="14"/>
  <c r="R78"/>
  <c r="L78"/>
  <c r="P56"/>
  <c r="L56"/>
  <c r="J56"/>
  <c r="H56"/>
  <c r="Q56"/>
  <c r="R44"/>
  <c r="Q26"/>
  <c r="N26"/>
  <c r="I26"/>
  <c r="E25"/>
  <c r="D14" i="48" s="1"/>
  <c r="C25" i="14"/>
  <c r="B14" i="48" s="1"/>
  <c r="P26" i="14"/>
  <c r="L22"/>
  <c r="D22"/>
  <c r="R12"/>
  <c r="F13" i="15"/>
  <c r="D13"/>
  <c r="C13"/>
  <c r="D8" i="56" l="1"/>
  <c r="Q76" i="14"/>
  <c r="P8" i="56" s="1"/>
  <c r="J10" i="18"/>
  <c r="J76" i="14"/>
  <c r="I10" i="18"/>
  <c r="I76" i="14"/>
  <c r="I8" i="56" s="1"/>
  <c r="I10" s="1"/>
  <c r="Q14" i="48"/>
  <c r="K78" i="14"/>
  <c r="K8" i="56"/>
  <c r="K10" s="1"/>
  <c r="O78" i="14"/>
  <c r="O9" i="56"/>
  <c r="O10" s="1"/>
  <c r="C77" i="14"/>
  <c r="C9" i="56" s="1"/>
  <c r="D9"/>
  <c r="D10" s="1"/>
  <c r="N78" i="14"/>
  <c r="N8" i="56"/>
  <c r="N10" s="1"/>
  <c r="E8"/>
  <c r="E10" s="1"/>
  <c r="O20"/>
  <c r="F90" i="14"/>
  <c r="M76"/>
  <c r="C76" s="1"/>
  <c r="E20" i="56"/>
  <c r="L90" i="14"/>
  <c r="L17" i="56"/>
  <c r="L20" s="1"/>
  <c r="G90" i="14"/>
  <c r="G18" i="56"/>
  <c r="G20" s="1"/>
  <c r="O90" i="14"/>
  <c r="O18" i="56"/>
  <c r="Q88" i="14"/>
  <c r="P18" i="56" s="1"/>
  <c r="D18"/>
  <c r="K90" i="14"/>
  <c r="K18" i="56"/>
  <c r="K20" s="1"/>
  <c r="H78" i="14"/>
  <c r="H9" i="56"/>
  <c r="H10" s="1"/>
  <c r="Q87" i="14"/>
  <c r="P17" i="56" s="1"/>
  <c r="P20" s="1"/>
  <c r="D17"/>
  <c r="D20" s="1"/>
  <c r="G78" i="14"/>
  <c r="F78"/>
  <c r="G10" i="56"/>
  <c r="N90" i="14"/>
  <c r="F10" i="56"/>
  <c r="F20"/>
  <c r="H90" i="14"/>
  <c r="M20" i="56"/>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E90"/>
  <c r="I90"/>
  <c r="M90"/>
  <c r="D90"/>
  <c r="C8" i="56" l="1"/>
  <c r="C10" s="1"/>
  <c r="C78" i="14"/>
  <c r="Q78"/>
  <c r="B9" i="6" s="1"/>
  <c r="P9" i="56"/>
  <c r="P10" s="1"/>
  <c r="J90" i="14"/>
  <c r="J17" i="56"/>
  <c r="J20" s="1"/>
  <c r="J8"/>
  <c r="J10" s="1"/>
  <c r="J78" i="14"/>
  <c r="Q90"/>
  <c r="B17" i="6" s="1"/>
  <c r="M78" i="14"/>
  <c r="M8" i="56"/>
  <c r="M10" s="1"/>
  <c r="B76" i="14"/>
  <c r="C90"/>
  <c r="B87"/>
  <c r="B8" i="56" l="1"/>
  <c r="B10" s="1"/>
  <c r="B78" i="14"/>
  <c r="B4" i="6" s="1"/>
  <c r="B90" i="14"/>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30" i="48" l="1"/>
  <c r="D28"/>
  <c r="D24"/>
  <c r="D29"/>
  <c r="D31"/>
  <c r="D32"/>
  <c r="I5"/>
  <c r="J10" i="14"/>
  <c r="J16" s="1"/>
  <c r="J27" s="1"/>
  <c r="J32" i="48"/>
  <c r="J30"/>
  <c r="J27"/>
  <c r="J24"/>
  <c r="J28"/>
  <c r="J29"/>
  <c r="J31"/>
  <c r="O4"/>
  <c r="P11" i="14"/>
  <c r="H28" i="48"/>
  <c r="H32"/>
  <c r="H22"/>
  <c r="H30"/>
  <c r="H25"/>
  <c r="H26"/>
  <c r="H29"/>
  <c r="H24"/>
  <c r="H23"/>
  <c r="D11" i="14"/>
  <c r="C4" i="48"/>
  <c r="G25"/>
  <c r="G32"/>
  <c r="G26"/>
  <c r="G22"/>
  <c r="G30"/>
  <c r="G29"/>
  <c r="G24"/>
  <c r="G23"/>
  <c r="B38" i="13"/>
  <c r="E32" i="48"/>
  <c r="E29"/>
  <c r="E30"/>
  <c r="E28"/>
  <c r="E24"/>
  <c r="E31"/>
  <c r="M12" i="13"/>
  <c r="N41" i="14" s="1"/>
  <c r="M17" i="48"/>
  <c r="L10" i="14"/>
  <c r="L16" s="1"/>
  <c r="L27" s="1"/>
  <c r="K5" i="48"/>
  <c r="L28"/>
  <c r="L32"/>
  <c r="L29"/>
  <c r="L30"/>
  <c r="L24"/>
  <c r="L31"/>
  <c r="L22"/>
  <c r="L27"/>
  <c r="Q10" i="14"/>
  <c r="P5" i="48"/>
  <c r="P23" s="1"/>
  <c r="K32"/>
  <c r="K28"/>
  <c r="K26"/>
  <c r="K25"/>
  <c r="K30"/>
  <c r="K31"/>
  <c r="K22"/>
  <c r="K29"/>
  <c r="K27"/>
  <c r="K24"/>
  <c r="Q11" i="14"/>
  <c r="P4" i="48"/>
  <c r="B7"/>
  <c r="C24" i="14"/>
  <c r="C26" s="1"/>
  <c r="I27" i="48"/>
  <c r="I22"/>
  <c r="I28"/>
  <c r="I32"/>
  <c r="I24"/>
  <c r="I31"/>
  <c r="I30"/>
  <c r="I29"/>
  <c r="I25"/>
  <c r="I26"/>
  <c r="D4"/>
  <c r="D22" s="1"/>
  <c r="E11" i="14"/>
  <c r="C11"/>
  <c r="B4" i="48"/>
  <c r="F32"/>
  <c r="F30"/>
  <c r="F24"/>
  <c r="F31"/>
  <c r="F29"/>
  <c r="F28"/>
  <c r="F27"/>
  <c r="N30"/>
  <c r="N29"/>
  <c r="N31"/>
  <c r="N24"/>
  <c r="N32"/>
  <c r="N27"/>
  <c r="N28"/>
  <c r="C19" i="14"/>
  <c r="B10"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22" i="48" l="1"/>
  <c r="G11" i="14"/>
  <c r="F4" i="48"/>
  <c r="F22" s="1"/>
  <c r="I18" i="14"/>
  <c r="H13" i="48"/>
  <c r="H31" s="1"/>
  <c r="Q13" i="14"/>
  <c r="Q16" s="1"/>
  <c r="Q27" s="1"/>
  <c r="P8" i="48"/>
  <c r="P26" s="1"/>
  <c r="J46" i="14"/>
  <c r="J61" s="1"/>
  <c r="J63" s="1"/>
  <c r="L46"/>
  <c r="L61" s="1"/>
  <c r="K23" i="48"/>
  <c r="K33" s="1"/>
  <c r="K15"/>
  <c r="P10" i="14"/>
  <c r="O5" i="48"/>
  <c r="O23" s="1"/>
  <c r="H18" i="14"/>
  <c r="G13" i="48"/>
  <c r="N18" i="14"/>
  <c r="M13" i="48"/>
  <c r="M31" s="1"/>
  <c r="J12" i="17"/>
  <c r="K54" i="14" s="1"/>
  <c r="K56" s="1"/>
  <c r="K24"/>
  <c r="K26" s="1"/>
  <c r="J7" i="48"/>
  <c r="J25" s="1"/>
  <c r="P22"/>
  <c r="P33" s="1"/>
  <c r="M25"/>
  <c r="M26"/>
  <c r="M29"/>
  <c r="M32"/>
  <c r="M22"/>
  <c r="M24"/>
  <c r="M30"/>
  <c r="M23"/>
  <c r="I23"/>
  <c r="I15"/>
  <c r="L63" i="14"/>
  <c r="I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E52" s="1"/>
  <c r="B48" i="13"/>
  <c r="C48" s="1"/>
  <c r="N5" s="1"/>
  <c r="N8" s="1"/>
  <c r="C50"/>
  <c r="J5" s="1"/>
  <c r="J8" s="1"/>
  <c r="E12" l="1"/>
  <c r="F41" i="14" s="1"/>
  <c r="F11"/>
  <c r="E4" i="48"/>
  <c r="N19" i="14"/>
  <c r="N22" s="1"/>
  <c r="N27" s="1"/>
  <c r="N63" s="1"/>
  <c r="M10" i="48"/>
  <c r="M28" s="1"/>
  <c r="D9"/>
  <c r="D27" s="1"/>
  <c r="E20" i="14"/>
  <c r="E22" s="1"/>
  <c r="O11"/>
  <c r="N4" i="48"/>
  <c r="N22" s="1"/>
  <c r="H19" i="14"/>
  <c r="R19" s="1"/>
  <c r="G10" i="48"/>
  <c r="K11" i="14"/>
  <c r="J4" i="48"/>
  <c r="N20" i="14"/>
  <c r="M9" i="48"/>
  <c r="F24" i="14"/>
  <c r="F26" s="1"/>
  <c r="E7" i="48"/>
  <c r="E25" s="1"/>
  <c r="F20" i="14"/>
  <c r="F22" s="1"/>
  <c r="E9" i="48"/>
  <c r="E27" s="1"/>
  <c r="H9"/>
  <c r="I20" i="14"/>
  <c r="P13"/>
  <c r="O8" i="48"/>
  <c r="C20" i="14"/>
  <c r="B9" i="48"/>
  <c r="R18" i="14"/>
  <c r="G31" i="48"/>
  <c r="Q13"/>
  <c r="E12" i="17"/>
  <c r="F54" i="14" s="1"/>
  <c r="F56" s="1"/>
  <c r="D16"/>
  <c r="D27" s="1"/>
  <c r="B20" i="6" s="1"/>
  <c r="B22" s="1"/>
  <c r="C22" i="56" s="1"/>
  <c r="P16" i="14"/>
  <c r="P27" s="1"/>
  <c r="Q46"/>
  <c r="Q61" s="1"/>
  <c r="Q63" s="1"/>
  <c r="I22"/>
  <c r="I27" s="1"/>
  <c r="N52"/>
  <c r="N61" s="1"/>
  <c r="P15" i="48"/>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H63" l="1"/>
  <c r="R20"/>
  <c r="C22"/>
  <c r="G9" i="48"/>
  <c r="H20" i="14"/>
  <c r="H22" s="1"/>
  <c r="H27" s="1"/>
  <c r="E22" i="48"/>
  <c r="Q4"/>
  <c r="J5"/>
  <c r="J23" s="1"/>
  <c r="K10" i="14"/>
  <c r="G28" i="48"/>
  <c r="Q10"/>
  <c r="H27"/>
  <c r="H33" s="1"/>
  <c r="H15"/>
  <c r="R11" i="14"/>
  <c r="R22"/>
  <c r="O26" i="48"/>
  <c r="O33" s="1"/>
  <c r="O15"/>
  <c r="M27"/>
  <c r="M33" s="1"/>
  <c r="M15"/>
  <c r="F10" i="14"/>
  <c r="E5" i="48"/>
  <c r="E23" s="1"/>
  <c r="J22"/>
  <c r="D15"/>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J8" i="48" l="1"/>
  <c r="K13" i="14"/>
  <c r="K16" s="1"/>
  <c r="K27" s="1"/>
  <c r="K63" s="1"/>
  <c r="G27" i="48"/>
  <c r="G33" s="1"/>
  <c r="G15"/>
  <c r="E8"/>
  <c r="E26" s="1"/>
  <c r="F13" i="14"/>
  <c r="F16" s="1"/>
  <c r="F27" s="1"/>
  <c r="Q5" i="48"/>
  <c r="K46" i="14"/>
  <c r="K61" s="1"/>
  <c r="E15" i="48"/>
  <c r="Q9"/>
  <c r="E33"/>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F63" l="1"/>
  <c r="J26" i="48"/>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<sst xmlns="http://schemas.openxmlformats.org/spreadsheetml/2006/main" count="2504" uniqueCount="959">
  <si>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</si>
  <si>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</si>
  <si>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</si>
  <si>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</si>
  <si>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</si>
  <si>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</si>
  <si>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</si>
  <si>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</si>
  <si>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</si>
  <si>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</si>
  <si>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</si>
  <si>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</si>
  <si>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</si>
  <si>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</si>
  <si>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</si>
  <si>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</si>
  <si>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</si>
  <si>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</si>
  <si>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</si>
  <si>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</si>
  <si>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</si>
  <si>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</si>
  <si>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</si>
  <si>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</si>
  <si>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</si>
  <si>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</si>
  <si>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</si>
  <si>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</si>
  <si>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</si>
  <si>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</si>
  <si>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</si>
  <si>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</si>
  <si>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</si>
  <si>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</si>
  <si>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</si>
  <si>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</si>
  <si>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</si>
  <si>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</si>
  <si>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</si>
  <si>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</si>
  <si>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</si>
  <si>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</si>
  <si>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</si>
  <si>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</si>
  <si>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</si>
  <si>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</si>
  <si>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</si>
  <si>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</si>
  <si>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</si>
  <si>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</si>
  <si>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</si>
  <si>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</si>
  <si>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</si>
  <si>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</si>
  <si>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</si>
  <si>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</si>
  <si>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</si>
  <si>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</si>
  <si>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</si>
  <si>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</si>
  <si>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</si>
  <si>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</si>
  <si>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</si>
  <si>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</si>
  <si>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</si>
  <si>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</si>
  <si>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</si>
  <si>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</si>
  <si>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</si>
  <si>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</si>
  <si>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</si>
  <si>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</si>
  <si>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</si>
  <si>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</si>
  <si>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</si>
  <si>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</si>
  <si>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</si>
  <si>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</si>
  <si>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</si>
  <si>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</si>
  <si>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</si>
  <si>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</si>
  <si>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</si>
  <si>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</si>
  <si>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</si>
  <si>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</si>
  <si>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</si>
  <si>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</si>
  <si>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</si>
  <si>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</si>
  <si>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</si>
  <si>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</si>
  <si>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</si>
  <si>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</si>
  <si>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</si>
  <si>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</si>
  <si>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</si>
  <si>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</si>
  <si>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</si>
  <si>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</si>
  <si>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</si>
  <si>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</si>
  <si>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</si>
  <si>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</si>
  <si>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</si>
  <si>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</si>
  <si>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</si>
  <si>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</si>
  <si>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</si>
  <si>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</si>
  <si>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</si>
  <si>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</si>
  <si>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</si>
  <si>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</si>
  <si>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</si>
  <si>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</si>
  <si>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</si>
  <si>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</si>
  <si>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</si>
  <si>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</si>
  <si>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</si>
  <si>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</si>
  <si>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</si>
  <si>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</si>
  <si>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</si>
  <si>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</si>
  <si>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</si>
  <si>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</si>
  <si>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</si>
  <si>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</si>
  <si>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</si>
  <si>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</si>
  <si>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</si>
  <si>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</si>
  <si>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</si>
  <si>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</si>
  <si>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</si>
  <si>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</si>
  <si>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</si>
  <si>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</si>
  <si>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</si>
  <si>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</si>
  <si>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</si>
  <si>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</si>
  <si>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</si>
  <si>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</si>
  <si>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</si>
  <si>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</si>
  <si>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</si>
  <si>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</si>
  <si>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</si>
  <si>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</si>
  <si>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</si>
  <si>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</si>
  <si>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</si>
  <si>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</si>
  <si>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</si>
  <si>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</si>
  <si>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</si>
  <si>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</si>
  <si>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</si>
  <si>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</si>
  <si>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</si>
  <si>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</si>
  <si>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</si>
  <si>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</si>
  <si>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</si>
  <si>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</si>
  <si>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</si>
  <si>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</si>
  <si>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</si>
  <si>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</si>
  <si>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</si>
  <si>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</si>
  <si>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</si>
  <si>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</si>
  <si>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</si>
  <si>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</si>
  <si>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</si>
  <si>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</si>
  <si>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</si>
  <si>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</si>
  <si>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</si>
  <si>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</si>
  <si>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</si>
  <si>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</si>
  <si>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</si>
  <si>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</si>
  <si>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</si>
  <si>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</si>
  <si>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</si>
  <si>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</si>
  <si>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</si>
  <si>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</si>
  <si>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</si>
  <si>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</si>
  <si>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</si>
  <si>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</si>
  <si>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</si>
  <si>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</si>
  <si>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</si>
  <si>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</si>
  <si>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</si>
  <si>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</si>
  <si>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</si>
  <si>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</si>
  <si>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</si>
  <si>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</si>
  <si>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</si>
  <si>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</si>
  <si>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</si>
  <si>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</si>
  <si>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</si>
  <si>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</si>
  <si>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</si>
  <si>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</si>
  <si>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</si>
  <si>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</si>
  <si>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</si>
  <si>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</si>
  <si>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</si>
  <si>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</si>
  <si>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</si>
  <si>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</si>
  <si>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</si>
  <si>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</si>
  <si>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</si>
  <si>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</si>
  <si>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</si>
  <si>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</si>
  <si>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</si>
  <si>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</si>
  <si>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</si>
  <si>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</si>
  <si>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</si>
  <si>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</si>
  <si>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</si>
  <si>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</si>
  <si>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</si>
  <si>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</si>
  <si>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</si>
  <si>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</si>
  <si>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</si>
  <si>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</si>
  <si>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</si>
  <si>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</si>
  <si>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</si>
  <si>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</si>
  <si>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</si>
  <si>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</si>
  <si>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</si>
  <si>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</si>
  <si>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</si>
  <si>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</si>
  <si>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</si>
  <si>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</si>
  <si>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</si>
  <si>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</si>
  <si>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</si>
  <si>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</si>
  <si>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</si>
  <si>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</si>
  <si>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</si>
  <si>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</si>
  <si>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</si>
  <si>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</si>
  <si>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</si>
  <si>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</si>
  <si>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</si>
  <si>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</si>
  <si>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</si>
  <si>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</si>
  <si>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</si>
  <si>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</si>
  <si>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</si>
  <si>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</si>
  <si>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</si>
  <si>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</si>
  <si>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</si>
  <si>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</si>
  <si>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</si>
  <si>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</si>
  <si>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</si>
  <si>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</si>
  <si>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</si>
  <si>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</si>
  <si>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</si>
  <si>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</si>
  <si>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</si>
  <si>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</si>
  <si>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</si>
  <si>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</si>
  <si>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</si>
  <si>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</si>
  <si>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</si>
  <si>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</si>
  <si>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</si>
  <si>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</si>
  <si>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</si>
  <si>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</si>
  <si>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</si>
  <si>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</si>
  <si>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</si>
  <si>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</si>
  <si>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</si>
  <si>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</si>
  <si>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</si>
  <si>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</si>
  <si>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</si>
  <si>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</si>
  <si>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</si>
  <si>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</si>
  <si>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</si>
  <si>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</si>
  <si>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</si>
  <si>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</si>
  <si>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</si>
  <si>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</si>
  <si>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</si>
  <si>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</si>
  <si>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</si>
  <si>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</si>
  <si>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</si>
  <si>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</si>
  <si>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</si>
  <si>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</si>
  <si>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</si>
  <si>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</si>
  <si>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</si>
  <si>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</si>
  <si>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</si>
  <si>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</si>
  <si>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</si>
  <si>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</si>
  <si>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</si>
  <si>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</si>
  <si>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</si>
  <si>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</si>
  <si>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</si>
  <si>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</si>
  <si>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</si>
  <si>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</si>
  <si>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</si>
  <si>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</si>
  <si>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</si>
  <si>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</si>
  <si>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</si>
  <si>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</si>
  <si>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</si>
  <si>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</si>
  <si>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</si>
  <si>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</si>
  <si>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</si>
  <si>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</si>
  <si>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</si>
  <si>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</si>
  <si>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</si>
  <si>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</si>
  <si>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</si>
  <si>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</si>
  <si>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</si>
  <si>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</si>
  <si>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</si>
  <si>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</si>
  <si>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</si>
  <si>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</si>
  <si>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</si>
  <si>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</si>
  <si>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</si>
  <si>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</si>
  <si>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</si>
  <si>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</si>
  <si>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</si>
  <si>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</si>
  <si>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</si>
  <si>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</si>
  <si>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</si>
  <si>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</si>
  <si>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</si>
  <si>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</si>
  <si>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</si>
  <si>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</si>
  <si>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</si>
  <si>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</si>
  <si>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</si>
  <si>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</si>
  <si>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</si>
  <si>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</si>
  <si>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</si>
  <si>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</si>
  <si>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</si>
  <si>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</si>
  <si>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</si>
  <si>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</si>
  <si>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</si>
  <si>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</si>
  <si>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</si>
  <si>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</si>
  <si>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</si>
  <si>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</si>
  <si>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</si>
  <si>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</si>
  <si>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</si>
  <si>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</si>
  <si>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</si>
  <si>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</si>
  <si>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</si>
  <si>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</si>
  <si>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</si>
  <si>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</si>
  <si>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</si>
  <si>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</si>
  <si>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</si>
  <si>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</si>
  <si>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</si>
  <si>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</si>
  <si>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</si>
  <si>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</si>
  <si>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</si>
  <si>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</si>
  <si>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</si>
  <si>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</si>
  <si>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</si>
  <si>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</si>
  <si>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</si>
  <si>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</si>
  <si>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</si>
  <si>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</si>
  <si>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</si>
  <si>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</si>
  <si>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</si>
  <si>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</si>
  <si>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</si>
  <si>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</si>
  <si>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</si>
  <si>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</si>
  <si>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</si>
  <si>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</si>
  <si>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</si>
  <si>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</si>
  <si>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</si>
  <si>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</si>
  <si>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</si>
  <si>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</si>
  <si>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</si>
  <si>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</si>
  <si>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</si>
  <si>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</si>
  <si>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</si>
  <si>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</si>
  <si>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</si>
  <si>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</si>
  <si>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</si>
  <si>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</si>
  <si>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</si>
  <si>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</si>
  <si>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</si>
  <si>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</si>
  <si>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</si>
  <si>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</si>
  <si>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</si>
  <si>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</si>
  <si>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</si>
  <si>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</si>
  <si>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</si>
  <si>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</si>
  <si>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</si>
  <si>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</si>
  <si>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</si>
  <si>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</si>
  <si>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</si>
  <si>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</si>
  <si>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</si>
  <si>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</si>
  <si>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</si>
  <si>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</si>
  <si>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</si>
  <si>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</si>
  <si>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</si>
  <si>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</si>
  <si>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</si>
  <si>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</si>
  <si>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</si>
  <si>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</si>
  <si>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</si>
  <si>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</si>
  <si>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</si>
  <si>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</si>
  <si>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</si>
  <si>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</si>
  <si>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</si>
  <si>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</si>
  <si>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</si>
  <si>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</si>
  <si>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</si>
  <si>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</si>
  <si>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</si>
  <si>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</si>
  <si>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</si>
  <si>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</si>
  <si>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</si>
  <si>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</si>
  <si>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</si>
  <si>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</si>
  <si>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</si>
  <si>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</si>
  <si>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</si>
  <si>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</si>
  <si>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</si>
  <si>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</si>
  <si>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</si>
  <si>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</si>
  <si>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</si>
  <si>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</si>
  <si>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</si>
  <si>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</si>
  <si>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</si>
  <si>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</si>
  <si>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</si>
  <si>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</si>
  <si>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</si>
  <si>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</si>
  <si>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</si>
  <si>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</si>
  <si>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</si>
  <si>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</si>
  <si>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</si>
  <si>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</si>
  <si>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</si>
  <si>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</si>
  <si>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</si>
  <si>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</si>
  <si>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</si>
  <si>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</si>
  <si>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</si>
  <si>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</si>
  <si>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</si>
  <si>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</si>
  <si>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</si>
  <si>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</si>
  <si>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</si>
  <si>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</si>
  <si>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</si>
  <si>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</si>
  <si>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</si>
  <si>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</si>
  <si>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</si>
  <si>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</si>
  <si>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</si>
  <si>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</si>
  <si>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</si>
  <si>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</si>
  <si>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</si>
  <si>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</si>
  <si>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</si>
  <si>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</si>
  <si>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</si>
  <si>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</si>
  <si>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</si>
  <si>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</si>
  <si>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</si>
  <si>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</si>
  <si>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</si>
  <si>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</si>
  <si>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</si>
  <si>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</si>
  <si>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</si>
  <si>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</si>
  <si>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</si>
  <si>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</si>
  <si>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</si>
  <si>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</si>
  <si>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</si>
  <si>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</si>
  <si>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</si>
  <si>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</si>
  <si>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</si>
  <si>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</si>
  <si>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</si>
  <si>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</si>
  <si>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</si>
  <si>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</si>
  <si>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</si>
  <si>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</si>
  <si>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</si>
  <si>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</si>
  <si>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</si>
  <si>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</si>
  <si>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</si>
  <si>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</si>
  <si>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</si>
  <si>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</si>
  <si>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</si>
  <si>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</si>
  <si>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</si>
  <si>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</si>
  <si>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</si>
  <si>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</si>
  <si>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</si>
  <si>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</si>
  <si>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</si>
  <si>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</si>
  <si>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</si>
  <si>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</si>
  <si>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</si>
  <si>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</si>
  <si>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</si>
  <si>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</si>
  <si>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</si>
  <si>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</si>
  <si>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</si>
  <si>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</si>
  <si>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</si>
  <si>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</si>
  <si>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</si>
  <si>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</si>
  <si>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</si>
  <si>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</si>
  <si>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</si>
  <si>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</si>
  <si>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</si>
  <si>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</si>
  <si>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</si>
  <si>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</si>
  <si>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</si>
  <si>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</si>
  <si>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</si>
  <si>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</si>
  <si>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</si>
  <si>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</si>
  <si>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</si>
  <si>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</si>
  <si>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</si>
  <si>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</si>
  <si>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</si>
  <si>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</si>
  <si>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</si>
  <si>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</si>
  <si>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</si>
  <si>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</si>
  <si>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</si>
  <si>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</si>
  <si>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</si>
  <si>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</si>
  <si>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</si>
  <si>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</si>
  <si>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</si>
  <si>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</si>
  <si>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</si>
  <si>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</si>
  <si>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</si>
  <si>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</si>
  <si>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</si>
  <si>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</si>
  <si>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</si>
  <si>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</si>
  <si>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</si>
  <si>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</si>
  <si>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</si>
  <si>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</si>
  <si>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</si>
  <si>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</si>
  <si>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</si>
  <si>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</si>
  <si>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</si>
  <si>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</si>
  <si>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</si>
  <si>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</si>
  <si>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</si>
  <si>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</si>
  <si>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</si>
  <si>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</si>
  <si>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</si>
  <si>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</si>
  <si>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</si>
  <si>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</si>
  <si>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</si>
  <si>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</si>
  <si>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</si>
  <si>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</si>
  <si>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</si>
  <si>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</si>
  <si>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</si>
  <si>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</si>
  <si>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</si>
  <si>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</si>
  <si>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</si>
  <si>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</si>
  <si>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</si>
  <si>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</si>
  <si>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</si>
  <si>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</si>
  <si>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</si>
  <si>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</si>
  <si>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</si>
  <si>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</si>
  <si>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</si>
  <si>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</si>
  <si>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</si>
  <si>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</si>
  <si>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</si>
  <si>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</si>
  <si>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</si>
  <si>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</si>
  <si>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</si>
  <si>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</si>
  <si>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</si>
  <si>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</si>
  <si>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</si>
  <si>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</si>
  <si>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</si>
  <si>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</si>
  <si>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</si>
  <si>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</si>
  <si>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</si>
  <si>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</si>
  <si>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</si>
  <si>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</si>
  <si>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</si>
  <si>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</si>
  <si>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</si>
  <si>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</si>
  <si>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</si>
  <si>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</si>
  <si>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</si>
  <si>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</si>
  <si>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</si>
  <si>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</si>
  <si>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</si>
  <si>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</si>
  <si>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</si>
  <si>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</si>
  <si>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</si>
  <si>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</si>
  <si>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</si>
  <si>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</si>
  <si>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</si>
  <si>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</si>
  <si>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</si>
  <si>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</si>
  <si>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</si>
  <si>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</si>
  <si>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</si>
  <si>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</si>
  <si>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</si>
  <si>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</si>
  <si>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</si>
  <si>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</si>
  <si>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</si>
  <si>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</si>
  <si>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</si>
  <si>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</si>
  <si>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</si>
  <si>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</si>
  <si>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</si>
  <si>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</si>
  <si>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</si>
  <si>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</si>
  <si>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</si>
  <si>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</si>
  <si>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</si>
  <si>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</si>
  <si>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</si>
  <si>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</si>
  <si>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</si>
  <si>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</si>
  <si>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</si>
  <si>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</si>
  <si>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</si>
  <si>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</si>
  <si>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</si>
  <si>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</si>
  <si>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</si>
  <si>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</si>
  <si>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</si>
  <si>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</si>
  <si>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</si>
  <si>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</si>
  <si>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</si>
  <si>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</si>
  <si>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</si>
  <si>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</si>
  <si>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</si>
  <si>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</si>
  <si>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</si>
  <si>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</si>
  <si>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</si>
  <si>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</si>
  <si>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</si>
  <si>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</si>
  <si>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</si>
  <si>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</si>
  <si>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</si>
  <si>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</si>
  <si>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</si>
  <si>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</si>
  <si>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</si>
  <si>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</si>
  <si>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</si>
  <si>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</si>
  <si>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</si>
  <si>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</si>
  <si>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</si>
  <si>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</si>
  <si>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</si>
  <si>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</si>
  <si>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</si>
  <si>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</si>
  <si>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</si>
  <si>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</si>
  <si>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</si>
  <si>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</si>
  <si>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</si>
  <si>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</si>
  <si>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</si>
  <si>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</si>
  <si>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</si>
  <si>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</si>
  <si>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</si>
  <si>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</si>
  <si>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</si>
  <si>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</si>
  <si>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</si>
  <si>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</si>
  <si>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</si>
  <si>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</si>
  <si>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</si>
  <si>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</si>
  <si>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</si>
  <si>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</si>
  <si>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</si>
  <si>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</si>
  <si>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</si>
  <si>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</si>
  <si>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</si>
  <si>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</si>
  <si>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</si>
  <si>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</si>
  <si>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</si>
  <si>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</si>
  <si>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</si>
  <si>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</si>
  <si>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</si>
  <si>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</si>
  <si>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</si>
  <si>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</si>
  <si>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</si>
  <si>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</si>
  <si>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</si>
  <si>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</si>
  <si>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</si>
  <si>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</si>
  <si>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</si>
  <si>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</si>
  <si>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</si>
  <si>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</si>
  <si>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</si>
  <si>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</si>
  <si>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</si>
  <si>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</si>
  <si>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</si>
  <si>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</si>
  <si>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</si>
  <si>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</si>
  <si>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</si>
  <si>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</si>
  <si>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</si>
  <si>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</si>
  <si>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</si>
  <si>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</si>
  <si>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</si>
  <si>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</si>
  <si>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</si>
  <si>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</si>
  <si>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</si>
  <si>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</si>
  <si>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</si>
  <si>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</si>
  <si>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</si>
  <si>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</si>
  <si>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</si>
  <si>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</si>
  <si>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</si>
  <si>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</si>
  <si>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</si>
  <si>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</si>
  <si>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</si>
  <si>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</si>
  <si>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</si>
  <si>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</si>
  <si>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</si>
  <si>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</si>
  <si>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</si>
  <si>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</si>
  <si>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</si>
  <si>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</si>
  <si>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</si>
  <si>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</si>
  <si>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</si>
  <si>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</si>
  <si>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</si>
  <si>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</si>
  <si>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</si>
  <si>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</si>
  <si>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</si>
  <si>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</si>
  <si>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</si>
  <si>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</si>
  <si>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</si>
  <si>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</si>
  <si>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</si>
  <si>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</si>
  <si>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</si>
  <si>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</si>
  <si>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</si>
  <si>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</si>
  <si>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</si>
  <si>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</si>
  <si>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</si>
  <si>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</si>
  <si>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</si>
  <si>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</si>
  <si>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</si>
  <si>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</si>
  <si>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</si>
  <si>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</si>
  <si>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</si>
  <si>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</si>
  <si>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</si>
  <si>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</si>
  <si>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</si>
  <si>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</si>
  <si>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</si>
  <si>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</si>
  <si>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</si>
  <si>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</si>
  <si>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</si>
  <si>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</si>
  <si>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</si>
  <si>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</si>
  <si>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</si>
  <si>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</si>
  <si>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37002</t>
  </si>
  <si>
    <t>DENTERGEM</t>
  </si>
  <si>
    <t>Paarden&amp;pony's 200 - 600 kg</t>
  </si>
  <si>
    <t>Paarden&amp;pony's &lt; 200 kg</t>
  </si>
  <si>
    <t>op basis van VEA (maart 2018) en Inventaris Hernieuwbare Energiebronnen (juni 2018)</t>
  </si>
  <si>
    <t>VEA (juni 2018)</t>
  </si>
  <si>
    <t>Lodewijckx NV</t>
  </si>
  <si>
    <t>Eindhoutseweg 32 , 2431 Veerle</t>
  </si>
  <si>
    <t>WKK-0033 Ysebaert</t>
  </si>
  <si>
    <t>interne verbrandingsmotor</t>
  </si>
  <si>
    <t>WKK interne verbrandinsgmotor (gas)</t>
  </si>
  <si>
    <t>Kruisstraat, 8720 Markegem</t>
  </si>
  <si>
    <t>GASELWEST</t>
  </si>
  <si>
    <t>Walcarius bvba</t>
  </si>
  <si>
    <t>Vaerestraat 4, 8720 Oeselgem</t>
  </si>
  <si>
    <t>WKK-0172 Walcarius (nieuw)</t>
  </si>
  <si>
    <t>Vaerestraat 4 , 8720 Oeselgem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</si>
</sst>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37002</v>
      </c>
      <c r="B6" s="397"/>
      <c r="C6" s="398"/>
    </row>
    <row r="7" spans="1:7" s="395" customFormat="1" ht="15.75" customHeight="1">
      <c r="A7" s="399" t="str">
        <f>txtMunicipality</f>
        <v>DENTERGEM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0.21190268012879354</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0.21190268012879354</v>
      </c>
      <c r="C29" s="511">
        <f ca="1">'EF ele_warmte'!B22</f>
        <v>0.23764705882352946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37002</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3230</v>
      </c>
      <c r="C9" s="338">
        <v>3405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1789</v>
      </c>
    </row>
    <row r="15" spans="1:6">
      <c r="A15" s="1286" t="s">
        <v>184</v>
      </c>
      <c r="B15" s="335">
        <v>20</v>
      </c>
    </row>
    <row r="16" spans="1:6">
      <c r="A16" s="1286" t="s">
        <v>6</v>
      </c>
      <c r="B16" s="335">
        <v>688</v>
      </c>
    </row>
    <row r="17" spans="1:6">
      <c r="A17" s="1286" t="s">
        <v>7</v>
      </c>
      <c r="B17" s="335">
        <v>897</v>
      </c>
    </row>
    <row r="18" spans="1:6">
      <c r="A18" s="1286" t="s">
        <v>8</v>
      </c>
      <c r="B18" s="335">
        <v>1066</v>
      </c>
    </row>
    <row r="19" spans="1:6">
      <c r="A19" s="1286" t="s">
        <v>9</v>
      </c>
      <c r="B19" s="335">
        <v>1051</v>
      </c>
    </row>
    <row r="20" spans="1:6">
      <c r="A20" s="1286" t="s">
        <v>10</v>
      </c>
      <c r="B20" s="335">
        <v>599</v>
      </c>
    </row>
    <row r="21" spans="1:6">
      <c r="A21" s="1286" t="s">
        <v>11</v>
      </c>
      <c r="B21" s="335">
        <v>11502</v>
      </c>
    </row>
    <row r="22" spans="1:6">
      <c r="A22" s="1286" t="s">
        <v>12</v>
      </c>
      <c r="B22" s="335">
        <v>27490</v>
      </c>
    </row>
    <row r="23" spans="1:6">
      <c r="A23" s="1286" t="s">
        <v>13</v>
      </c>
      <c r="B23" s="335">
        <v>628</v>
      </c>
    </row>
    <row r="24" spans="1:6">
      <c r="A24" s="1286" t="s">
        <v>14</v>
      </c>
      <c r="B24" s="335">
        <v>35</v>
      </c>
    </row>
    <row r="25" spans="1:6">
      <c r="A25" s="1286" t="s">
        <v>15</v>
      </c>
      <c r="B25" s="335">
        <v>3378</v>
      </c>
    </row>
    <row r="26" spans="1:6">
      <c r="A26" s="1286" t="s">
        <v>16</v>
      </c>
      <c r="B26" s="335">
        <v>53</v>
      </c>
    </row>
    <row r="27" spans="1:6">
      <c r="A27" s="1286" t="s">
        <v>17</v>
      </c>
      <c r="B27" s="335">
        <v>0</v>
      </c>
    </row>
    <row r="28" spans="1:6" s="341" customFormat="1">
      <c r="A28" s="1287" t="s">
        <v>18</v>
      </c>
      <c r="B28" s="1287">
        <v>115357</v>
      </c>
    </row>
    <row r="29" spans="1:6">
      <c r="A29" s="1287" t="s">
        <v>944</v>
      </c>
      <c r="B29" s="1287">
        <v>113</v>
      </c>
      <c r="C29" s="341"/>
      <c r="D29" s="341"/>
      <c r="E29" s="341"/>
      <c r="F29" s="341"/>
    </row>
    <row r="30" spans="1:6">
      <c r="A30" s="1282" t="s">
        <v>945</v>
      </c>
      <c r="B30" s="1282">
        <v>41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1349</v>
      </c>
      <c r="D39" s="335">
        <v>22917061.5723144</v>
      </c>
      <c r="E39" s="335">
        <v>3008</v>
      </c>
      <c r="F39" s="335">
        <v>13398690.894854801</v>
      </c>
    </row>
    <row r="40" spans="1:6">
      <c r="A40" s="1286" t="s">
        <v>30</v>
      </c>
      <c r="B40" s="1286" t="s">
        <v>29</v>
      </c>
      <c r="C40" s="335">
        <v>0</v>
      </c>
      <c r="D40" s="335">
        <v>0</v>
      </c>
      <c r="E40" s="335">
        <v>0</v>
      </c>
      <c r="F40" s="335">
        <v>0</v>
      </c>
    </row>
    <row r="41" spans="1:6">
      <c r="A41" s="1286" t="s">
        <v>32</v>
      </c>
      <c r="B41" s="1286" t="s">
        <v>33</v>
      </c>
      <c r="C41" s="335">
        <v>29</v>
      </c>
      <c r="D41" s="335">
        <v>605986.18712625804</v>
      </c>
      <c r="E41" s="335">
        <v>118</v>
      </c>
      <c r="F41" s="335">
        <v>1707573.3992144901</v>
      </c>
    </row>
    <row r="42" spans="1:6">
      <c r="A42" s="1286" t="s">
        <v>32</v>
      </c>
      <c r="B42" s="1286" t="s">
        <v>34</v>
      </c>
      <c r="C42" s="335">
        <v>0</v>
      </c>
      <c r="D42" s="335">
        <v>0</v>
      </c>
      <c r="E42" s="335">
        <v>3</v>
      </c>
      <c r="F42" s="335">
        <v>359365.83623500803</v>
      </c>
    </row>
    <row r="43" spans="1:6">
      <c r="A43" s="1286" t="s">
        <v>32</v>
      </c>
      <c r="B43" s="1286" t="s">
        <v>35</v>
      </c>
      <c r="C43" s="335">
        <v>0</v>
      </c>
      <c r="D43" s="335">
        <v>0</v>
      </c>
      <c r="E43" s="335">
        <v>0</v>
      </c>
      <c r="F43" s="335">
        <v>0</v>
      </c>
    </row>
    <row r="44" spans="1:6">
      <c r="A44" s="1286" t="s">
        <v>32</v>
      </c>
      <c r="B44" s="1286" t="s">
        <v>36</v>
      </c>
      <c r="C44" s="335">
        <v>0</v>
      </c>
      <c r="D44" s="335">
        <v>0</v>
      </c>
      <c r="E44" s="335">
        <v>16</v>
      </c>
      <c r="F44" s="335">
        <v>142630.03348877301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33189.971969546998</v>
      </c>
    </row>
    <row r="48" spans="1:6">
      <c r="A48" s="1286" t="s">
        <v>32</v>
      </c>
      <c r="B48" s="1286" t="s">
        <v>29</v>
      </c>
      <c r="C48" s="335">
        <v>15</v>
      </c>
      <c r="D48" s="335">
        <v>579861.92226988601</v>
      </c>
      <c r="E48" s="335">
        <v>24</v>
      </c>
      <c r="F48" s="335">
        <v>16466195.3057795</v>
      </c>
    </row>
    <row r="49" spans="1:6">
      <c r="A49" s="1286" t="s">
        <v>32</v>
      </c>
      <c r="B49" s="1286" t="s">
        <v>40</v>
      </c>
      <c r="C49" s="335">
        <v>0</v>
      </c>
      <c r="D49" s="335">
        <v>0</v>
      </c>
      <c r="E49" s="335">
        <v>11</v>
      </c>
      <c r="F49" s="335">
        <v>1106004.3936066399</v>
      </c>
    </row>
    <row r="50" spans="1:6">
      <c r="A50" s="1286" t="s">
        <v>32</v>
      </c>
      <c r="B50" s="1286" t="s">
        <v>41</v>
      </c>
      <c r="C50" s="335">
        <v>6</v>
      </c>
      <c r="D50" s="335">
        <v>506836.05611338402</v>
      </c>
      <c r="E50" s="335">
        <v>9</v>
      </c>
      <c r="F50" s="335">
        <v>264781.93634484999</v>
      </c>
    </row>
    <row r="51" spans="1:6">
      <c r="A51" s="1286" t="s">
        <v>42</v>
      </c>
      <c r="B51" s="1286" t="s">
        <v>43</v>
      </c>
      <c r="C51" s="335">
        <v>0</v>
      </c>
      <c r="D51" s="335">
        <v>0</v>
      </c>
      <c r="E51" s="335">
        <v>92</v>
      </c>
      <c r="F51" s="335">
        <v>2237587.3297143602</v>
      </c>
    </row>
    <row r="52" spans="1:6">
      <c r="A52" s="1286" t="s">
        <v>42</v>
      </c>
      <c r="B52" s="1286" t="s">
        <v>29</v>
      </c>
      <c r="C52" s="335">
        <v>1</v>
      </c>
      <c r="D52" s="335">
        <v>17355.004311977998</v>
      </c>
      <c r="E52" s="335">
        <v>11</v>
      </c>
      <c r="F52" s="335">
        <v>236169.14129257499</v>
      </c>
    </row>
    <row r="53" spans="1:6">
      <c r="A53" s="1286" t="s">
        <v>44</v>
      </c>
      <c r="B53" s="1286" t="s">
        <v>45</v>
      </c>
      <c r="C53" s="335">
        <v>30</v>
      </c>
      <c r="D53" s="335">
        <v>9451526.3739280794</v>
      </c>
      <c r="E53" s="335">
        <v>82</v>
      </c>
      <c r="F53" s="335">
        <v>1243361.3413331099</v>
      </c>
    </row>
    <row r="54" spans="1:6">
      <c r="A54" s="1286" t="s">
        <v>46</v>
      </c>
      <c r="B54" s="1286" t="s">
        <v>47</v>
      </c>
      <c r="C54" s="335">
        <v>0</v>
      </c>
      <c r="D54" s="335">
        <v>0</v>
      </c>
      <c r="E54" s="335">
        <v>1</v>
      </c>
      <c r="F54" s="335">
        <v>612476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23</v>
      </c>
      <c r="D57" s="335">
        <v>903196.992713338</v>
      </c>
      <c r="E57" s="335">
        <v>51</v>
      </c>
      <c r="F57" s="335">
        <v>553987.36494047602</v>
      </c>
    </row>
    <row r="58" spans="1:6">
      <c r="A58" s="1286" t="s">
        <v>49</v>
      </c>
      <c r="B58" s="1286" t="s">
        <v>51</v>
      </c>
      <c r="C58" s="335">
        <v>0</v>
      </c>
      <c r="D58" s="335">
        <v>0</v>
      </c>
      <c r="E58" s="335">
        <v>3</v>
      </c>
      <c r="F58" s="335">
        <v>35776.026706075303</v>
      </c>
    </row>
    <row r="59" spans="1:6">
      <c r="A59" s="1286" t="s">
        <v>49</v>
      </c>
      <c r="B59" s="1286" t="s">
        <v>52</v>
      </c>
      <c r="C59" s="335">
        <v>12</v>
      </c>
      <c r="D59" s="335">
        <v>651940.29306459206</v>
      </c>
      <c r="E59" s="335">
        <v>73</v>
      </c>
      <c r="F59" s="335">
        <v>3098175.8862552899</v>
      </c>
    </row>
    <row r="60" spans="1:6">
      <c r="A60" s="1286" t="s">
        <v>49</v>
      </c>
      <c r="B60" s="1286" t="s">
        <v>53</v>
      </c>
      <c r="C60" s="335">
        <v>14</v>
      </c>
      <c r="D60" s="335">
        <v>639902.20467384404</v>
      </c>
      <c r="E60" s="335">
        <v>28</v>
      </c>
      <c r="F60" s="335">
        <v>511301.27522267698</v>
      </c>
    </row>
    <row r="61" spans="1:6">
      <c r="A61" s="1286" t="s">
        <v>49</v>
      </c>
      <c r="B61" s="1286" t="s">
        <v>54</v>
      </c>
      <c r="C61" s="335">
        <v>34</v>
      </c>
      <c r="D61" s="335">
        <v>634976.38603486295</v>
      </c>
      <c r="E61" s="335">
        <v>97</v>
      </c>
      <c r="F61" s="335">
        <v>736435.94788171002</v>
      </c>
    </row>
    <row r="62" spans="1:6">
      <c r="A62" s="1286" t="s">
        <v>49</v>
      </c>
      <c r="B62" s="1286" t="s">
        <v>55</v>
      </c>
      <c r="C62" s="335">
        <v>4</v>
      </c>
      <c r="D62" s="335">
        <v>213136.06909294901</v>
      </c>
      <c r="E62" s="335">
        <v>6</v>
      </c>
      <c r="F62" s="335">
        <v>49404.686507579201</v>
      </c>
    </row>
    <row r="63" spans="1:6">
      <c r="A63" s="1286" t="s">
        <v>49</v>
      </c>
      <c r="B63" s="1286" t="s">
        <v>29</v>
      </c>
      <c r="C63" s="335">
        <v>51</v>
      </c>
      <c r="D63" s="335">
        <v>4178581.7127598501</v>
      </c>
      <c r="E63" s="335">
        <v>86</v>
      </c>
      <c r="F63" s="335">
        <v>2452734.6887676502</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43007.3501480095</v>
      </c>
      <c r="E68" s="335">
        <v>12</v>
      </c>
      <c r="F68" s="335">
        <v>151755.61300932901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21310175</v>
      </c>
      <c r="E73" s="335">
        <v>23931886.096541256</v>
      </c>
    </row>
    <row r="74" spans="1:6">
      <c r="A74" s="1286" t="s">
        <v>64</v>
      </c>
      <c r="B74" s="1286" t="s">
        <v>772</v>
      </c>
      <c r="C74" s="1297" t="s">
        <v>766</v>
      </c>
      <c r="D74" s="335">
        <v>3455968.0124864308</v>
      </c>
      <c r="E74" s="335">
        <v>3944775.2683320018</v>
      </c>
    </row>
    <row r="75" spans="1:6">
      <c r="A75" s="1286" t="s">
        <v>65</v>
      </c>
      <c r="B75" s="1286" t="s">
        <v>771</v>
      </c>
      <c r="C75" s="1297" t="s">
        <v>767</v>
      </c>
      <c r="D75" s="335">
        <v>9347192</v>
      </c>
      <c r="E75" s="335">
        <v>10257109.050699454</v>
      </c>
    </row>
    <row r="76" spans="1:6">
      <c r="A76" s="1286" t="s">
        <v>65</v>
      </c>
      <c r="B76" s="1286" t="s">
        <v>772</v>
      </c>
      <c r="C76" s="1297" t="s">
        <v>768</v>
      </c>
      <c r="D76" s="335">
        <v>989143.01248643105</v>
      </c>
      <c r="E76" s="335">
        <v>1104245.9958287757</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43127.975027137931</v>
      </c>
      <c r="C83" s="335">
        <v>40706.267469165308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1578.191612716646</v>
      </c>
    </row>
    <row r="92" spans="1:6">
      <c r="A92" s="1282" t="s">
        <v>69</v>
      </c>
      <c r="B92" s="338">
        <v>752.00861830341728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645</v>
      </c>
    </row>
    <row r="98" spans="1:6">
      <c r="A98" s="1286" t="s">
        <v>72</v>
      </c>
      <c r="B98" s="335">
        <v>1</v>
      </c>
    </row>
    <row r="99" spans="1:6">
      <c r="A99" s="1286" t="s">
        <v>73</v>
      </c>
      <c r="B99" s="335">
        <v>67</v>
      </c>
    </row>
    <row r="100" spans="1:6">
      <c r="A100" s="1286" t="s">
        <v>74</v>
      </c>
      <c r="B100" s="335">
        <v>257</v>
      </c>
    </row>
    <row r="101" spans="1:6">
      <c r="A101" s="1286" t="s">
        <v>75</v>
      </c>
      <c r="B101" s="335">
        <v>74</v>
      </c>
    </row>
    <row r="102" spans="1:6">
      <c r="A102" s="1286" t="s">
        <v>76</v>
      </c>
      <c r="B102" s="335">
        <v>67</v>
      </c>
    </row>
    <row r="103" spans="1:6">
      <c r="A103" s="1286" t="s">
        <v>77</v>
      </c>
      <c r="B103" s="335">
        <v>73</v>
      </c>
    </row>
    <row r="104" spans="1:6">
      <c r="A104" s="1286" t="s">
        <v>78</v>
      </c>
      <c r="B104" s="335">
        <v>1713</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9</v>
      </c>
      <c r="C123" s="335">
        <v>9</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24</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46824.67810471233</v>
      </c>
      <c r="C3" s="44" t="s">
        <v>170</v>
      </c>
      <c r="D3" s="44"/>
      <c r="E3" s="157"/>
      <c r="F3" s="44"/>
      <c r="G3" s="44"/>
      <c r="H3" s="44"/>
      <c r="I3" s="44"/>
      <c r="J3" s="44"/>
      <c r="K3" s="97"/>
    </row>
    <row r="4" spans="1:11">
      <c r="A4" s="365" t="s">
        <v>171</v>
      </c>
      <c r="B4" s="50">
        <f>IF(ISERROR('SEAP template'!B78+'SEAP template'!C78),0,'SEAP template'!B78+'SEAP template'!C78)</f>
        <v>7676.2002310200633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1270.4611764705885</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0.21190268012879354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1814.9445378151263</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7637.1428571428569</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612.476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612.476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0.21190268012879354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129.78530591456294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13398.690894854801</v>
      </c>
      <c r="C5" s="18">
        <f>IF(ISERROR('Eigen informatie GS &amp; warmtenet'!B57),0,'Eigen informatie GS &amp; warmtenet'!B57)</f>
        <v>0</v>
      </c>
      <c r="D5" s="31">
        <f>(SUM(HH_hh_gas_kWh,HH_rest_gas_kWh)/1000)*0.902</f>
        <v>20671.189538227591</v>
      </c>
      <c r="E5" s="18">
        <f>B46*B57</f>
        <v>2912.0754677603722</v>
      </c>
      <c r="F5" s="18">
        <f>B51*B62</f>
        <v>21307.231102234269</v>
      </c>
      <c r="G5" s="19"/>
      <c r="H5" s="18"/>
      <c r="I5" s="18"/>
      <c r="J5" s="18">
        <f>B50*B61+C50*C61</f>
        <v>82.04824893592604</v>
      </c>
      <c r="K5" s="18"/>
      <c r="L5" s="18"/>
      <c r="M5" s="18"/>
      <c r="N5" s="18">
        <f>B48*B59+C48*C59</f>
        <v>10445.142691220042</v>
      </c>
      <c r="O5" s="18">
        <f>B69*B70*B71</f>
        <v>51.589999999999996</v>
      </c>
      <c r="P5" s="18">
        <f>B77*B78*B79/1000-B77*B78*B79/1000/B80</f>
        <v>266.93333333333334</v>
      </c>
    </row>
    <row r="6" spans="1:16">
      <c r="A6" s="17" t="s">
        <v>639</v>
      </c>
      <c r="B6" s="780">
        <f>kWh_PV_kleiner_dan_10kW</f>
        <v>1578.191612716646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14976.882507571447</v>
      </c>
      <c r="C8" s="22">
        <f>C5</f>
        <v>0</v>
      </c>
      <c r="D8" s="22">
        <f>D5</f>
        <v>20671.189538227591</v>
      </c>
      <c r="E8" s="22">
        <f>E5</f>
        <v>2912.0754677603722</v>
      </c>
      <c r="F8" s="22">
        <f>F5</f>
        <v>21307.231102234269</v>
      </c>
      <c r="G8" s="22"/>
      <c r="H8" s="22"/>
      <c r="I8" s="22"/>
      <c r="J8" s="22">
        <f>J5</f>
        <v>82.04824893592604</v>
      </c>
      <c r="K8" s="22"/>
      <c r="L8" s="22">
        <f>L5</f>
        <v>0</v>
      </c>
      <c r="M8" s="22">
        <f>M5</f>
        <v>0</v>
      </c>
      <c r="N8" s="22">
        <f>N5</f>
        <v>10445.142691220042</v>
      </c>
      <c r="O8" s="22">
        <f>O5</f>
        <v>51.589999999999996</v>
      </c>
      <c r="P8" s="22">
        <f>P5</f>
        <v>266.93333333333334</v>
      </c>
    </row>
    <row r="9" spans="1:16">
      <c r="B9" s="20"/>
      <c r="C9" s="20"/>
      <c r="D9" s="262"/>
      <c r="E9" s="20"/>
      <c r="F9" s="20"/>
      <c r="G9" s="20"/>
      <c r="H9" s="20"/>
      <c r="I9" s="20"/>
      <c r="J9" s="20"/>
      <c r="K9" s="20"/>
      <c r="L9" s="20"/>
      <c r="M9" s="20"/>
      <c r="N9" s="20"/>
      <c r="O9" s="20"/>
      <c r="P9" s="20"/>
    </row>
    <row r="10" spans="1:16">
      <c r="A10" s="25" t="s">
        <v>214</v>
      </c>
      <c r="B10" s="26">
        <f ca="1">'EF ele_warmte'!B12</f>
        <v>0.21190268012879354</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3173.6415433284355</v>
      </c>
      <c r="C12" s="24">
        <f ca="1">C10*C8</f>
        <v>0</v>
      </c>
      <c r="D12" s="24">
        <f>D8*D10</f>
        <v>4175.5802867219736</v>
      </c>
      <c r="E12" s="24">
        <f>E10*E8</f>
        <v>661.04113118160456</v>
      </c>
      <c r="F12" s="24">
        <f>F10*F8</f>
        <v>5689.0307042965505</v>
      </c>
      <c r="G12" s="24"/>
      <c r="H12" s="24"/>
      <c r="I12" s="24"/>
      <c r="J12" s="24">
        <f>J10*J8</f>
        <v>29.045080123317817</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645</v>
      </c>
      <c r="C18" s="169" t="s">
        <v>111</v>
      </c>
      <c r="D18" s="231"/>
      <c r="E18" s="16"/>
    </row>
    <row r="19" spans="1:7">
      <c r="A19" s="174" t="s">
        <v>72</v>
      </c>
      <c r="B19" s="38">
        <f>aantalw2001_ander</f>
        <v>1</v>
      </c>
      <c r="C19" s="169" t="s">
        <v>111</v>
      </c>
      <c r="D19" s="232"/>
      <c r="E19" s="16"/>
    </row>
    <row r="20" spans="1:7">
      <c r="A20" s="174" t="s">
        <v>73</v>
      </c>
      <c r="B20" s="38">
        <f>aantalw2001_propaan</f>
        <v>67</v>
      </c>
      <c r="C20" s="170">
        <f>IF(ISERROR(B20/SUM($B$20,$B$21,$B$22)*100),0,B20/SUM($B$20,$B$21,$B$22)*100)</f>
        <v>16.834170854271356</v>
      </c>
      <c r="D20" s="232"/>
      <c r="E20" s="16"/>
    </row>
    <row r="21" spans="1:7">
      <c r="A21" s="174" t="s">
        <v>74</v>
      </c>
      <c r="B21" s="38">
        <f>aantalw2001_elektriciteit</f>
        <v>257</v>
      </c>
      <c r="C21" s="170">
        <f>IF(ISERROR(B21/SUM($B$20,$B$21,$B$22)*100),0,B21/SUM($B$20,$B$21,$B$22)*100)</f>
        <v>64.572864321608037</v>
      </c>
      <c r="D21" s="232"/>
      <c r="E21" s="16"/>
    </row>
    <row r="22" spans="1:7">
      <c r="A22" s="174" t="s">
        <v>75</v>
      </c>
      <c r="B22" s="38">
        <f>aantalw2001_hout</f>
        <v>74</v>
      </c>
      <c r="C22" s="170">
        <f>IF(ISERROR(B22/SUM($B$20,$B$21,$B$22)*100),0,B22/SUM($B$20,$B$21,$B$22)*100)</f>
        <v>18.592964824120603</v>
      </c>
      <c r="D22" s="232"/>
      <c r="E22" s="16"/>
    </row>
    <row r="23" spans="1:7">
      <c r="A23" s="174" t="s">
        <v>76</v>
      </c>
      <c r="B23" s="38">
        <f>aantalw2001_niet_gespec</f>
        <v>67</v>
      </c>
      <c r="C23" s="169" t="s">
        <v>111</v>
      </c>
      <c r="D23" s="231"/>
      <c r="E23" s="16"/>
    </row>
    <row r="24" spans="1:7">
      <c r="A24" s="174" t="s">
        <v>77</v>
      </c>
      <c r="B24" s="38">
        <f>aantalw2001_steenkool</f>
        <v>73</v>
      </c>
      <c r="C24" s="169" t="s">
        <v>111</v>
      </c>
      <c r="D24" s="232"/>
      <c r="E24" s="16"/>
    </row>
    <row r="25" spans="1:7">
      <c r="A25" s="174" t="s">
        <v>78</v>
      </c>
      <c r="B25" s="38">
        <f>aantalw2001_stookolie</f>
        <v>1713</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3230</v>
      </c>
      <c r="C28" s="37"/>
      <c r="D28" s="231"/>
    </row>
    <row r="29" spans="1:7" s="16" customFormat="1">
      <c r="A29" s="233" t="s">
        <v>666</v>
      </c>
      <c r="B29" s="38">
        <f>SUM(HH_hh_gas_aantal,HH_rest_gas_aantal)</f>
        <v>1349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1349</v>
      </c>
      <c r="C32" s="170">
        <f>IF(ISERROR(B32/SUM($B$32,$B$34,$B$35,$B$36,$B$38,$B$39)*100),0,B32/SUM($B$32,$B$34,$B$35,$B$36,$B$38,$B$39)*100)</f>
        <v>41.946517412935322</v>
      </c>
      <c r="D32" s="236"/>
      <c r="G32" s="16"/>
    </row>
    <row r="33" spans="1:7">
      <c r="A33" s="174" t="s">
        <v>72</v>
      </c>
      <c r="B33" s="35" t="s">
        <v>111</v>
      </c>
      <c r="C33" s="170"/>
      <c r="D33" s="236"/>
      <c r="G33" s="16"/>
    </row>
    <row r="34" spans="1:7">
      <c r="A34" s="174" t="s">
        <v>73</v>
      </c>
      <c r="B34" s="34">
        <f>IF((($B$28-$B$32-$B$39-$B$77-$B$38)*C20/100)&lt;0,0,($B$28-$B$32-$B$39-$B$77-$B$38)*C20/100)</f>
        <v>132.14824120603012</v>
      </c>
      <c r="C34" s="170">
        <f>IF(ISERROR(B34/SUM($B$32,$B$34,$B$35,$B$36,$B$38,$B$39)*100),0,B34/SUM($B$32,$B$34,$B$35,$B$36,$B$38,$B$39)*100)</f>
        <v>4.1090871021775532</v>
      </c>
      <c r="D34" s="236"/>
      <c r="G34" s="16"/>
    </row>
    <row r="35" spans="1:7">
      <c r="A35" s="174" t="s">
        <v>74</v>
      </c>
      <c r="B35" s="34">
        <f>IF((($B$28-$B$32-$B$39-$B$77-$B$38)*C21/100)&lt;0,0,($B$28-$B$32-$B$39-$B$77-$B$38)*C21/100)</f>
        <v>506.89698492462304</v>
      </c>
      <c r="C35" s="170">
        <f>IF(ISERROR(B35/SUM($B$32,$B$34,$B$35,$B$36,$B$38,$B$39)*100),0,B35/SUM($B$32,$B$34,$B$35,$B$36,$B$38,$B$39)*100)</f>
        <v>15.761722168054199</v>
      </c>
      <c r="D35" s="236"/>
      <c r="G35" s="16"/>
    </row>
    <row r="36" spans="1:7">
      <c r="A36" s="174" t="s">
        <v>75</v>
      </c>
      <c r="B36" s="34">
        <f>IF((($B$28-$B$32-$B$39-$B$77-$B$38)*C22/100)&lt;0,0,($B$28-$B$32-$B$39-$B$77-$B$38)*C22/100)</f>
        <v>145.95477386934672</v>
      </c>
      <c r="C36" s="170">
        <f>IF(ISERROR(B36/SUM($B$32,$B$34,$B$35,$B$36,$B$38,$B$39)*100),0,B36/SUM($B$32,$B$34,$B$35,$B$36,$B$38,$B$39)*100)</f>
        <v>4.5383947098677462</v>
      </c>
      <c r="D36" s="236"/>
      <c r="G36" s="16"/>
    </row>
    <row r="37" spans="1:7">
      <c r="A37" s="174" t="s">
        <v>76</v>
      </c>
      <c r="B37" s="35" t="s">
        <v>111</v>
      </c>
      <c r="C37" s="170"/>
      <c r="D37" s="176"/>
      <c r="G37" s="16"/>
    </row>
    <row r="38" spans="1:7">
      <c r="A38" s="174" t="s">
        <v>77</v>
      </c>
      <c r="B38" s="34">
        <f>IF((B24-(B29-B18)*0.1)&lt;0,0,B24-(B29-B18)*0.1)</f>
        <v>2.5999999999999943</v>
      </c>
      <c r="C38" s="170">
        <f>IF(ISERROR(B38/SUM($B$32,$B$34,$B$35,$B$36,$B$38,$B$39)*100),0,B38/SUM($B$32,$B$34,$B$35,$B$36,$B$38,$B$39)*100)</f>
        <v>8.0845771144278433E-2</v>
      </c>
      <c r="D38" s="237"/>
      <c r="G38" s="16"/>
    </row>
    <row r="39" spans="1:7">
      <c r="A39" s="174" t="s">
        <v>78</v>
      </c>
      <c r="B39" s="34">
        <f>IF((B25-(B29-B18))&lt;0,0,B25-(B29-B18)*0.9)</f>
        <v>1079.4000000000001</v>
      </c>
      <c r="C39" s="170">
        <f>IF(ISERROR(B39/SUM($B$32,$B$34,$B$35,$B$36,$B$38,$B$39)*100),0,B39/SUM($B$32,$B$34,$B$35,$B$36,$B$38,$B$39)*100)</f>
        <v>33.563432835820898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1349</v>
      </c>
      <c r="C44" s="35" t="s">
        <v>111</v>
      </c>
      <c r="D44" s="177"/>
    </row>
    <row r="45" spans="1:7">
      <c r="A45" s="174" t="s">
        <v>72</v>
      </c>
      <c r="B45" s="34" t="str">
        <f t="shared" si="0"/>
        <v>-</v>
      </c>
      <c r="C45" s="35" t="s">
        <v>111</v>
      </c>
      <c r="D45" s="177"/>
    </row>
    <row r="46" spans="1:7">
      <c r="A46" s="174" t="s">
        <v>73</v>
      </c>
      <c r="B46" s="34">
        <f t="shared" si="0"/>
        <v>132.14824120603012</v>
      </c>
      <c r="C46" s="35" t="s">
        <v>111</v>
      </c>
      <c r="D46" s="177"/>
    </row>
    <row r="47" spans="1:7">
      <c r="A47" s="174" t="s">
        <v>74</v>
      </c>
      <c r="B47" s="34">
        <f t="shared" si="0"/>
        <v>506.89698492462304</v>
      </c>
      <c r="C47" s="35" t="s">
        <v>111</v>
      </c>
      <c r="D47" s="177"/>
    </row>
    <row r="48" spans="1:7">
      <c r="A48" s="174" t="s">
        <v>75</v>
      </c>
      <c r="B48" s="34">
        <f t="shared" si="0"/>
        <v>145.95477386934672</v>
      </c>
      <c r="C48" s="34">
        <f>B48*10</f>
        <v>1459.5477386934672</v>
      </c>
      <c r="D48" s="237"/>
    </row>
    <row r="49" spans="1:6">
      <c r="A49" s="174" t="s">
        <v>76</v>
      </c>
      <c r="B49" s="34" t="str">
        <f t="shared" si="0"/>
        <v>-</v>
      </c>
      <c r="C49" s="35" t="s">
        <v>111</v>
      </c>
      <c r="D49" s="237"/>
    </row>
    <row r="50" spans="1:6">
      <c r="A50" s="174" t="s">
        <v>77</v>
      </c>
      <c r="B50" s="34">
        <f t="shared" si="0"/>
        <v>2.5999999999999943</v>
      </c>
      <c r="C50" s="34">
        <f>B50*2</f>
        <v>5.1999999999999886</v>
      </c>
      <c r="D50" s="237"/>
    </row>
    <row r="51" spans="1:6">
      <c r="A51" s="174" t="s">
        <v>78</v>
      </c>
      <c r="B51" s="34">
        <f t="shared" si="0"/>
        <v>1079.4000000000001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7437.8158762814583</v>
      </c>
      <c r="C5" s="18">
        <f>IF(ISERROR('Eigen informatie GS &amp; warmtenet'!B58),0,'Eigen informatie GS &amp; warmtenet'!B58)</f>
        <v>0</v>
      </c>
      <c r="D5" s="31">
        <f>SUM(D6:D12)</f>
        <v>6514.0037598221716</v>
      </c>
      <c r="E5" s="18">
        <f>SUM(E6:E12)</f>
        <v>70.21607390670134</v>
      </c>
      <c r="F5" s="18">
        <f>SUM(F6:F12)</f>
        <v>1517.3289404007996</v>
      </c>
      <c r="G5" s="19"/>
      <c r="H5" s="18"/>
      <c r="I5" s="18"/>
      <c r="J5" s="18">
        <f>SUM(J6:J12)</f>
        <v>0</v>
      </c>
      <c r="K5" s="18"/>
      <c r="L5" s="18"/>
      <c r="M5" s="18"/>
      <c r="N5" s="18">
        <f>SUM(N6:N12)</f>
        <v>496.97884450759227</v>
      </c>
      <c r="O5" s="18">
        <f>B38*B39*B40</f>
        <v>0</v>
      </c>
      <c r="P5" s="18">
        <f>B46*B47*B48/1000-B46*B47*B48/1000/B49</f>
        <v>0</v>
      </c>
      <c r="R5" s="33"/>
    </row>
    <row r="6" spans="1:18">
      <c r="A6" s="33" t="s">
        <v>54</v>
      </c>
      <c r="B6" s="38">
        <f>B26</f>
        <v>736.43594788171004</v>
      </c>
      <c r="C6" s="34"/>
      <c r="D6" s="38">
        <f>IF(ISERROR(TER_kantoor_gas_kWh/1000),0,TER_kantoor_gas_kWh/1000)*0.902</f>
        <v>572.74870020344633</v>
      </c>
      <c r="E6" s="34">
        <f>$C$26*'E Balans VL '!I12/100/3.6*1000000</f>
        <v>1.2086406482548422</v>
      </c>
      <c r="F6" s="34">
        <f>$C$26*('E Balans VL '!L12+'E Balans VL '!N12)/100/3.6*1000000</f>
        <v>86.80847085835633</v>
      </c>
      <c r="G6" s="35"/>
      <c r="H6" s="34"/>
      <c r="I6" s="34"/>
      <c r="J6" s="34">
        <f>$C$26*('E Balans VL '!D12+'E Balans VL '!E12)/100/3.6*1000000</f>
        <v>0</v>
      </c>
      <c r="K6" s="34"/>
      <c r="L6" s="34"/>
      <c r="M6" s="34"/>
      <c r="N6" s="34">
        <f>$C$26*'E Balans VL '!Y12/100/3.6*1000000</f>
        <v>0.14879339595978935</v>
      </c>
      <c r="O6" s="34"/>
      <c r="P6" s="34"/>
      <c r="R6" s="33"/>
    </row>
    <row r="7" spans="1:18">
      <c r="A7" s="33" t="s">
        <v>53</v>
      </c>
      <c r="B7" s="38">
        <f t="shared" ref="B7:B12" si="0">B27</f>
        <v>511.30127522267696</v>
      </c>
      <c r="C7" s="34"/>
      <c r="D7" s="38">
        <f>IF(ISERROR(TER_horeca_gas_kWh/1000),0,TER_horeca_gas_kWh/1000)*0.902</f>
        <v>577.19178861580735</v>
      </c>
      <c r="E7" s="34">
        <f>$C$27*'E Balans VL '!I9/100/3.6*1000000</f>
        <v>26.532836328855474</v>
      </c>
      <c r="F7" s="34">
        <f>$C$27*('E Balans VL '!L9+'E Balans VL '!N9)/100/3.6*1000000</f>
        <v>116.67932200785894</v>
      </c>
      <c r="G7" s="35"/>
      <c r="H7" s="34"/>
      <c r="I7" s="34"/>
      <c r="J7" s="34">
        <f>$C$27*('E Balans VL '!D9+'E Balans VL '!E9)/100/3.6*1000000</f>
        <v>0</v>
      </c>
      <c r="K7" s="34"/>
      <c r="L7" s="34"/>
      <c r="M7" s="34"/>
      <c r="N7" s="34">
        <f>$C$27*'E Balans VL '!Y9/100/3.6*1000000</f>
        <v>5.3993180349482812E-2</v>
      </c>
      <c r="O7" s="34"/>
      <c r="P7" s="34"/>
      <c r="R7" s="33"/>
    </row>
    <row r="8" spans="1:18">
      <c r="A8" s="6" t="s">
        <v>52</v>
      </c>
      <c r="B8" s="38">
        <f t="shared" si="0"/>
        <v>3098.1758862552897</v>
      </c>
      <c r="C8" s="34"/>
      <c r="D8" s="38">
        <f>IF(ISERROR(TER_handel_gas_kWh/1000),0,TER_handel_gas_kWh/1000)*0.902</f>
        <v>588.05014434426209</v>
      </c>
      <c r="E8" s="34">
        <f>$C$28*'E Balans VL '!I13/100/3.6*1000000</f>
        <v>16.684057862700012</v>
      </c>
      <c r="F8" s="34">
        <f>$C$28*('E Balans VL '!L13+'E Balans VL '!N13)/100/3.6*1000000</f>
        <v>631.81013270239157</v>
      </c>
      <c r="G8" s="35"/>
      <c r="H8" s="34"/>
      <c r="I8" s="34"/>
      <c r="J8" s="34">
        <f>$C$28*('E Balans VL '!D13+'E Balans VL '!E13)/100/3.6*1000000</f>
        <v>0</v>
      </c>
      <c r="K8" s="34"/>
      <c r="L8" s="34"/>
      <c r="M8" s="34"/>
      <c r="N8" s="34">
        <f>$C$28*'E Balans VL '!Y13/100/3.6*1000000</f>
        <v>15.405592582537231</v>
      </c>
      <c r="O8" s="34"/>
      <c r="P8" s="34"/>
      <c r="R8" s="33"/>
    </row>
    <row r="9" spans="1:18">
      <c r="A9" s="33" t="s">
        <v>51</v>
      </c>
      <c r="B9" s="38">
        <f t="shared" si="0"/>
        <v>35.776026706075307</v>
      </c>
      <c r="C9" s="34"/>
      <c r="D9" s="38">
        <f>IF(ISERROR(TER_gezond_gas_kWh/1000),0,TER_gezond_gas_kWh/1000)*0.902</f>
        <v>0</v>
      </c>
      <c r="E9" s="34">
        <f>$C$29*'E Balans VL '!I10/100/3.6*1000000</f>
        <v>3.5454449309012565E-2</v>
      </c>
      <c r="F9" s="34">
        <f>$C$29*('E Balans VL '!L10+'E Balans VL '!N10)/100/3.6*1000000</f>
        <v>12.413250062599822</v>
      </c>
      <c r="G9" s="35"/>
      <c r="H9" s="34"/>
      <c r="I9" s="34"/>
      <c r="J9" s="34">
        <f>$C$29*('E Balans VL '!D10+'E Balans VL '!E10)/100/3.6*1000000</f>
        <v>0</v>
      </c>
      <c r="K9" s="34"/>
      <c r="L9" s="34"/>
      <c r="M9" s="34"/>
      <c r="N9" s="34">
        <f>$C$29*'E Balans VL '!Y10/100/3.6*1000000</f>
        <v>0.30827892286391617</v>
      </c>
      <c r="O9" s="34"/>
      <c r="P9" s="34"/>
      <c r="R9" s="33"/>
    </row>
    <row r="10" spans="1:18">
      <c r="A10" s="33" t="s">
        <v>50</v>
      </c>
      <c r="B10" s="38">
        <f t="shared" si="0"/>
        <v>553.98736494047603</v>
      </c>
      <c r="C10" s="34"/>
      <c r="D10" s="38">
        <f>IF(ISERROR(TER_ander_gas_kWh/1000),0,TER_ander_gas_kWh/1000)*0.902</f>
        <v>814.68368742743087</v>
      </c>
      <c r="E10" s="34">
        <f>$C$30*'E Balans VL '!I14/100/3.6*1000000</f>
        <v>4.5321703161531053</v>
      </c>
      <c r="F10" s="34">
        <f>$C$30*('E Balans VL '!L14+'E Balans VL '!N14)/100/3.6*1000000</f>
        <v>161.96335174887071</v>
      </c>
      <c r="G10" s="35"/>
      <c r="H10" s="34"/>
      <c r="I10" s="34"/>
      <c r="J10" s="34">
        <f>$C$30*('E Balans VL '!D14+'E Balans VL '!E14)/100/3.6*1000000</f>
        <v>0</v>
      </c>
      <c r="K10" s="34"/>
      <c r="L10" s="34"/>
      <c r="M10" s="34"/>
      <c r="N10" s="34">
        <f>$C$30*'E Balans VL '!Y14/100/3.6*1000000</f>
        <v>319.57802028653492</v>
      </c>
      <c r="O10" s="34"/>
      <c r="P10" s="34"/>
      <c r="R10" s="33"/>
    </row>
    <row r="11" spans="1:18">
      <c r="A11" s="33" t="s">
        <v>55</v>
      </c>
      <c r="B11" s="38">
        <f t="shared" si="0"/>
        <v>49.4046865075792</v>
      </c>
      <c r="C11" s="34"/>
      <c r="D11" s="38">
        <f>IF(ISERROR(TER_onderwijs_gas_kWh/1000),0,TER_onderwijs_gas_kWh/1000)*0.902</f>
        <v>192.24873432184</v>
      </c>
      <c r="E11" s="34">
        <f>$C$31*'E Balans VL '!I11/100/3.6*1000000</f>
        <v>3.0450964172586113E-2</v>
      </c>
      <c r="F11" s="34">
        <f>$C$31*('E Balans VL '!L11+'E Balans VL '!N11)/100/3.6*1000000</f>
        <v>19.100651896390708</v>
      </c>
      <c r="G11" s="35"/>
      <c r="H11" s="34"/>
      <c r="I11" s="34"/>
      <c r="J11" s="34">
        <f>$C$31*('E Balans VL '!D11+'E Balans VL '!E11)/100/3.6*1000000</f>
        <v>0</v>
      </c>
      <c r="K11" s="34"/>
      <c r="L11" s="34"/>
      <c r="M11" s="34"/>
      <c r="N11" s="34">
        <f>$C$31*'E Balans VL '!Y11/100/3.6*1000000</f>
        <v>0.16070285801088852</v>
      </c>
      <c r="O11" s="34"/>
      <c r="P11" s="34"/>
      <c r="R11" s="33"/>
    </row>
    <row r="12" spans="1:18">
      <c r="A12" s="33" t="s">
        <v>260</v>
      </c>
      <c r="B12" s="38">
        <f t="shared" si="0"/>
        <v>2452.7346887676504</v>
      </c>
      <c r="C12" s="34"/>
      <c r="D12" s="38">
        <f>IF(ISERROR(TER_rest_gas_kWh/1000),0,TER_rest_gas_kWh/1000)*0.902</f>
        <v>3769.0807049093851</v>
      </c>
      <c r="E12" s="34">
        <f>$C$32*'E Balans VL '!I8/100/3.6*1000000</f>
        <v>21.19246333725631</v>
      </c>
      <c r="F12" s="34">
        <f>$C$32*('E Balans VL '!L8+'E Balans VL '!N8)/100/3.6*1000000</f>
        <v>488.5537611243318</v>
      </c>
      <c r="G12" s="35"/>
      <c r="H12" s="34"/>
      <c r="I12" s="34"/>
      <c r="J12" s="34">
        <f>$C$32*('E Balans VL '!D8+'E Balans VL '!E8)/100/3.6*1000000</f>
        <v>0</v>
      </c>
      <c r="K12" s="34"/>
      <c r="L12" s="34"/>
      <c r="M12" s="34"/>
      <c r="N12" s="34">
        <f>$C$32*'E Balans VL '!Y8/100/3.6*1000000</f>
        <v>161.32346328133602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7437.8158762814583</v>
      </c>
      <c r="C16" s="22">
        <f t="shared" ca="1" si="1"/>
        <v>0</v>
      </c>
      <c r="D16" s="22">
        <f t="shared" ca="1" si="1"/>
        <v>6514.0037598221716</v>
      </c>
      <c r="E16" s="22">
        <f t="shared" si="1"/>
        <v>70.21607390670134</v>
      </c>
      <c r="F16" s="22">
        <f t="shared" ca="1" si="1"/>
        <v>1517.3289404007996</v>
      </c>
      <c r="G16" s="22">
        <f t="shared" si="1"/>
        <v>0</v>
      </c>
      <c r="H16" s="22">
        <f t="shared" si="1"/>
        <v>0</v>
      </c>
      <c r="I16" s="22">
        <f t="shared" si="1"/>
        <v>0</v>
      </c>
      <c r="J16" s="22">
        <f t="shared" si="1"/>
        <v>0</v>
      </c>
      <c r="K16" s="22">
        <f t="shared" si="1"/>
        <v>0</v>
      </c>
      <c r="L16" s="22">
        <f t="shared" ca="1" si="1"/>
        <v>0</v>
      </c>
      <c r="M16" s="22">
        <f t="shared" si="1"/>
        <v>0</v>
      </c>
      <c r="N16" s="22">
        <f t="shared" ca="1" si="1"/>
        <v>496.97884450759227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0.21190268012879354</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1576.0931184885321</v>
      </c>
      <c r="C20" s="24">
        <f t="shared" ref="C20:P20" ca="1" si="2">C16*C18</f>
        <v>0</v>
      </c>
      <c r="D20" s="24">
        <f t="shared" ca="1" si="2"/>
        <v>1315.8287594840788</v>
      </c>
      <c r="E20" s="24">
        <f t="shared" si="2"/>
        <v>15.939048776821204</v>
      </c>
      <c r="F20" s="24">
        <f t="shared" ca="1" si="2"/>
        <v>405.12682708701351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736.43594788171004</v>
      </c>
      <c r="C26" s="40">
        <f>IF(ISERROR(B26*3.6/1000000/'E Balans VL '!Z12*100),0,B26*3.6/1000000/'E Balans VL '!Z12*100)</f>
        <v>1.5648735771406415E-2</v>
      </c>
      <c r="D26" s="240" t="s">
        <v>707</v>
      </c>
      <c r="F26" s="6"/>
    </row>
    <row r="27" spans="1:18">
      <c r="A27" s="234" t="s">
        <v>53</v>
      </c>
      <c r="B27" s="34">
        <f>IF(ISERROR(TER_horeca_ele_kWh/1000),0,TER_horeca_ele_kWh/1000)</f>
        <v>511.30127522267696</v>
      </c>
      <c r="C27" s="40">
        <f>IF(ISERROR(B27*3.6/1000000/'E Balans VL '!Z9*100),0,B27*3.6/1000000/'E Balans VL '!Z9*100)</f>
        <v>4.0243364235639366E-2</v>
      </c>
      <c r="D27" s="240" t="s">
        <v>707</v>
      </c>
      <c r="F27" s="6"/>
    </row>
    <row r="28" spans="1:18">
      <c r="A28" s="174" t="s">
        <v>52</v>
      </c>
      <c r="B28" s="34">
        <f>IF(ISERROR(TER_handel_ele_kWh/1000),0,TER_handel_ele_kWh/1000)</f>
        <v>3098.1758862552897</v>
      </c>
      <c r="C28" s="40">
        <f>IF(ISERROR(B28*3.6/1000000/'E Balans VL '!Z13*100),0,B28*3.6/1000000/'E Balans VL '!Z13*100)</f>
        <v>8.6781564652284537E-2</v>
      </c>
      <c r="D28" s="240" t="s">
        <v>707</v>
      </c>
      <c r="F28" s="6"/>
    </row>
    <row r="29" spans="1:18">
      <c r="A29" s="234" t="s">
        <v>51</v>
      </c>
      <c r="B29" s="34">
        <f>IF(ISERROR(TER_gezond_ele_kWh/1000),0,TER_gezond_ele_kWh/1000)</f>
        <v>35.776026706075307</v>
      </c>
      <c r="C29" s="40">
        <f>IF(ISERROR(B29*3.6/1000000/'E Balans VL '!Z10*100),0,B29*3.6/1000000/'E Balans VL '!Z10*100)</f>
        <v>4.5768356391848409E-3</v>
      </c>
      <c r="D29" s="240" t="s">
        <v>707</v>
      </c>
      <c r="F29" s="6"/>
    </row>
    <row r="30" spans="1:18">
      <c r="A30" s="234" t="s">
        <v>50</v>
      </c>
      <c r="B30" s="34">
        <f>IF(ISERROR(TER_ander_ele_kWh/1000),0,TER_ander_ele_kWh/1000)</f>
        <v>553.98736494047603</v>
      </c>
      <c r="C30" s="40">
        <f>IF(ISERROR(B30*3.6/1000000/'E Balans VL '!Z14*100),0,B30*3.6/1000000/'E Balans VL '!Z14*100)</f>
        <v>4.1433586918466159E-2</v>
      </c>
      <c r="D30" s="240" t="s">
        <v>707</v>
      </c>
      <c r="F30" s="6"/>
    </row>
    <row r="31" spans="1:18">
      <c r="A31" s="234" t="s">
        <v>55</v>
      </c>
      <c r="B31" s="34">
        <f>IF(ISERROR(TER_onderwijs_ele_kWh/1000),0,TER_onderwijs_ele_kWh/1000)</f>
        <v>49.4046865075792</v>
      </c>
      <c r="C31" s="40">
        <f>IF(ISERROR(B31*3.6/1000000/'E Balans VL '!Z11*100),0,B31*3.6/1000000/'E Balans VL '!Z11*100)</f>
        <v>1.0431863551502014E-2</v>
      </c>
      <c r="D31" s="240" t="s">
        <v>707</v>
      </c>
    </row>
    <row r="32" spans="1:18">
      <c r="A32" s="234" t="s">
        <v>260</v>
      </c>
      <c r="B32" s="34">
        <f>IF(ISERROR(TER_rest_ele_kWh/1000),0,TER_rest_ele_kWh/1000)</f>
        <v>2452.7346887676504</v>
      </c>
      <c r="C32" s="40">
        <f>IF(ISERROR(B32*3.6/1000000/'E Balans VL '!Z8*100),0,B32*3.6/1000000/'E Balans VL '!Z8*100)</f>
        <v>2.0205461740615206E-2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20079.740876638807</v>
      </c>
      <c r="C5" s="18">
        <f>IF(ISERROR('Eigen informatie GS &amp; warmtenet'!B59),0,'Eigen informatie GS &amp; warmtenet'!B59)</f>
        <v>0</v>
      </c>
      <c r="D5" s="31">
        <f>SUM(D6:D15)</f>
        <v>1526.8011172895945</v>
      </c>
      <c r="E5" s="18">
        <f>SUM(E6:E15)</f>
        <v>167.73372046972742</v>
      </c>
      <c r="F5" s="18">
        <f>SUM(F6:F15)</f>
        <v>4697.8181588632124</v>
      </c>
      <c r="G5" s="19"/>
      <c r="H5" s="18"/>
      <c r="I5" s="18"/>
      <c r="J5" s="18">
        <f>SUM(J6:J15)</f>
        <v>85.306202165533676</v>
      </c>
      <c r="K5" s="18"/>
      <c r="L5" s="18"/>
      <c r="M5" s="18"/>
      <c r="N5" s="18">
        <f>SUM(N6:N15)</f>
        <v>663.04370393304384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142.63003348877302</v>
      </c>
      <c r="C8" s="34"/>
      <c r="D8" s="38">
        <f>IF( ISERROR(IND_metaal_Gas_kWH/1000),0,IND_metaal_Gas_kWH/1000)*0.902</f>
        <v>0</v>
      </c>
      <c r="E8" s="34">
        <f>C30*'E Balans VL '!I18/100/3.6*1000000</f>
        <v>1.2989060112881079</v>
      </c>
      <c r="F8" s="34">
        <f>C30*'E Balans VL '!L18/100/3.6*1000000+C30*'E Balans VL '!N18/100/3.6*1000000</f>
        <v>18.811818266091141</v>
      </c>
      <c r="G8" s="35"/>
      <c r="H8" s="34"/>
      <c r="I8" s="34"/>
      <c r="J8" s="41">
        <f>C30*'E Balans VL '!D18/100/3.6*1000000+C30*'E Balans VL '!E18/100/3.6*1000000</f>
        <v>2.3389254578643879</v>
      </c>
      <c r="K8" s="34"/>
      <c r="L8" s="34"/>
      <c r="M8" s="34"/>
      <c r="N8" s="34">
        <f>C30*'E Balans VL '!Y18/100/3.6*1000000</f>
        <v>0.49016276546545234</v>
      </c>
      <c r="O8" s="34"/>
      <c r="P8" s="34"/>
      <c r="R8" s="33"/>
    </row>
    <row r="9" spans="1:18">
      <c r="A9" s="6" t="s">
        <v>33</v>
      </c>
      <c r="B9" s="38">
        <f t="shared" si="0"/>
        <v>1707.5733992144901</v>
      </c>
      <c r="C9" s="34"/>
      <c r="D9" s="38">
        <f>IF( ISERROR(IND_andere_gas_kWh/1000),0,IND_andere_gas_kWh/1000)*0.902</f>
        <v>546.59954078788485</v>
      </c>
      <c r="E9" s="34">
        <f>C31*'E Balans VL '!I19/100/3.6*1000000</f>
        <v>9.87002942319792</v>
      </c>
      <c r="F9" s="34">
        <f>C31*'E Balans VL '!L19/100/3.6*1000000+C31*'E Balans VL '!N19/100/3.6*1000000</f>
        <v>1358.4568042557016</v>
      </c>
      <c r="G9" s="35"/>
      <c r="H9" s="34"/>
      <c r="I9" s="34"/>
      <c r="J9" s="41">
        <f>C31*'E Balans VL '!D19/100/3.6*1000000+C31*'E Balans VL '!E19/100/3.6*1000000</f>
        <v>0.16151747637759512</v>
      </c>
      <c r="K9" s="34"/>
      <c r="L9" s="34"/>
      <c r="M9" s="34"/>
      <c r="N9" s="34">
        <f>C31*'E Balans VL '!Y19/100/3.6*1000000</f>
        <v>129.37452622340072</v>
      </c>
      <c r="O9" s="34"/>
      <c r="P9" s="34"/>
      <c r="R9" s="33"/>
    </row>
    <row r="10" spans="1:18">
      <c r="A10" s="6" t="s">
        <v>41</v>
      </c>
      <c r="B10" s="38">
        <f t="shared" si="0"/>
        <v>264.78193634485001</v>
      </c>
      <c r="C10" s="34"/>
      <c r="D10" s="38">
        <f>IF( ISERROR(IND_voed_gas_kWh/1000),0,IND_voed_gas_kWh/1000)*0.902</f>
        <v>457.16612261427241</v>
      </c>
      <c r="E10" s="34">
        <f>C32*'E Balans VL '!I20/100/3.6*1000000</f>
        <v>2.6034991438807555</v>
      </c>
      <c r="F10" s="34">
        <f>C32*'E Balans VL '!L20/100/3.6*1000000+C32*'E Balans VL '!N20/100/3.6*1000000</f>
        <v>29.407490135552013</v>
      </c>
      <c r="G10" s="35"/>
      <c r="H10" s="34"/>
      <c r="I10" s="34"/>
      <c r="J10" s="41">
        <f>C32*'E Balans VL '!D20/100/3.6*1000000+C32*'E Balans VL '!E20/100/3.6*1000000</f>
        <v>1.0436258149012167E-3</v>
      </c>
      <c r="K10" s="34"/>
      <c r="L10" s="34"/>
      <c r="M10" s="34"/>
      <c r="N10" s="34">
        <f>C32*'E Balans VL '!Y20/100/3.6*1000000</f>
        <v>3.9207976445015587</v>
      </c>
      <c r="O10" s="34"/>
      <c r="P10" s="34"/>
      <c r="R10" s="33"/>
    </row>
    <row r="11" spans="1:18">
      <c r="A11" s="6" t="s">
        <v>40</v>
      </c>
      <c r="B11" s="38">
        <f t="shared" si="0"/>
        <v>1106.00439360664</v>
      </c>
      <c r="C11" s="34"/>
      <c r="D11" s="38">
        <f>IF( ISERROR(IND_textiel_gas_kWh/1000),0,IND_textiel_gas_kWh/1000)*0.902</f>
        <v>0</v>
      </c>
      <c r="E11" s="34">
        <f>C33*'E Balans VL '!I21/100/3.6*1000000</f>
        <v>2.1536473761440682</v>
      </c>
      <c r="F11" s="34">
        <f>C33*'E Balans VL '!L21/100/3.6*1000000+C33*'E Balans VL '!N21/100/3.6*1000000</f>
        <v>36.479654258526665</v>
      </c>
      <c r="G11" s="35"/>
      <c r="H11" s="34"/>
      <c r="I11" s="34"/>
      <c r="J11" s="41">
        <f>C33*'E Balans VL '!D21/100/3.6*1000000+C33*'E Balans VL '!E21/100/3.6*1000000</f>
        <v>0</v>
      </c>
      <c r="K11" s="34"/>
      <c r="L11" s="34"/>
      <c r="M11" s="34"/>
      <c r="N11" s="34">
        <f>C33*'E Balans VL '!Y21/100/3.6*1000000</f>
        <v>11.472174549343695</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33.189971969546995</v>
      </c>
      <c r="C13" s="34"/>
      <c r="D13" s="38">
        <f>IF( ISERROR(IND_papier_gas_kWh/1000),0,IND_papier_gas_kWh/1000)*0.902</f>
        <v>0</v>
      </c>
      <c r="E13" s="34">
        <f>C35*'E Balans VL '!I23/100/3.6*1000000</f>
        <v>1.1304985676308965</v>
      </c>
      <c r="F13" s="34">
        <f>C35*'E Balans VL '!L23/100/3.6*1000000+C35*'E Balans VL '!N23/100/3.6*1000000</f>
        <v>5.4822044174944207</v>
      </c>
      <c r="G13" s="35"/>
      <c r="H13" s="34"/>
      <c r="I13" s="34"/>
      <c r="J13" s="41">
        <f>C35*'E Balans VL '!D23/100/3.6*1000000+C35*'E Balans VL '!E23/100/3.6*1000000</f>
        <v>0</v>
      </c>
      <c r="K13" s="34"/>
      <c r="L13" s="34"/>
      <c r="M13" s="34"/>
      <c r="N13" s="34">
        <f>C35*'E Balans VL '!Y23/100/3.6*1000000</f>
        <v>12.213019598744589</v>
      </c>
      <c r="O13" s="34"/>
      <c r="P13" s="34"/>
      <c r="R13" s="33"/>
    </row>
    <row r="14" spans="1:18">
      <c r="A14" s="6" t="s">
        <v>34</v>
      </c>
      <c r="B14" s="38">
        <f t="shared" si="0"/>
        <v>359.36583623500803</v>
      </c>
      <c r="C14" s="34"/>
      <c r="D14" s="38">
        <f>IF( ISERROR(IND_chemie_gas_kWh/1000),0,IND_chemie_gas_kWh/1000)*0.902</f>
        <v>0</v>
      </c>
      <c r="E14" s="34">
        <f>C36*'E Balans VL '!I24/100/3.6*1000000</f>
        <v>2.716997877309979</v>
      </c>
      <c r="F14" s="34">
        <f>C36*'E Balans VL '!L24/100/3.6*1000000+C36*'E Balans VL '!N24/100/3.6*1000000</f>
        <v>6.6492615499535423</v>
      </c>
      <c r="G14" s="35"/>
      <c r="H14" s="34"/>
      <c r="I14" s="34"/>
      <c r="J14" s="41">
        <f>C36*'E Balans VL '!D24/100/3.6*1000000+C36*'E Balans VL '!E24/100/3.6*1000000</f>
        <v>0</v>
      </c>
      <c r="K14" s="34"/>
      <c r="L14" s="34"/>
      <c r="M14" s="34"/>
      <c r="N14" s="34">
        <f>C36*'E Balans VL '!Y24/100/3.6*1000000</f>
        <v>0.104206825850939</v>
      </c>
      <c r="O14" s="34"/>
      <c r="P14" s="34"/>
      <c r="R14" s="33"/>
    </row>
    <row r="15" spans="1:18">
      <c r="A15" s="6" t="s">
        <v>270</v>
      </c>
      <c r="B15" s="38">
        <f t="shared" si="0"/>
        <v>16466.1953057795</v>
      </c>
      <c r="C15" s="34"/>
      <c r="D15" s="38">
        <f>IF( ISERROR(IND_rest_gas_kWh/1000),0,IND_rest_gas_kWh/1000)*0.902</f>
        <v>523.03545388743714</v>
      </c>
      <c r="E15" s="34">
        <f>C37*'E Balans VL '!I15/100/3.6*1000000</f>
        <v>147.96014207027568</v>
      </c>
      <c r="F15" s="34">
        <f>C37*'E Balans VL '!L15/100/3.6*1000000+C37*'E Balans VL '!N15/100/3.6*1000000</f>
        <v>3242.5309259798933</v>
      </c>
      <c r="G15" s="35"/>
      <c r="H15" s="34"/>
      <c r="I15" s="34"/>
      <c r="J15" s="41">
        <f>C37*'E Balans VL '!D15/100/3.6*1000000+C37*'E Balans VL '!E15/100/3.6*1000000</f>
        <v>82.804715605476787</v>
      </c>
      <c r="K15" s="34"/>
      <c r="L15" s="34"/>
      <c r="M15" s="34"/>
      <c r="N15" s="34">
        <f>C37*'E Balans VL '!Y15/100/3.6*1000000</f>
        <v>505.46881632573684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20079.740876638807</v>
      </c>
      <c r="C18" s="22">
        <f>C5+C16</f>
        <v>0</v>
      </c>
      <c r="D18" s="22">
        <f>MAX((D5+D16),0)</f>
        <v>1526.8011172895945</v>
      </c>
      <c r="E18" s="22">
        <f>MAX((E5+E16),0)</f>
        <v>167.73372046972742</v>
      </c>
      <c r="F18" s="22">
        <f>MAX((F5+F16),0)</f>
        <v>4697.8181588632124</v>
      </c>
      <c r="G18" s="22"/>
      <c r="H18" s="22"/>
      <c r="I18" s="22"/>
      <c r="J18" s="22">
        <f>MAX((J5+J16),0)</f>
        <v>85.306202165533676</v>
      </c>
      <c r="K18" s="22"/>
      <c r="L18" s="22">
        <f>MAX((L5+L16),0)</f>
        <v>0</v>
      </c>
      <c r="M18" s="22"/>
      <c r="N18" s="22">
        <f>MAX((N5+N16),0)</f>
        <v>663.04370393304384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0.21190268012879354</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4254.9509080514536</v>
      </c>
      <c r="C22" s="24">
        <f ca="1">C18*C20</f>
        <v>0</v>
      </c>
      <c r="D22" s="24">
        <f>D18*D20</f>
        <v>308.41382569249811</v>
      </c>
      <c r="E22" s="24">
        <f>E18*E20</f>
        <v>38.075554546628126</v>
      </c>
      <c r="F22" s="24">
        <f>F18*F20</f>
        <v>1254.3174484164779</v>
      </c>
      <c r="G22" s="24"/>
      <c r="H22" s="24"/>
      <c r="I22" s="24"/>
      <c r="J22" s="24">
        <f>J18*J20</f>
        <v>30.198395566598919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142.63003348877302</v>
      </c>
      <c r="C30" s="40">
        <f>IF(ISERROR(B30*3.6/1000000/'E Balans VL '!Z18*100),0,B30*3.6/1000000/'E Balans VL '!Z18*100)</f>
        <v>7.9364076047992813E-3</v>
      </c>
      <c r="D30" s="240" t="s">
        <v>707</v>
      </c>
    </row>
    <row r="31" spans="1:18">
      <c r="A31" s="6" t="s">
        <v>33</v>
      </c>
      <c r="B31" s="38">
        <f>IF( ISERROR(IND_ander_ele_kWh/1000),0,IND_ander_ele_kWh/1000)</f>
        <v>1707.5733992144901</v>
      </c>
      <c r="C31" s="40">
        <f>IF(ISERROR(B31*3.6/1000000/'E Balans VL '!Z19*100),0,B31*3.6/1000000/'E Balans VL '!Z19*100)</f>
        <v>7.9380602724824903E-2</v>
      </c>
      <c r="D31" s="240" t="s">
        <v>707</v>
      </c>
    </row>
    <row r="32" spans="1:18">
      <c r="A32" s="174" t="s">
        <v>41</v>
      </c>
      <c r="B32" s="38">
        <f>IF( ISERROR(IND_voed_ele_kWh/1000),0,IND_voed_ele_kWh/1000)</f>
        <v>264.78193634485001</v>
      </c>
      <c r="C32" s="40">
        <f>IF(ISERROR(B32*3.6/1000000/'E Balans VL '!Z20*100),0,B32*3.6/1000000/'E Balans VL '!Z20*100)</f>
        <v>9.3595067000231125E-3</v>
      </c>
      <c r="D32" s="240" t="s">
        <v>707</v>
      </c>
    </row>
    <row r="33" spans="1:5">
      <c r="A33" s="174" t="s">
        <v>40</v>
      </c>
      <c r="B33" s="38">
        <f>IF( ISERROR(IND_textiel_ele_kWh/1000),0,IND_textiel_ele_kWh/1000)</f>
        <v>1106.00439360664</v>
      </c>
      <c r="C33" s="40">
        <f>IF(ISERROR(B33*3.6/1000000/'E Balans VL '!Z21*100),0,B33*3.6/1000000/'E Balans VL '!Z21*100)</f>
        <v>0.14938267579714726</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33.189971969546995</v>
      </c>
      <c r="C35" s="40">
        <f>IF(ISERROR(B35*3.6/1000000/'E Balans VL '!Z22*100),0,B35*3.6/1000000/'E Balans VL '!Z22*100)</f>
        <v>6.670248440288809E-3</v>
      </c>
      <c r="D35" s="240" t="s">
        <v>707</v>
      </c>
    </row>
    <row r="36" spans="1:5">
      <c r="A36" s="174" t="s">
        <v>34</v>
      </c>
      <c r="B36" s="38">
        <f>IF( ISERROR(IND_chemie_ele_kWh/1000),0,IND_chemie_ele_kWh/1000)</f>
        <v>359.36583623500803</v>
      </c>
      <c r="C36" s="40">
        <f>IF(ISERROR(B36*3.6/1000000/'E Balans VL '!Z24*100),0,B36*3.6/1000000/'E Balans VL '!Z24*100)</f>
        <v>8.8494641570965801E-3</v>
      </c>
      <c r="D36" s="240" t="s">
        <v>707</v>
      </c>
    </row>
    <row r="37" spans="1:5">
      <c r="A37" s="174" t="s">
        <v>270</v>
      </c>
      <c r="B37" s="38">
        <f>IF( ISERROR(IND_rest_ele_kWh/1000),0,IND_rest_ele_kWh/1000)</f>
        <v>16466.1953057795</v>
      </c>
      <c r="C37" s="40">
        <f>IF(ISERROR(B37*3.6/1000000/'E Balans VL '!Z15*100),0,B37*3.6/1000000/'E Balans VL '!Z15*100)</f>
        <v>0.12434409880729233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2473.756471006935</v>
      </c>
      <c r="C5" s="18">
        <f>'Eigen informatie GS &amp; warmtenet'!B60</f>
        <v>0</v>
      </c>
      <c r="D5" s="31">
        <f>IF(ISERROR(SUM(LB_lb_gas_kWh,LB_rest_gas_kWh)/1000),0,SUM(LB_lb_gas_kWh,LB_rest_gas_kWh)/1000)*0.902</f>
        <v>15.654213889404156</v>
      </c>
      <c r="E5" s="18">
        <f>B17*'E Balans VL '!I25/3.6*1000000/100</f>
        <v>23.304443428091087</v>
      </c>
      <c r="F5" s="18">
        <f>B17*('E Balans VL '!L25/3.6*1000000+'E Balans VL '!N25/3.6*1000000)/100</f>
        <v>8072.6883325682957</v>
      </c>
      <c r="G5" s="19"/>
      <c r="H5" s="18"/>
      <c r="I5" s="18"/>
      <c r="J5" s="18">
        <f>('E Balans VL '!D25+'E Balans VL '!E25)/3.6*1000000*landbouw!B17/100</f>
        <v>306.01570781272147</v>
      </c>
      <c r="K5" s="18"/>
      <c r="L5" s="18">
        <f>L6*(-1)</f>
        <v>0</v>
      </c>
      <c r="M5" s="18"/>
      <c r="N5" s="18">
        <f>N6*(-1)</f>
        <v>0</v>
      </c>
      <c r="O5" s="18"/>
      <c r="P5" s="18"/>
      <c r="R5" s="33"/>
    </row>
    <row r="6" spans="1:18">
      <c r="A6" s="17" t="s">
        <v>502</v>
      </c>
      <c r="B6" s="18" t="s">
        <v>211</v>
      </c>
      <c r="C6" s="18">
        <f>'lokale energieproductie'!O92+'lokale energieproductie'!O61</f>
        <v>7637.1428571428569</v>
      </c>
      <c r="D6" s="312">
        <f>('lokale energieproductie'!P61+'lokale energieproductie'!P92)*(-1)</f>
        <v>-15274.285714285716</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2473.756471006935</v>
      </c>
      <c r="C8" s="22">
        <f>C5+C6</f>
        <v>7637.1428571428569</v>
      </c>
      <c r="D8" s="22">
        <f>MAX((D5+D6),0)</f>
        <v>0</v>
      </c>
      <c r="E8" s="22">
        <f>MAX((E5+E6),0)</f>
        <v>23.304443428091087</v>
      </c>
      <c r="F8" s="22">
        <f>MAX((F5+F6),0)</f>
        <v>8072.6883325682957</v>
      </c>
      <c r="G8" s="22"/>
      <c r="H8" s="22"/>
      <c r="I8" s="22"/>
      <c r="J8" s="22">
        <f>MAX((J5+J6),0)</f>
        <v>306.01570781272147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0.21190268012879354</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524.19562619231567</v>
      </c>
      <c r="C12" s="24">
        <f ca="1">C8*C10</f>
        <v>1814.9445378151263</v>
      </c>
      <c r="D12" s="24">
        <f>D8*D10</f>
        <v>0</v>
      </c>
      <c r="E12" s="24">
        <f>E8*E10</f>
        <v>5.2901086581766767</v>
      </c>
      <c r="F12" s="24">
        <f>F8*F10</f>
        <v>2155.4077847957351</v>
      </c>
      <c r="G12" s="24"/>
      <c r="H12" s="24"/>
      <c r="I12" s="24"/>
      <c r="J12" s="24">
        <f>J8*J10</f>
        <v>108.32956056570339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0.33490709680956626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361.38875725625815</v>
      </c>
      <c r="C26" s="250">
        <f>B26*'GWP N2O_CH4'!B5</f>
        <v>7589.1639023814214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241.11140804421467</v>
      </c>
      <c r="C27" s="250">
        <f>B27*'GWP N2O_CH4'!B5</f>
        <v>5063.339568928508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5.5199931861663769</v>
      </c>
      <c r="C28" s="250">
        <f>B28*'GWP N2O_CH4'!B4</f>
        <v>1711.1978877115769</v>
      </c>
      <c r="D28" s="51"/>
    </row>
    <row r="29" spans="1:4">
      <c r="A29" s="42" t="s">
        <v>277</v>
      </c>
      <c r="B29" s="250">
        <f>B34*'ha_N2O bodem landbouw'!B4</f>
        <v>9.8669877240572958</v>
      </c>
      <c r="C29" s="250">
        <f>B29*'GWP N2O_CH4'!B4</f>
        <v>3058.7661944577617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2.6637760700890258E-3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2.3221147700584535E-6</v>
      </c>
      <c r="C5" s="447" t="s">
        <v>211</v>
      </c>
      <c r="D5" s="432">
        <f>SUM(D6:D11)</f>
        <v>7.0437111795886964E-6</v>
      </c>
      <c r="E5" s="432">
        <f>SUM(E6:E11)</f>
        <v>4.023270264476124E-4</v>
      </c>
      <c r="F5" s="445" t="s">
        <v>211</v>
      </c>
      <c r="G5" s="432">
        <f>SUM(G6:G11)</f>
        <v>0.10169429254419571</v>
      </c>
      <c r="H5" s="432">
        <f>SUM(H6:H11)</f>
        <v>1.5539814138681447E-2</v>
      </c>
      <c r="I5" s="447" t="s">
        <v>211</v>
      </c>
      <c r="J5" s="447" t="s">
        <v>211</v>
      </c>
      <c r="K5" s="447" t="s">
        <v>211</v>
      </c>
      <c r="L5" s="447" t="s">
        <v>211</v>
      </c>
      <c r="M5" s="432">
        <f>SUM(M6:M11)</f>
        <v>5.239334026762456E-3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1.6141200945283529E-6</v>
      </c>
      <c r="C6" s="433"/>
      <c r="D6" s="433">
        <f>vkm_2011_GW_PW*SUMIFS(TableVerdeelsleutelVkm[CNG],TableVerdeelsleutelVkm[Voertuigtype],"Lichte voertuigen")*SUMIFS(TableECFTransport[EnergieConsumptieFactor (PJ per km)],TableECFTransport[Index],CONCATENATE($A6,"_CNG_CNG"))</f>
        <v>3.9417083026792803E-6</v>
      </c>
      <c r="E6" s="435">
        <f>vkm_2011_GW_PW*SUMIFS(TableVerdeelsleutelVkm[LPG],TableVerdeelsleutelVkm[Voertuigtype],"Lichte voertuigen")*SUMIFS(TableECFTransport[EnergieConsumptieFactor (PJ per km)],TableECFTransport[Index],CONCATENATE($A6,"_LPG_LPG"))</f>
        <v>2.3364409798212974E-4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3.3776002830146548E-2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8.8517199751951322E-3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1.9089479309896986E-3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3.2132002405101917E-2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1.296401024898128E-5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1.431470765575357E-3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7.0799467553010063E-7</v>
      </c>
      <c r="C8" s="433"/>
      <c r="D8" s="435">
        <f>vkm_2011_NGW_PW*SUMIFS(TableVerdeelsleutelVkm[CNG],TableVerdeelsleutelVkm[Voertuigtype],"Lichte voertuigen")*SUMIFS(TableECFTransport[EnergieConsumptieFactor (PJ per km)],TableECFTransport[Index],CONCATENATE($A8,"_CNG_CNG"))</f>
        <v>3.1020028769094156E-6</v>
      </c>
      <c r="E8" s="435">
        <f>vkm_2011_NGW_PW*SUMIFS(TableVerdeelsleutelVkm[LPG],TableVerdeelsleutelVkm[Voertuigtype],"Lichte voertuigen")*SUMIFS(TableECFTransport[EnergieConsumptieFactor (PJ per km)],TableECFTransport[Index],CONCATENATE($A8,"_LPG_LPG"))</f>
        <v>1.6868292846548266E-4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2.3036238690219594E-2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6.6706511666255099E-3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1.3309350322589389E-3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1.2750048618727658E-2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4.4789866118244947E-6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5.6798029793846128E-4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0.64503188057179262</v>
      </c>
      <c r="C14" s="22"/>
      <c r="D14" s="22">
        <f t="shared" ref="D14:M14" si="0">((D5)*10^9/3600)+D12</f>
        <v>1.9565864387746379</v>
      </c>
      <c r="E14" s="22">
        <f t="shared" si="0"/>
        <v>111.757507346559</v>
      </c>
      <c r="F14" s="22"/>
      <c r="G14" s="22">
        <f t="shared" si="0"/>
        <v>28248.41459560992</v>
      </c>
      <c r="H14" s="22">
        <f t="shared" si="0"/>
        <v>4316.6150385226238</v>
      </c>
      <c r="I14" s="22"/>
      <c r="J14" s="22"/>
      <c r="K14" s="22"/>
      <c r="L14" s="22"/>
      <c r="M14" s="22">
        <f t="shared" si="0"/>
        <v>1455.370562989571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0.21190268012879354</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0.13668398426167871</v>
      </c>
      <c r="C18" s="24"/>
      <c r="D18" s="24">
        <f t="shared" ref="D18:M18" si="1">D14*D16</f>
        <v>0.39523046063247685</v>
      </c>
      <c r="E18" s="24">
        <f t="shared" si="1"/>
        <v>25.368954167668893</v>
      </c>
      <c r="F18" s="24"/>
      <c r="G18" s="24">
        <f t="shared" si="1"/>
        <v>7542.3266970278491</v>
      </c>
      <c r="H18" s="24">
        <f t="shared" si="1"/>
        <v>1074.8371445921332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5.6528994381696205E-4</v>
      </c>
      <c r="H50" s="323">
        <f t="shared" si="2"/>
        <v>0</v>
      </c>
      <c r="I50" s="323">
        <f t="shared" si="2"/>
        <v>0</v>
      </c>
      <c r="J50" s="323">
        <f t="shared" si="2"/>
        <v>0</v>
      </c>
      <c r="K50" s="323">
        <f t="shared" si="2"/>
        <v>0</v>
      </c>
      <c r="L50" s="323">
        <f t="shared" si="2"/>
        <v>0</v>
      </c>
      <c r="M50" s="323">
        <f t="shared" si="2"/>
        <v>2.4822813937094282E-5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5.6528994381696205E-4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2.4822813937094282E-5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157.02498439360056</v>
      </c>
      <c r="H54" s="22">
        <f t="shared" si="3"/>
        <v>0</v>
      </c>
      <c r="I54" s="22">
        <f t="shared" si="3"/>
        <v>0</v>
      </c>
      <c r="J54" s="22">
        <f t="shared" si="3"/>
        <v>0</v>
      </c>
      <c r="K54" s="22">
        <f t="shared" si="3"/>
        <v>0</v>
      </c>
      <c r="L54" s="22">
        <f t="shared" si="3"/>
        <v>0</v>
      </c>
      <c r="M54" s="22">
        <f t="shared" si="3"/>
        <v>6.8952260936373007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0.21190268012879354</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41.925670833091353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8050.2918762814579</v>
      </c>
      <c r="D10" s="688">
        <f ca="1">tertiair!C16</f>
        <v>0</v>
      </c>
      <c r="E10" s="688">
        <f ca="1">tertiair!D16</f>
        <v>6514.0037598221716</v>
      </c>
      <c r="F10" s="688">
        <f>tertiair!E16</f>
        <v>70.21607390670134</v>
      </c>
      <c r="G10" s="688">
        <f ca="1">tertiair!F16</f>
        <v>1517.3289404007996</v>
      </c>
      <c r="H10" s="688">
        <f>tertiair!G16</f>
        <v>0</v>
      </c>
      <c r="I10" s="688">
        <f>tertiair!H16</f>
        <v>0</v>
      </c>
      <c r="J10" s="688">
        <f>tertiair!I16</f>
        <v>0</v>
      </c>
      <c r="K10" s="688">
        <f>tertiair!J16</f>
        <v>0</v>
      </c>
      <c r="L10" s="688">
        <f>tertiair!K16</f>
        <v>0</v>
      </c>
      <c r="M10" s="688">
        <f ca="1">tertiair!L16</f>
        <v>0</v>
      </c>
      <c r="N10" s="688">
        <f>tertiair!M16</f>
        <v>0</v>
      </c>
      <c r="O10" s="688">
        <f ca="1">tertiair!N16</f>
        <v>496.97884450759227</v>
      </c>
      <c r="P10" s="688">
        <f>tertiair!O16</f>
        <v>0</v>
      </c>
      <c r="Q10" s="689">
        <f>tertiair!P16</f>
        <v>0</v>
      </c>
      <c r="R10" s="691">
        <f ca="1">SUM(C10:Q10)</f>
        <v>16648.819494918724</v>
      </c>
      <c r="S10" s="68"/>
    </row>
    <row r="11" spans="1:19" s="457" customFormat="1">
      <c r="A11" s="803" t="s">
        <v>225</v>
      </c>
      <c r="B11" s="808"/>
      <c r="C11" s="688">
        <f>huishoudens!B8</f>
        <v>14976.882507571447</v>
      </c>
      <c r="D11" s="688">
        <f>huishoudens!C8</f>
        <v>0</v>
      </c>
      <c r="E11" s="688">
        <f>huishoudens!D8</f>
        <v>20671.189538227591</v>
      </c>
      <c r="F11" s="688">
        <f>huishoudens!E8</f>
        <v>2912.0754677603722</v>
      </c>
      <c r="G11" s="688">
        <f>huishoudens!F8</f>
        <v>21307.231102234269</v>
      </c>
      <c r="H11" s="688">
        <f>huishoudens!G8</f>
        <v>0</v>
      </c>
      <c r="I11" s="688">
        <f>huishoudens!H8</f>
        <v>0</v>
      </c>
      <c r="J11" s="688">
        <f>huishoudens!I8</f>
        <v>0</v>
      </c>
      <c r="K11" s="688">
        <f>huishoudens!J8</f>
        <v>82.04824893592604</v>
      </c>
      <c r="L11" s="688">
        <f>huishoudens!K8</f>
        <v>0</v>
      </c>
      <c r="M11" s="688">
        <f>huishoudens!L8</f>
        <v>0</v>
      </c>
      <c r="N11" s="688">
        <f>huishoudens!M8</f>
        <v>0</v>
      </c>
      <c r="O11" s="688">
        <f>huishoudens!N8</f>
        <v>10445.142691220042</v>
      </c>
      <c r="P11" s="688">
        <f>huishoudens!O8</f>
        <v>51.589999999999996</v>
      </c>
      <c r="Q11" s="689">
        <f>huishoudens!P8</f>
        <v>266.93333333333334</v>
      </c>
      <c r="R11" s="691">
        <f>SUM(C11:Q11)</f>
        <v>70713.092889282983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20079.740876638807</v>
      </c>
      <c r="D13" s="688">
        <f>industrie!C18</f>
        <v>0</v>
      </c>
      <c r="E13" s="688">
        <f>industrie!D18</f>
        <v>1526.8011172895945</v>
      </c>
      <c r="F13" s="688">
        <f>industrie!E18</f>
        <v>167.73372046972742</v>
      </c>
      <c r="G13" s="688">
        <f>industrie!F18</f>
        <v>4697.8181588632124</v>
      </c>
      <c r="H13" s="688">
        <f>industrie!G18</f>
        <v>0</v>
      </c>
      <c r="I13" s="688">
        <f>industrie!H18</f>
        <v>0</v>
      </c>
      <c r="J13" s="688">
        <f>industrie!I18</f>
        <v>0</v>
      </c>
      <c r="K13" s="688">
        <f>industrie!J18</f>
        <v>85.306202165533676</v>
      </c>
      <c r="L13" s="688">
        <f>industrie!K18</f>
        <v>0</v>
      </c>
      <c r="M13" s="688">
        <f>industrie!L18</f>
        <v>0</v>
      </c>
      <c r="N13" s="688">
        <f>industrie!M18</f>
        <v>0</v>
      </c>
      <c r="O13" s="688">
        <f>industrie!N18</f>
        <v>663.04370393304384</v>
      </c>
      <c r="P13" s="688">
        <f>industrie!O18</f>
        <v>0</v>
      </c>
      <c r="Q13" s="689">
        <f>industrie!P18</f>
        <v>0</v>
      </c>
      <c r="R13" s="691">
        <f>SUM(C13:Q13)</f>
        <v>27220.443779359921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43106.915260491711</v>
      </c>
      <c r="D16" s="721">
        <f t="shared" ref="D16:R16" ca="1" si="0">SUM(D9:D15)</f>
        <v>0</v>
      </c>
      <c r="E16" s="721">
        <f t="shared" ca="1" si="0"/>
        <v>28711.994415339355</v>
      </c>
      <c r="F16" s="721">
        <f t="shared" si="0"/>
        <v>3150.0252621368008</v>
      </c>
      <c r="G16" s="721">
        <f t="shared" ca="1" si="0"/>
        <v>27522.378201498279</v>
      </c>
      <c r="H16" s="721">
        <f t="shared" si="0"/>
        <v>0</v>
      </c>
      <c r="I16" s="721">
        <f t="shared" si="0"/>
        <v>0</v>
      </c>
      <c r="J16" s="721">
        <f t="shared" si="0"/>
        <v>0</v>
      </c>
      <c r="K16" s="721">
        <f t="shared" si="0"/>
        <v>167.35445110145972</v>
      </c>
      <c r="L16" s="721">
        <f t="shared" si="0"/>
        <v>0</v>
      </c>
      <c r="M16" s="721">
        <f t="shared" ca="1" si="0"/>
        <v>0</v>
      </c>
      <c r="N16" s="721">
        <f t="shared" si="0"/>
        <v>0</v>
      </c>
      <c r="O16" s="721">
        <f t="shared" ca="1" si="0"/>
        <v>11605.165239660679</v>
      </c>
      <c r="P16" s="721">
        <f t="shared" si="0"/>
        <v>51.589999999999996</v>
      </c>
      <c r="Q16" s="721">
        <f t="shared" si="0"/>
        <v>266.93333333333334</v>
      </c>
      <c r="R16" s="721">
        <f t="shared" ca="1" si="0"/>
        <v>114582.35616356164</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157.02498439360056</v>
      </c>
      <c r="I19" s="688">
        <f>transport!H54</f>
        <v>0</v>
      </c>
      <c r="J19" s="688">
        <f>transport!I54</f>
        <v>0</v>
      </c>
      <c r="K19" s="688">
        <f>transport!J54</f>
        <v>0</v>
      </c>
      <c r="L19" s="688">
        <f>transport!K54</f>
        <v>0</v>
      </c>
      <c r="M19" s="688">
        <f>transport!L54</f>
        <v>0</v>
      </c>
      <c r="N19" s="688">
        <f>transport!M54</f>
        <v>6.8952260936373007</v>
      </c>
      <c r="O19" s="688">
        <f>transport!N54</f>
        <v>0</v>
      </c>
      <c r="P19" s="688">
        <f>transport!O54</f>
        <v>0</v>
      </c>
      <c r="Q19" s="689">
        <f>transport!P54</f>
        <v>0</v>
      </c>
      <c r="R19" s="691">
        <f>SUM(C19:Q19)</f>
        <v>163.92021048723785</v>
      </c>
      <c r="S19" s="68"/>
    </row>
    <row r="20" spans="1:19" s="457" customFormat="1">
      <c r="A20" s="803" t="s">
        <v>307</v>
      </c>
      <c r="B20" s="808"/>
      <c r="C20" s="688">
        <f>transport!B14</f>
        <v>0.64503188057179262</v>
      </c>
      <c r="D20" s="688">
        <f>transport!C14</f>
        <v>0</v>
      </c>
      <c r="E20" s="688">
        <f>transport!D14</f>
        <v>1.9565864387746379</v>
      </c>
      <c r="F20" s="688">
        <f>transport!E14</f>
        <v>111.757507346559</v>
      </c>
      <c r="G20" s="688">
        <f>transport!F14</f>
        <v>0</v>
      </c>
      <c r="H20" s="688">
        <f>transport!G14</f>
        <v>28248.41459560992</v>
      </c>
      <c r="I20" s="688">
        <f>transport!H14</f>
        <v>4316.6150385226238</v>
      </c>
      <c r="J20" s="688">
        <f>transport!I14</f>
        <v>0</v>
      </c>
      <c r="K20" s="688">
        <f>transport!J14</f>
        <v>0</v>
      </c>
      <c r="L20" s="688">
        <f>transport!K14</f>
        <v>0</v>
      </c>
      <c r="M20" s="688">
        <f>transport!L14</f>
        <v>0</v>
      </c>
      <c r="N20" s="688">
        <f>transport!M14</f>
        <v>1455.370562989571</v>
      </c>
      <c r="O20" s="688">
        <f>transport!N14</f>
        <v>0</v>
      </c>
      <c r="P20" s="688">
        <f>transport!O14</f>
        <v>0</v>
      </c>
      <c r="Q20" s="689">
        <f>transport!P14</f>
        <v>0</v>
      </c>
      <c r="R20" s="691">
        <f>SUM(C20:Q20)</f>
        <v>34134.759322788021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0.64503188057179262</v>
      </c>
      <c r="D22" s="806">
        <f t="shared" ref="D22:R22" si="1">SUM(D18:D21)</f>
        <v>0</v>
      </c>
      <c r="E22" s="806">
        <f t="shared" si="1"/>
        <v>1.9565864387746379</v>
      </c>
      <c r="F22" s="806">
        <f t="shared" si="1"/>
        <v>111.757507346559</v>
      </c>
      <c r="G22" s="806">
        <f t="shared" si="1"/>
        <v>0</v>
      </c>
      <c r="H22" s="806">
        <f t="shared" si="1"/>
        <v>28405.43958000352</v>
      </c>
      <c r="I22" s="806">
        <f t="shared" si="1"/>
        <v>4316.6150385226238</v>
      </c>
      <c r="J22" s="806">
        <f t="shared" si="1"/>
        <v>0</v>
      </c>
      <c r="K22" s="806">
        <f t="shared" si="1"/>
        <v>0</v>
      </c>
      <c r="L22" s="806">
        <f t="shared" si="1"/>
        <v>0</v>
      </c>
      <c r="M22" s="806">
        <f t="shared" si="1"/>
        <v>0</v>
      </c>
      <c r="N22" s="806">
        <f t="shared" si="1"/>
        <v>1462.2657890832083</v>
      </c>
      <c r="O22" s="806">
        <f t="shared" si="1"/>
        <v>0</v>
      </c>
      <c r="P22" s="806">
        <f t="shared" si="1"/>
        <v>0</v>
      </c>
      <c r="Q22" s="806">
        <f t="shared" si="1"/>
        <v>0</v>
      </c>
      <c r="R22" s="806">
        <f t="shared" si="1"/>
        <v>34298.679533275259</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2473.756471006935</v>
      </c>
      <c r="D24" s="688">
        <f>+landbouw!C8</f>
        <v>7637.1428571428569</v>
      </c>
      <c r="E24" s="688">
        <f>+landbouw!D8</f>
        <v>0</v>
      </c>
      <c r="F24" s="688">
        <f>+landbouw!E8</f>
        <v>23.304443428091087</v>
      </c>
      <c r="G24" s="688">
        <f>+landbouw!F8</f>
        <v>8072.6883325682957</v>
      </c>
      <c r="H24" s="688">
        <f>+landbouw!G8</f>
        <v>0</v>
      </c>
      <c r="I24" s="688">
        <f>+landbouw!H8</f>
        <v>0</v>
      </c>
      <c r="J24" s="688">
        <f>+landbouw!I8</f>
        <v>0</v>
      </c>
      <c r="K24" s="688">
        <f>+landbouw!J8</f>
        <v>306.01570781272147</v>
      </c>
      <c r="L24" s="688">
        <f>+landbouw!K8</f>
        <v>0</v>
      </c>
      <c r="M24" s="688">
        <f>+landbouw!L8</f>
        <v>0</v>
      </c>
      <c r="N24" s="688">
        <f>+landbouw!M8</f>
        <v>0</v>
      </c>
      <c r="O24" s="688">
        <f>+landbouw!N8</f>
        <v>0</v>
      </c>
      <c r="P24" s="688">
        <f>+landbouw!O8</f>
        <v>0</v>
      </c>
      <c r="Q24" s="689">
        <f>+landbouw!P8</f>
        <v>0</v>
      </c>
      <c r="R24" s="691">
        <f>SUM(C24:Q24)</f>
        <v>18512.907811958903</v>
      </c>
      <c r="S24" s="68"/>
    </row>
    <row r="25" spans="1:19" s="457" customFormat="1" ht="15" thickBot="1">
      <c r="A25" s="825" t="s">
        <v>912</v>
      </c>
      <c r="B25" s="1001"/>
      <c r="C25" s="1002">
        <f>IF(Onbekend_ele_kWh="---",0,Onbekend_ele_kWh)/1000+IF(REST_rest_ele_kWh="---",0,REST_rest_ele_kWh)/1000</f>
        <v>1243.36134133311</v>
      </c>
      <c r="D25" s="1002"/>
      <c r="E25" s="1002">
        <f>IF(onbekend_gas_kWh="---",0,onbekend_gas_kWh)/1000+IF(REST_rest_gas_kWh="---",0,REST_rest_gas_kWh)/1000</f>
        <v>9451.5263739280799</v>
      </c>
      <c r="F25" s="1002"/>
      <c r="G25" s="1002"/>
      <c r="H25" s="1002"/>
      <c r="I25" s="1002"/>
      <c r="J25" s="1002"/>
      <c r="K25" s="1002"/>
      <c r="L25" s="1002"/>
      <c r="M25" s="1002"/>
      <c r="N25" s="1002"/>
      <c r="O25" s="1002"/>
      <c r="P25" s="1002"/>
      <c r="Q25" s="1003"/>
      <c r="R25" s="691">
        <f>SUM(C25:Q25)</f>
        <v>10694.887715261189</v>
      </c>
      <c r="S25" s="68"/>
    </row>
    <row r="26" spans="1:19" s="457" customFormat="1" ht="15.75" thickBot="1">
      <c r="A26" s="694" t="s">
        <v>913</v>
      </c>
      <c r="B26" s="811"/>
      <c r="C26" s="806">
        <f>SUM(C24:C25)</f>
        <v>3717.117812340045</v>
      </c>
      <c r="D26" s="806">
        <f t="shared" ref="D26:R26" si="2">SUM(D24:D25)</f>
        <v>7637.1428571428569</v>
      </c>
      <c r="E26" s="806">
        <f t="shared" si="2"/>
        <v>9451.5263739280799</v>
      </c>
      <c r="F26" s="806">
        <f t="shared" si="2"/>
        <v>23.304443428091087</v>
      </c>
      <c r="G26" s="806">
        <f t="shared" si="2"/>
        <v>8072.6883325682957</v>
      </c>
      <c r="H26" s="806">
        <f t="shared" si="2"/>
        <v>0</v>
      </c>
      <c r="I26" s="806">
        <f t="shared" si="2"/>
        <v>0</v>
      </c>
      <c r="J26" s="806">
        <f t="shared" si="2"/>
        <v>0</v>
      </c>
      <c r="K26" s="806">
        <f t="shared" si="2"/>
        <v>306.01570781272147</v>
      </c>
      <c r="L26" s="806">
        <f t="shared" si="2"/>
        <v>0</v>
      </c>
      <c r="M26" s="806">
        <f t="shared" si="2"/>
        <v>0</v>
      </c>
      <c r="N26" s="806">
        <f t="shared" si="2"/>
        <v>0</v>
      </c>
      <c r="O26" s="806">
        <f t="shared" si="2"/>
        <v>0</v>
      </c>
      <c r="P26" s="806">
        <f t="shared" si="2"/>
        <v>0</v>
      </c>
      <c r="Q26" s="806">
        <f t="shared" si="2"/>
        <v>0</v>
      </c>
      <c r="R26" s="806">
        <f t="shared" si="2"/>
        <v>29207.795527220092</v>
      </c>
      <c r="S26" s="68"/>
    </row>
    <row r="27" spans="1:19" s="457" customFormat="1" ht="17.25" thickTop="1" thickBot="1">
      <c r="A27" s="695" t="s">
        <v>116</v>
      </c>
      <c r="B27" s="798"/>
      <c r="C27" s="696">
        <f ca="1">C22+C16+C26</f>
        <v>46824.67810471233</v>
      </c>
      <c r="D27" s="696">
        <f t="shared" ref="D27:R27" ca="1" si="3">D22+D16+D26</f>
        <v>7637.1428571428569</v>
      </c>
      <c r="E27" s="696">
        <f t="shared" ca="1" si="3"/>
        <v>38165.477375706207</v>
      </c>
      <c r="F27" s="696">
        <f t="shared" si="3"/>
        <v>3285.0872129114509</v>
      </c>
      <c r="G27" s="696">
        <f t="shared" ca="1" si="3"/>
        <v>35595.066534066573</v>
      </c>
      <c r="H27" s="696">
        <f t="shared" si="3"/>
        <v>28405.43958000352</v>
      </c>
      <c r="I27" s="696">
        <f t="shared" si="3"/>
        <v>4316.6150385226238</v>
      </c>
      <c r="J27" s="696">
        <f t="shared" si="3"/>
        <v>0</v>
      </c>
      <c r="K27" s="696">
        <f t="shared" si="3"/>
        <v>473.37015891418116</v>
      </c>
      <c r="L27" s="696">
        <f t="shared" si="3"/>
        <v>0</v>
      </c>
      <c r="M27" s="696">
        <f t="shared" ca="1" si="3"/>
        <v>0</v>
      </c>
      <c r="N27" s="696">
        <f t="shared" si="3"/>
        <v>1462.2657890832083</v>
      </c>
      <c r="O27" s="696">
        <f t="shared" ca="1" si="3"/>
        <v>11605.165239660679</v>
      </c>
      <c r="P27" s="696">
        <f t="shared" si="3"/>
        <v>51.589999999999996</v>
      </c>
      <c r="Q27" s="696">
        <f t="shared" si="3"/>
        <v>266.93333333333334</v>
      </c>
      <c r="R27" s="696">
        <f t="shared" ca="1" si="3"/>
        <v>178088.83122405698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1705.8784244030951</v>
      </c>
      <c r="D40" s="688">
        <f ca="1">tertiair!C20</f>
        <v>0</v>
      </c>
      <c r="E40" s="688">
        <f ca="1">tertiair!D20</f>
        <v>1315.8287594840788</v>
      </c>
      <c r="F40" s="688">
        <f>tertiair!E20</f>
        <v>15.939048776821204</v>
      </c>
      <c r="G40" s="688">
        <f ca="1">tertiair!F20</f>
        <v>405.12682708701351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3442.7730597510085</v>
      </c>
    </row>
    <row r="41" spans="1:18">
      <c r="A41" s="816" t="s">
        <v>225</v>
      </c>
      <c r="B41" s="823"/>
      <c r="C41" s="688">
        <f ca="1">huishoudens!B12</f>
        <v>3173.6415433284355</v>
      </c>
      <c r="D41" s="688">
        <f ca="1">huishoudens!C12</f>
        <v>0</v>
      </c>
      <c r="E41" s="688">
        <f>huishoudens!D12</f>
        <v>4175.5802867219736</v>
      </c>
      <c r="F41" s="688">
        <f>huishoudens!E12</f>
        <v>661.04113118160456</v>
      </c>
      <c r="G41" s="688">
        <f>huishoudens!F12</f>
        <v>5689.0307042965505</v>
      </c>
      <c r="H41" s="688">
        <f>huishoudens!G12</f>
        <v>0</v>
      </c>
      <c r="I41" s="688">
        <f>huishoudens!H12</f>
        <v>0</v>
      </c>
      <c r="J41" s="688">
        <f>huishoudens!I12</f>
        <v>0</v>
      </c>
      <c r="K41" s="688">
        <f>huishoudens!J12</f>
        <v>29.045080123317817</v>
      </c>
      <c r="L41" s="688">
        <f>huishoudens!K12</f>
        <v>0</v>
      </c>
      <c r="M41" s="688">
        <f>huishoudens!L12</f>
        <v>0</v>
      </c>
      <c r="N41" s="688">
        <f>huishoudens!M12</f>
        <v>0</v>
      </c>
      <c r="O41" s="688">
        <f>huishoudens!N12</f>
        <v>0</v>
      </c>
      <c r="P41" s="688">
        <f>huishoudens!O12</f>
        <v>0</v>
      </c>
      <c r="Q41" s="763">
        <f>huishoudens!P12</f>
        <v>0</v>
      </c>
      <c r="R41" s="844">
        <f t="shared" ca="1" si="4"/>
        <v>13728.338745651881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4254.9509080514536</v>
      </c>
      <c r="D43" s="688">
        <f ca="1">industrie!C22</f>
        <v>0</v>
      </c>
      <c r="E43" s="688">
        <f>industrie!D22</f>
        <v>308.41382569249811</v>
      </c>
      <c r="F43" s="688">
        <f>industrie!E22</f>
        <v>38.075554546628126</v>
      </c>
      <c r="G43" s="688">
        <f>industrie!F22</f>
        <v>1254.3174484164779</v>
      </c>
      <c r="H43" s="688">
        <f>industrie!G22</f>
        <v>0</v>
      </c>
      <c r="I43" s="688">
        <f>industrie!H22</f>
        <v>0</v>
      </c>
      <c r="J43" s="688">
        <f>industrie!I22</f>
        <v>0</v>
      </c>
      <c r="K43" s="688">
        <f>industrie!J22</f>
        <v>30.198395566598919</v>
      </c>
      <c r="L43" s="688">
        <f>industrie!K22</f>
        <v>0</v>
      </c>
      <c r="M43" s="688">
        <f>industrie!L22</f>
        <v>0</v>
      </c>
      <c r="N43" s="688">
        <f>industrie!M22</f>
        <v>0</v>
      </c>
      <c r="O43" s="688">
        <f>industrie!N22</f>
        <v>0</v>
      </c>
      <c r="P43" s="688">
        <f>industrie!O22</f>
        <v>0</v>
      </c>
      <c r="Q43" s="763">
        <f>industrie!P22</f>
        <v>0</v>
      </c>
      <c r="R43" s="843">
        <f t="shared" ca="1" si="4"/>
        <v>5885.9561322736563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9134.4708757829831</v>
      </c>
      <c r="D46" s="721">
        <f t="shared" ref="D46:Q46" ca="1" si="5">SUM(D39:D45)</f>
        <v>0</v>
      </c>
      <c r="E46" s="721">
        <f t="shared" ca="1" si="5"/>
        <v>5799.8228718985501</v>
      </c>
      <c r="F46" s="721">
        <f t="shared" si="5"/>
        <v>715.05573450505392</v>
      </c>
      <c r="G46" s="721">
        <f t="shared" ca="1" si="5"/>
        <v>7348.4749798000412</v>
      </c>
      <c r="H46" s="721">
        <f t="shared" si="5"/>
        <v>0</v>
      </c>
      <c r="I46" s="721">
        <f t="shared" si="5"/>
        <v>0</v>
      </c>
      <c r="J46" s="721">
        <f t="shared" si="5"/>
        <v>0</v>
      </c>
      <c r="K46" s="721">
        <f t="shared" si="5"/>
        <v>59.243475689916735</v>
      </c>
      <c r="L46" s="721">
        <f t="shared" si="5"/>
        <v>0</v>
      </c>
      <c r="M46" s="721">
        <f t="shared" ca="1" si="5"/>
        <v>0</v>
      </c>
      <c r="N46" s="721">
        <f t="shared" si="5"/>
        <v>0</v>
      </c>
      <c r="O46" s="721">
        <f t="shared" ca="1" si="5"/>
        <v>0</v>
      </c>
      <c r="P46" s="721">
        <f t="shared" si="5"/>
        <v>0</v>
      </c>
      <c r="Q46" s="721">
        <f t="shared" si="5"/>
        <v>0</v>
      </c>
      <c r="R46" s="721">
        <f ca="1">SUM(R39:R45)</f>
        <v>23057.067937676544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41.925670833091353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41.925670833091353</v>
      </c>
    </row>
    <row r="50" spans="1:18">
      <c r="A50" s="819" t="s">
        <v>307</v>
      </c>
      <c r="B50" s="829"/>
      <c r="C50" s="1008">
        <f ca="1">transport!B18</f>
        <v>0.13668398426167871</v>
      </c>
      <c r="D50" s="1008">
        <f>transport!C18</f>
        <v>0</v>
      </c>
      <c r="E50" s="1008">
        <f>transport!D18</f>
        <v>0.39523046063247685</v>
      </c>
      <c r="F50" s="1008">
        <f>transport!E18</f>
        <v>25.368954167668893</v>
      </c>
      <c r="G50" s="1008">
        <f>transport!F18</f>
        <v>0</v>
      </c>
      <c r="H50" s="1008">
        <f>transport!G18</f>
        <v>7542.3266970278491</v>
      </c>
      <c r="I50" s="1008">
        <f>transport!H18</f>
        <v>1074.8371445921332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8643.0647102325456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0.13668398426167871</v>
      </c>
      <c r="D52" s="721">
        <f t="shared" ref="D52:Q52" ca="1" si="6">SUM(D48:D51)</f>
        <v>0</v>
      </c>
      <c r="E52" s="721">
        <f t="shared" si="6"/>
        <v>0.39523046063247685</v>
      </c>
      <c r="F52" s="721">
        <f t="shared" si="6"/>
        <v>25.368954167668893</v>
      </c>
      <c r="G52" s="721">
        <f t="shared" si="6"/>
        <v>0</v>
      </c>
      <c r="H52" s="721">
        <f t="shared" si="6"/>
        <v>7584.2523678609405</v>
      </c>
      <c r="I52" s="721">
        <f t="shared" si="6"/>
        <v>1074.8371445921332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8684.9903810656378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524.19562619231567</v>
      </c>
      <c r="D54" s="1008">
        <f ca="1">+landbouw!C12</f>
        <v>1814.9445378151263</v>
      </c>
      <c r="E54" s="1008">
        <f>+landbouw!D12</f>
        <v>0</v>
      </c>
      <c r="F54" s="1008">
        <f>+landbouw!E12</f>
        <v>5.2901086581766767</v>
      </c>
      <c r="G54" s="1008">
        <f>+landbouw!F12</f>
        <v>2155.4077847957351</v>
      </c>
      <c r="H54" s="1008">
        <f>+landbouw!G12</f>
        <v>0</v>
      </c>
      <c r="I54" s="1008">
        <f>+landbouw!H12</f>
        <v>0</v>
      </c>
      <c r="J54" s="1008">
        <f>+landbouw!I12</f>
        <v>0</v>
      </c>
      <c r="K54" s="1008">
        <f>+landbouw!J12</f>
        <v>108.32956056570339</v>
      </c>
      <c r="L54" s="1008">
        <f>+landbouw!K12</f>
        <v>0</v>
      </c>
      <c r="M54" s="1008">
        <f>+landbouw!L12</f>
        <v>0</v>
      </c>
      <c r="N54" s="1008">
        <f>+landbouw!M12</f>
        <v>0</v>
      </c>
      <c r="O54" s="1008">
        <f>+landbouw!N12</f>
        <v>0</v>
      </c>
      <c r="P54" s="1008">
        <f>+landbouw!O12</f>
        <v>0</v>
      </c>
      <c r="Q54" s="1009">
        <f>+landbouw!P12</f>
        <v>0</v>
      </c>
      <c r="R54" s="720">
        <f ca="1">SUM(C54:Q54)</f>
        <v>4608.1676180270561</v>
      </c>
    </row>
    <row r="55" spans="1:18" ht="15" thickBot="1">
      <c r="A55" s="819" t="s">
        <v>912</v>
      </c>
      <c r="B55" s="829"/>
      <c r="C55" s="1008">
        <f ca="1">C25*'EF ele_warmte'!B12</f>
        <v>263.4716005970177</v>
      </c>
      <c r="D55" s="1008"/>
      <c r="E55" s="1008">
        <f>E25*EF_CO2_aardgas</f>
        <v>1909.2083275334724</v>
      </c>
      <c r="F55" s="1008"/>
      <c r="G55" s="1008"/>
      <c r="H55" s="1008"/>
      <c r="I55" s="1008"/>
      <c r="J55" s="1008"/>
      <c r="K55" s="1008"/>
      <c r="L55" s="1008"/>
      <c r="M55" s="1008"/>
      <c r="N55" s="1008"/>
      <c r="O55" s="1008"/>
      <c r="P55" s="1008"/>
      <c r="Q55" s="1009"/>
      <c r="R55" s="720">
        <f ca="1">SUM(C55:Q55)</f>
        <v>2172.6799281304902</v>
      </c>
    </row>
    <row r="56" spans="1:18" ht="15.75" thickBot="1">
      <c r="A56" s="817" t="s">
        <v>913</v>
      </c>
      <c r="B56" s="830"/>
      <c r="C56" s="721">
        <f ca="1">SUM(C54:C55)</f>
        <v>787.66722678933343</v>
      </c>
      <c r="D56" s="721">
        <f t="shared" ref="D56:Q56" ca="1" si="7">SUM(D54:D55)</f>
        <v>1814.9445378151263</v>
      </c>
      <c r="E56" s="721">
        <f t="shared" si="7"/>
        <v>1909.2083275334724</v>
      </c>
      <c r="F56" s="721">
        <f t="shared" si="7"/>
        <v>5.2901086581766767</v>
      </c>
      <c r="G56" s="721">
        <f t="shared" si="7"/>
        <v>2155.4077847957351</v>
      </c>
      <c r="H56" s="721">
        <f t="shared" si="7"/>
        <v>0</v>
      </c>
      <c r="I56" s="721">
        <f t="shared" si="7"/>
        <v>0</v>
      </c>
      <c r="J56" s="721">
        <f t="shared" si="7"/>
        <v>0</v>
      </c>
      <c r="K56" s="721">
        <f t="shared" si="7"/>
        <v>108.32956056570339</v>
      </c>
      <c r="L56" s="721">
        <f t="shared" si="7"/>
        <v>0</v>
      </c>
      <c r="M56" s="721">
        <f t="shared" si="7"/>
        <v>0</v>
      </c>
      <c r="N56" s="721">
        <f t="shared" si="7"/>
        <v>0</v>
      </c>
      <c r="O56" s="721">
        <f t="shared" si="7"/>
        <v>0</v>
      </c>
      <c r="P56" s="721">
        <f t="shared" si="7"/>
        <v>0</v>
      </c>
      <c r="Q56" s="722">
        <f t="shared" si="7"/>
        <v>0</v>
      </c>
      <c r="R56" s="723">
        <f ca="1">SUM(R54:R55)</f>
        <v>6780.8475461575463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9922.274786556578</v>
      </c>
      <c r="D61" s="729">
        <f t="shared" ref="D61:Q61" ca="1" si="8">D46+D52+D56</f>
        <v>1814.9445378151263</v>
      </c>
      <c r="E61" s="729">
        <f t="shared" ca="1" si="8"/>
        <v>7709.4264298926555</v>
      </c>
      <c r="F61" s="729">
        <f t="shared" si="8"/>
        <v>745.7147973308995</v>
      </c>
      <c r="G61" s="729">
        <f t="shared" ca="1" si="8"/>
        <v>9503.8827645957754</v>
      </c>
      <c r="H61" s="729">
        <f t="shared" si="8"/>
        <v>7584.2523678609405</v>
      </c>
      <c r="I61" s="729">
        <f t="shared" si="8"/>
        <v>1074.8371445921332</v>
      </c>
      <c r="J61" s="729">
        <f t="shared" si="8"/>
        <v>0</v>
      </c>
      <c r="K61" s="729">
        <f t="shared" si="8"/>
        <v>167.57303625562014</v>
      </c>
      <c r="L61" s="729">
        <f t="shared" si="8"/>
        <v>0</v>
      </c>
      <c r="M61" s="729">
        <f t="shared" ca="1" si="8"/>
        <v>0</v>
      </c>
      <c r="N61" s="729">
        <f t="shared" si="8"/>
        <v>0</v>
      </c>
      <c r="O61" s="729">
        <f t="shared" ca="1" si="8"/>
        <v>0</v>
      </c>
      <c r="P61" s="729">
        <f t="shared" si="8"/>
        <v>0</v>
      </c>
      <c r="Q61" s="729">
        <f t="shared" si="8"/>
        <v>0</v>
      </c>
      <c r="R61" s="729">
        <f ca="1">R46+R52+R56</f>
        <v>38522.905864899723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0.21190268012879351</v>
      </c>
      <c r="D63" s="773">
        <f t="shared" ca="1" si="9"/>
        <v>0.23764705882352946</v>
      </c>
      <c r="E63" s="1010">
        <f t="shared" ca="1" si="9"/>
        <v>0.20200000000000004</v>
      </c>
      <c r="F63" s="773">
        <f t="shared" si="9"/>
        <v>0.22700000000000004</v>
      </c>
      <c r="G63" s="773">
        <f t="shared" ca="1" si="9"/>
        <v>0.26700000000000002</v>
      </c>
      <c r="H63" s="773">
        <f t="shared" si="9"/>
        <v>0.26700000000000002</v>
      </c>
      <c r="I63" s="773">
        <f t="shared" si="9"/>
        <v>0.24899999999999997</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2330.2002310200633</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5346</v>
      </c>
      <c r="D76" s="1020">
        <f>'lokale energieproductie'!C8</f>
        <v>6289.4117647058838</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1270.4611764705885</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2330.2002310200633</v>
      </c>
      <c r="C78" s="744">
        <f>SUM(C72:C77)</f>
        <v>5346</v>
      </c>
      <c r="D78" s="745">
        <f t="shared" ref="D78:H78" si="10">SUM(D76:D77)</f>
        <v>6289.4117647058838</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1270.4611764705885</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7637.1428571428569</v>
      </c>
      <c r="D87" s="766">
        <f>'lokale energieproductie'!C17</f>
        <v>8984.8739495798327</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1814.9445378151263</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7637.1428571428569</v>
      </c>
      <c r="D90" s="744">
        <f t="shared" ref="D90:H90" si="12">SUM(D87:D89)</f>
        <v>8984.8739495798327</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1814.9445378151263</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2330.2002310200633</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5346</v>
      </c>
      <c r="C8" s="558">
        <f>B101</f>
        <v>6289.4117647058838</v>
      </c>
      <c r="D8" s="991"/>
      <c r="E8" s="991">
        <f>E101</f>
        <v>0</v>
      </c>
      <c r="F8" s="992"/>
      <c r="G8" s="559"/>
      <c r="H8" s="991">
        <f>I101</f>
        <v>0</v>
      </c>
      <c r="I8" s="991">
        <f>G101+F101</f>
        <v>0</v>
      </c>
      <c r="J8" s="991">
        <f>H101+D101+C101</f>
        <v>0</v>
      </c>
      <c r="K8" s="991"/>
      <c r="L8" s="991"/>
      <c r="M8" s="991"/>
      <c r="N8" s="560"/>
      <c r="O8" s="561">
        <f>C8*$C$12+D8*$D$12+E8*$E$12+F8*$F$12+G8*$G$12+H8*$H$12+I8*$I$12+J8*$J$12</f>
        <v>1270.4611764705885</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7676.2002310200633</v>
      </c>
      <c r="C10" s="570">
        <f t="shared" ref="C10:L10" si="0">SUM(C8:C9)</f>
        <v>6289.4117647058838</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1270.4611764705885</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7637.1428571428569</v>
      </c>
      <c r="C17" s="582">
        <f>B102</f>
        <v>8984.8739495798327</v>
      </c>
      <c r="D17" s="583"/>
      <c r="E17" s="583">
        <f>E102</f>
        <v>0</v>
      </c>
      <c r="F17" s="584"/>
      <c r="G17" s="585"/>
      <c r="H17" s="582">
        <f>I102</f>
        <v>0</v>
      </c>
      <c r="I17" s="583">
        <f>G102+F102</f>
        <v>0</v>
      </c>
      <c r="J17" s="583">
        <f>H102+D102+C102</f>
        <v>0</v>
      </c>
      <c r="K17" s="583"/>
      <c r="L17" s="583"/>
      <c r="M17" s="583"/>
      <c r="N17" s="998"/>
      <c r="O17" s="586">
        <f>C17*$C$22+E17*$E$22+H17*$H$22+I17*$I$22+J17*$J$22+D17*$D$22+F17*$F$22+G17*$G$22+K17*$K$22+L17*$L$22</f>
        <v>1814.9445378151263</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7637.1428571428569</v>
      </c>
      <c r="C20" s="569">
        <f>SUM(C17:C19)</f>
        <v>8984.8739495798327</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1814.9445378151263</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37002</v>
      </c>
      <c r="C28" s="789">
        <v>8720</v>
      </c>
      <c r="D28" s="642" t="s">
        <v>948</v>
      </c>
      <c r="E28" s="641" t="s">
        <v>949</v>
      </c>
      <c r="F28" s="641" t="s">
        <v>950</v>
      </c>
      <c r="G28" s="641" t="s">
        <v>951</v>
      </c>
      <c r="H28" s="641" t="s">
        <v>952</v>
      </c>
      <c r="I28" s="641" t="s">
        <v>953</v>
      </c>
      <c r="J28" s="788">
        <v>37987</v>
      </c>
      <c r="K28" s="788">
        <v>38777</v>
      </c>
      <c r="L28" s="641" t="s">
        <v>954</v>
      </c>
      <c r="M28" s="641">
        <v>182</v>
      </c>
      <c r="N28" s="641">
        <v>819</v>
      </c>
      <c r="O28" s="641">
        <v>1170</v>
      </c>
      <c r="P28" s="641">
        <v>2340</v>
      </c>
      <c r="Q28" s="641">
        <v>0</v>
      </c>
      <c r="R28" s="641">
        <v>0</v>
      </c>
      <c r="S28" s="641">
        <v>0</v>
      </c>
      <c r="T28" s="641">
        <v>0</v>
      </c>
      <c r="U28" s="641">
        <v>0</v>
      </c>
      <c r="V28" s="641">
        <v>0</v>
      </c>
      <c r="W28" s="641"/>
      <c r="X28" s="641">
        <v>10</v>
      </c>
      <c r="Y28" s="641" t="s">
        <v>112</v>
      </c>
      <c r="Z28" s="643" t="s">
        <v>112</v>
      </c>
    </row>
    <row r="29" spans="1:26" s="595" customFormat="1" ht="25.5">
      <c r="A29" s="594"/>
      <c r="B29" s="789">
        <v>37002</v>
      </c>
      <c r="C29" s="789">
        <v>8720</v>
      </c>
      <c r="D29" s="642" t="s">
        <v>955</v>
      </c>
      <c r="E29" s="641" t="s">
        <v>956</v>
      </c>
      <c r="F29" s="641" t="s">
        <v>957</v>
      </c>
      <c r="G29" s="641" t="s">
        <v>951</v>
      </c>
      <c r="H29" s="641" t="s">
        <v>952</v>
      </c>
      <c r="I29" s="641" t="s">
        <v>958</v>
      </c>
      <c r="J29" s="788">
        <v>39827</v>
      </c>
      <c r="K29" s="788">
        <v>39827</v>
      </c>
      <c r="L29" s="641" t="s">
        <v>954</v>
      </c>
      <c r="M29" s="641">
        <v>1006</v>
      </c>
      <c r="N29" s="641">
        <v>4527</v>
      </c>
      <c r="O29" s="641">
        <v>6467.1428571428569</v>
      </c>
      <c r="P29" s="641">
        <v>12934.285714285716</v>
      </c>
      <c r="Q29" s="641">
        <v>0</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1188</v>
      </c>
      <c r="N58" s="599">
        <f>SUM(N28:N57)</f>
        <v>5346</v>
      </c>
      <c r="O58" s="599">
        <f t="shared" ref="O58:W58" si="2">SUM(O28:O57)</f>
        <v>7637.1428571428569</v>
      </c>
      <c r="P58" s="599">
        <f t="shared" si="2"/>
        <v>15274.285714285716</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1188</v>
      </c>
      <c r="N61" s="604">
        <f t="shared" si="4"/>
        <v>5346</v>
      </c>
      <c r="O61" s="604">
        <f t="shared" si="4"/>
        <v>7637.1428571428569</v>
      </c>
      <c r="P61" s="604">
        <f t="shared" si="4"/>
        <v>15274.285714285716</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6289.4117647058838</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8984.8739495798327</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14976.882507571447</v>
      </c>
      <c r="C4" s="461">
        <f>huishoudens!C8</f>
        <v>0</v>
      </c>
      <c r="D4" s="461">
        <f>huishoudens!D8</f>
        <v>20671.189538227591</v>
      </c>
      <c r="E4" s="461">
        <f>huishoudens!E8</f>
        <v>2912.0754677603722</v>
      </c>
      <c r="F4" s="461">
        <f>huishoudens!F8</f>
        <v>21307.231102234269</v>
      </c>
      <c r="G4" s="461">
        <f>huishoudens!G8</f>
        <v>0</v>
      </c>
      <c r="H4" s="461">
        <f>huishoudens!H8</f>
        <v>0</v>
      </c>
      <c r="I4" s="461">
        <f>huishoudens!I8</f>
        <v>0</v>
      </c>
      <c r="J4" s="461">
        <f>huishoudens!J8</f>
        <v>82.04824893592604</v>
      </c>
      <c r="K4" s="461">
        <f>huishoudens!K8</f>
        <v>0</v>
      </c>
      <c r="L4" s="461">
        <f>huishoudens!L8</f>
        <v>0</v>
      </c>
      <c r="M4" s="461">
        <f>huishoudens!M8</f>
        <v>0</v>
      </c>
      <c r="N4" s="461">
        <f>huishoudens!N8</f>
        <v>10445.142691220042</v>
      </c>
      <c r="O4" s="461">
        <f>huishoudens!O8</f>
        <v>51.589999999999996</v>
      </c>
      <c r="P4" s="462">
        <f>huishoudens!P8</f>
        <v>266.93333333333334</v>
      </c>
      <c r="Q4" s="463">
        <f>SUM(B4:P4)</f>
        <v>70713.092889282983</v>
      </c>
    </row>
    <row r="5" spans="1:17">
      <c r="A5" s="460" t="s">
        <v>156</v>
      </c>
      <c r="B5" s="461">
        <f ca="1">tertiair!B16</f>
        <v>7437.8158762814583</v>
      </c>
      <c r="C5" s="461">
        <f ca="1">tertiair!C16</f>
        <v>0</v>
      </c>
      <c r="D5" s="461">
        <f ca="1">tertiair!D16</f>
        <v>6514.0037598221716</v>
      </c>
      <c r="E5" s="461">
        <f>tertiair!E16</f>
        <v>70.21607390670134</v>
      </c>
      <c r="F5" s="461">
        <f ca="1">tertiair!F16</f>
        <v>1517.3289404007996</v>
      </c>
      <c r="G5" s="461">
        <f>tertiair!G16</f>
        <v>0</v>
      </c>
      <c r="H5" s="461">
        <f>tertiair!H16</f>
        <v>0</v>
      </c>
      <c r="I5" s="461">
        <f>tertiair!I16</f>
        <v>0</v>
      </c>
      <c r="J5" s="461">
        <f>tertiair!J16</f>
        <v>0</v>
      </c>
      <c r="K5" s="461">
        <f>tertiair!K16</f>
        <v>0</v>
      </c>
      <c r="L5" s="461">
        <f ca="1">tertiair!L16</f>
        <v>0</v>
      </c>
      <c r="M5" s="461">
        <f>tertiair!M16</f>
        <v>0</v>
      </c>
      <c r="N5" s="461">
        <f ca="1">tertiair!N16</f>
        <v>496.97884450759227</v>
      </c>
      <c r="O5" s="461">
        <f>tertiair!O16</f>
        <v>0</v>
      </c>
      <c r="P5" s="462">
        <f>tertiair!P16</f>
        <v>0</v>
      </c>
      <c r="Q5" s="460">
        <f t="shared" ref="Q5:Q14" ca="1" si="0">SUM(B5:P5)</f>
        <v>16036.343494918723</v>
      </c>
    </row>
    <row r="6" spans="1:17">
      <c r="A6" s="460" t="s">
        <v>194</v>
      </c>
      <c r="B6" s="461">
        <f>'openbare verlichting'!B8</f>
        <v>612.476</v>
      </c>
      <c r="C6" s="461"/>
      <c r="D6" s="461"/>
      <c r="E6" s="461"/>
      <c r="F6" s="461"/>
      <c r="G6" s="461"/>
      <c r="H6" s="461"/>
      <c r="I6" s="461"/>
      <c r="J6" s="461"/>
      <c r="K6" s="461"/>
      <c r="L6" s="461"/>
      <c r="M6" s="461"/>
      <c r="N6" s="461"/>
      <c r="O6" s="461"/>
      <c r="P6" s="462"/>
      <c r="Q6" s="460">
        <f t="shared" si="0"/>
        <v>612.476</v>
      </c>
    </row>
    <row r="7" spans="1:17">
      <c r="A7" s="460" t="s">
        <v>112</v>
      </c>
      <c r="B7" s="461">
        <f>landbouw!B8</f>
        <v>2473.756471006935</v>
      </c>
      <c r="C7" s="461">
        <f>landbouw!C8</f>
        <v>7637.1428571428569</v>
      </c>
      <c r="D7" s="461">
        <f>landbouw!D8</f>
        <v>0</v>
      </c>
      <c r="E7" s="461">
        <f>landbouw!E8</f>
        <v>23.304443428091087</v>
      </c>
      <c r="F7" s="461">
        <f>landbouw!F8</f>
        <v>8072.6883325682957</v>
      </c>
      <c r="G7" s="461">
        <f>landbouw!G8</f>
        <v>0</v>
      </c>
      <c r="H7" s="461">
        <f>landbouw!H8</f>
        <v>0</v>
      </c>
      <c r="I7" s="461">
        <f>landbouw!I8</f>
        <v>0</v>
      </c>
      <c r="J7" s="461">
        <f>landbouw!J8</f>
        <v>306.01570781272147</v>
      </c>
      <c r="K7" s="461">
        <f>landbouw!K8</f>
        <v>0</v>
      </c>
      <c r="L7" s="461">
        <f>landbouw!L8</f>
        <v>0</v>
      </c>
      <c r="M7" s="461">
        <f>landbouw!M8</f>
        <v>0</v>
      </c>
      <c r="N7" s="461">
        <f>landbouw!N8</f>
        <v>0</v>
      </c>
      <c r="O7" s="461">
        <f>landbouw!O8</f>
        <v>0</v>
      </c>
      <c r="P7" s="462">
        <f>landbouw!P8</f>
        <v>0</v>
      </c>
      <c r="Q7" s="460">
        <f t="shared" si="0"/>
        <v>18512.907811958903</v>
      </c>
    </row>
    <row r="8" spans="1:17">
      <c r="A8" s="460" t="s">
        <v>685</v>
      </c>
      <c r="B8" s="461">
        <f>industrie!B18</f>
        <v>20079.740876638807</v>
      </c>
      <c r="C8" s="461">
        <f>industrie!C18</f>
        <v>0</v>
      </c>
      <c r="D8" s="461">
        <f>industrie!D18</f>
        <v>1526.8011172895945</v>
      </c>
      <c r="E8" s="461">
        <f>industrie!E18</f>
        <v>167.73372046972742</v>
      </c>
      <c r="F8" s="461">
        <f>industrie!F18</f>
        <v>4697.8181588632124</v>
      </c>
      <c r="G8" s="461">
        <f>industrie!G18</f>
        <v>0</v>
      </c>
      <c r="H8" s="461">
        <f>industrie!H18</f>
        <v>0</v>
      </c>
      <c r="I8" s="461">
        <f>industrie!I18</f>
        <v>0</v>
      </c>
      <c r="J8" s="461">
        <f>industrie!J18</f>
        <v>85.306202165533676</v>
      </c>
      <c r="K8" s="461">
        <f>industrie!K18</f>
        <v>0</v>
      </c>
      <c r="L8" s="461">
        <f>industrie!L18</f>
        <v>0</v>
      </c>
      <c r="M8" s="461">
        <f>industrie!M18</f>
        <v>0</v>
      </c>
      <c r="N8" s="461">
        <f>industrie!N18</f>
        <v>663.04370393304384</v>
      </c>
      <c r="O8" s="461">
        <f>industrie!O18</f>
        <v>0</v>
      </c>
      <c r="P8" s="462">
        <f>industrie!P18</f>
        <v>0</v>
      </c>
      <c r="Q8" s="460">
        <f t="shared" si="0"/>
        <v>27220.443779359921</v>
      </c>
    </row>
    <row r="9" spans="1:17" s="466" customFormat="1">
      <c r="A9" s="464" t="s">
        <v>579</v>
      </c>
      <c r="B9" s="465">
        <f>transport!B14</f>
        <v>0.64503188057179262</v>
      </c>
      <c r="C9" s="465">
        <f>transport!C14</f>
        <v>0</v>
      </c>
      <c r="D9" s="465">
        <f>transport!D14</f>
        <v>1.9565864387746379</v>
      </c>
      <c r="E9" s="465">
        <f>transport!E14</f>
        <v>111.757507346559</v>
      </c>
      <c r="F9" s="465">
        <f>transport!F14</f>
        <v>0</v>
      </c>
      <c r="G9" s="465">
        <f>transport!G14</f>
        <v>28248.41459560992</v>
      </c>
      <c r="H9" s="465">
        <f>transport!H14</f>
        <v>4316.6150385226238</v>
      </c>
      <c r="I9" s="465">
        <f>transport!I14</f>
        <v>0</v>
      </c>
      <c r="J9" s="465">
        <f>transport!J14</f>
        <v>0</v>
      </c>
      <c r="K9" s="465">
        <f>transport!K14</f>
        <v>0</v>
      </c>
      <c r="L9" s="465">
        <f>transport!L14</f>
        <v>0</v>
      </c>
      <c r="M9" s="465">
        <f>transport!M14</f>
        <v>1455.370562989571</v>
      </c>
      <c r="N9" s="465">
        <f>transport!N14</f>
        <v>0</v>
      </c>
      <c r="O9" s="465">
        <f>transport!O14</f>
        <v>0</v>
      </c>
      <c r="P9" s="465">
        <f>transport!P14</f>
        <v>0</v>
      </c>
      <c r="Q9" s="464">
        <f>SUM(B9:P9)</f>
        <v>34134.759322788021</v>
      </c>
    </row>
    <row r="10" spans="1:17">
      <c r="A10" s="460" t="s">
        <v>569</v>
      </c>
      <c r="B10" s="461">
        <f>transport!B54</f>
        <v>0</v>
      </c>
      <c r="C10" s="461">
        <f>transport!C54</f>
        <v>0</v>
      </c>
      <c r="D10" s="461">
        <f>transport!D54</f>
        <v>0</v>
      </c>
      <c r="E10" s="461">
        <f>transport!E54</f>
        <v>0</v>
      </c>
      <c r="F10" s="461">
        <f>transport!F54</f>
        <v>0</v>
      </c>
      <c r="G10" s="461">
        <f>transport!G54</f>
        <v>157.02498439360056</v>
      </c>
      <c r="H10" s="461">
        <f>transport!H54</f>
        <v>0</v>
      </c>
      <c r="I10" s="461">
        <f>transport!I54</f>
        <v>0</v>
      </c>
      <c r="J10" s="461">
        <f>transport!J54</f>
        <v>0</v>
      </c>
      <c r="K10" s="461">
        <f>transport!K54</f>
        <v>0</v>
      </c>
      <c r="L10" s="461">
        <f>transport!L54</f>
        <v>0</v>
      </c>
      <c r="M10" s="461">
        <f>transport!M54</f>
        <v>6.8952260936373007</v>
      </c>
      <c r="N10" s="461">
        <f>transport!N54</f>
        <v>0</v>
      </c>
      <c r="O10" s="461">
        <f>transport!O54</f>
        <v>0</v>
      </c>
      <c r="P10" s="462">
        <f>transport!P54</f>
        <v>0</v>
      </c>
      <c r="Q10" s="460">
        <f t="shared" si="0"/>
        <v>163.92021048723785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1243.36134133311</v>
      </c>
      <c r="C14" s="468"/>
      <c r="D14" s="468">
        <f>'SEAP template'!E25</f>
        <v>9451.5263739280799</v>
      </c>
      <c r="E14" s="468"/>
      <c r="F14" s="468"/>
      <c r="G14" s="468"/>
      <c r="H14" s="468"/>
      <c r="I14" s="468"/>
      <c r="J14" s="468"/>
      <c r="K14" s="468"/>
      <c r="L14" s="468"/>
      <c r="M14" s="468"/>
      <c r="N14" s="468"/>
      <c r="O14" s="468"/>
      <c r="P14" s="469"/>
      <c r="Q14" s="460">
        <f t="shared" si="0"/>
        <v>10694.887715261189</v>
      </c>
    </row>
    <row r="15" spans="1:17" s="473" customFormat="1">
      <c r="A15" s="470" t="s">
        <v>573</v>
      </c>
      <c r="B15" s="471">
        <f ca="1">SUM(B4:B14)</f>
        <v>46824.67810471233</v>
      </c>
      <c r="C15" s="471">
        <f t="shared" ref="C15:Q15" ca="1" si="1">SUM(C4:C14)</f>
        <v>7637.1428571428569</v>
      </c>
      <c r="D15" s="471">
        <f t="shared" ca="1" si="1"/>
        <v>38165.477375706207</v>
      </c>
      <c r="E15" s="471">
        <f t="shared" si="1"/>
        <v>3285.0872129114509</v>
      </c>
      <c r="F15" s="471">
        <f t="shared" ca="1" si="1"/>
        <v>35595.06653406658</v>
      </c>
      <c r="G15" s="471">
        <f t="shared" si="1"/>
        <v>28405.43958000352</v>
      </c>
      <c r="H15" s="471">
        <f t="shared" si="1"/>
        <v>4316.6150385226238</v>
      </c>
      <c r="I15" s="471">
        <f t="shared" si="1"/>
        <v>0</v>
      </c>
      <c r="J15" s="471">
        <f t="shared" si="1"/>
        <v>473.37015891418116</v>
      </c>
      <c r="K15" s="471">
        <f t="shared" si="1"/>
        <v>0</v>
      </c>
      <c r="L15" s="471">
        <f t="shared" ca="1" si="1"/>
        <v>0</v>
      </c>
      <c r="M15" s="471">
        <f t="shared" si="1"/>
        <v>1462.2657890832083</v>
      </c>
      <c r="N15" s="471">
        <f t="shared" ca="1" si="1"/>
        <v>11605.165239660679</v>
      </c>
      <c r="O15" s="471">
        <f t="shared" si="1"/>
        <v>51.589999999999996</v>
      </c>
      <c r="P15" s="471">
        <f t="shared" si="1"/>
        <v>266.93333333333334</v>
      </c>
      <c r="Q15" s="471">
        <f t="shared" ca="1" si="1"/>
        <v>178088.83122405698</v>
      </c>
    </row>
    <row r="17" spans="1:17">
      <c r="A17" s="474" t="s">
        <v>574</v>
      </c>
      <c r="B17" s="778">
        <f ca="1">huishoudens!B10</f>
        <v>0.21190268012879354</v>
      </c>
      <c r="C17" s="778">
        <f ca="1">huishoudens!C10</f>
        <v>0.23764705882352946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3173.6415433284355</v>
      </c>
      <c r="C22" s="461">
        <f t="shared" ref="C22:C32" ca="1" si="3">C4*$C$17</f>
        <v>0</v>
      </c>
      <c r="D22" s="461">
        <f t="shared" ref="D22:D32" si="4">D4*$D$17</f>
        <v>4175.5802867219736</v>
      </c>
      <c r="E22" s="461">
        <f t="shared" ref="E22:E32" si="5">E4*$E$17</f>
        <v>661.04113118160456</v>
      </c>
      <c r="F22" s="461">
        <f t="shared" ref="F22:F32" si="6">F4*$F$17</f>
        <v>5689.0307042965505</v>
      </c>
      <c r="G22" s="461">
        <f t="shared" ref="G22:G32" si="7">G4*$G$17</f>
        <v>0</v>
      </c>
      <c r="H22" s="461">
        <f t="shared" ref="H22:H32" si="8">H4*$H$17</f>
        <v>0</v>
      </c>
      <c r="I22" s="461">
        <f t="shared" ref="I22:I32" si="9">I4*$I$17</f>
        <v>0</v>
      </c>
      <c r="J22" s="461">
        <f t="shared" ref="J22:J32" si="10">J4*$J$17</f>
        <v>29.045080123317817</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13728.338745651881</v>
      </c>
    </row>
    <row r="23" spans="1:17">
      <c r="A23" s="460" t="s">
        <v>156</v>
      </c>
      <c r="B23" s="461">
        <f t="shared" ca="1" si="2"/>
        <v>1576.0931184885321</v>
      </c>
      <c r="C23" s="461">
        <f t="shared" ca="1" si="3"/>
        <v>0</v>
      </c>
      <c r="D23" s="461">
        <f t="shared" ca="1" si="4"/>
        <v>1315.8287594840788</v>
      </c>
      <c r="E23" s="461">
        <f t="shared" si="5"/>
        <v>15.939048776821204</v>
      </c>
      <c r="F23" s="461">
        <f t="shared" ca="1" si="6"/>
        <v>405.12682708701351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3312.9877538364453</v>
      </c>
    </row>
    <row r="24" spans="1:17">
      <c r="A24" s="460" t="s">
        <v>194</v>
      </c>
      <c r="B24" s="461">
        <f t="shared" ca="1" si="2"/>
        <v>129.78530591456294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129.78530591456294</v>
      </c>
    </row>
    <row r="25" spans="1:17">
      <c r="A25" s="460" t="s">
        <v>112</v>
      </c>
      <c r="B25" s="461">
        <f t="shared" ca="1" si="2"/>
        <v>524.19562619231567</v>
      </c>
      <c r="C25" s="461">
        <f t="shared" ca="1" si="3"/>
        <v>1814.9445378151263</v>
      </c>
      <c r="D25" s="461">
        <f t="shared" si="4"/>
        <v>0</v>
      </c>
      <c r="E25" s="461">
        <f t="shared" si="5"/>
        <v>5.2901086581766767</v>
      </c>
      <c r="F25" s="461">
        <f t="shared" si="6"/>
        <v>2155.4077847957351</v>
      </c>
      <c r="G25" s="461">
        <f t="shared" si="7"/>
        <v>0</v>
      </c>
      <c r="H25" s="461">
        <f t="shared" si="8"/>
        <v>0</v>
      </c>
      <c r="I25" s="461">
        <f t="shared" si="9"/>
        <v>0</v>
      </c>
      <c r="J25" s="461">
        <f t="shared" si="10"/>
        <v>108.32956056570339</v>
      </c>
      <c r="K25" s="461">
        <f t="shared" si="11"/>
        <v>0</v>
      </c>
      <c r="L25" s="461">
        <f t="shared" si="12"/>
        <v>0</v>
      </c>
      <c r="M25" s="461">
        <f t="shared" si="13"/>
        <v>0</v>
      </c>
      <c r="N25" s="461">
        <f t="shared" si="14"/>
        <v>0</v>
      </c>
      <c r="O25" s="461">
        <f t="shared" si="15"/>
        <v>0</v>
      </c>
      <c r="P25" s="462">
        <f t="shared" si="16"/>
        <v>0</v>
      </c>
      <c r="Q25" s="460">
        <f t="shared" ca="1" si="17"/>
        <v>4608.1676180270561</v>
      </c>
    </row>
    <row r="26" spans="1:17">
      <c r="A26" s="460" t="s">
        <v>685</v>
      </c>
      <c r="B26" s="461">
        <f t="shared" ca="1" si="2"/>
        <v>4254.9509080514536</v>
      </c>
      <c r="C26" s="461">
        <f t="shared" ca="1" si="3"/>
        <v>0</v>
      </c>
      <c r="D26" s="461">
        <f t="shared" si="4"/>
        <v>308.41382569249811</v>
      </c>
      <c r="E26" s="461">
        <f t="shared" si="5"/>
        <v>38.075554546628126</v>
      </c>
      <c r="F26" s="461">
        <f t="shared" si="6"/>
        <v>1254.3174484164779</v>
      </c>
      <c r="G26" s="461">
        <f t="shared" si="7"/>
        <v>0</v>
      </c>
      <c r="H26" s="461">
        <f t="shared" si="8"/>
        <v>0</v>
      </c>
      <c r="I26" s="461">
        <f t="shared" si="9"/>
        <v>0</v>
      </c>
      <c r="J26" s="461">
        <f t="shared" si="10"/>
        <v>30.198395566598919</v>
      </c>
      <c r="K26" s="461">
        <f t="shared" si="11"/>
        <v>0</v>
      </c>
      <c r="L26" s="461">
        <f t="shared" si="12"/>
        <v>0</v>
      </c>
      <c r="M26" s="461">
        <f t="shared" si="13"/>
        <v>0</v>
      </c>
      <c r="N26" s="461">
        <f t="shared" si="14"/>
        <v>0</v>
      </c>
      <c r="O26" s="461">
        <f t="shared" si="15"/>
        <v>0</v>
      </c>
      <c r="P26" s="462">
        <f t="shared" si="16"/>
        <v>0</v>
      </c>
      <c r="Q26" s="460">
        <f t="shared" ca="1" si="17"/>
        <v>5885.9561322736563</v>
      </c>
    </row>
    <row r="27" spans="1:17" s="466" customFormat="1">
      <c r="A27" s="464" t="s">
        <v>579</v>
      </c>
      <c r="B27" s="772">
        <f t="shared" ca="1" si="2"/>
        <v>0.13668398426167871</v>
      </c>
      <c r="C27" s="465">
        <f t="shared" ca="1" si="3"/>
        <v>0</v>
      </c>
      <c r="D27" s="465">
        <f t="shared" si="4"/>
        <v>0.39523046063247685</v>
      </c>
      <c r="E27" s="465">
        <f t="shared" si="5"/>
        <v>25.368954167668893</v>
      </c>
      <c r="F27" s="465">
        <f t="shared" si="6"/>
        <v>0</v>
      </c>
      <c r="G27" s="465">
        <f t="shared" si="7"/>
        <v>7542.3266970278491</v>
      </c>
      <c r="H27" s="465">
        <f t="shared" si="8"/>
        <v>1074.8371445921332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8643.0647102325456</v>
      </c>
    </row>
    <row r="28" spans="1:17">
      <c r="A28" s="460" t="s">
        <v>569</v>
      </c>
      <c r="B28" s="461">
        <f t="shared" ca="1" si="2"/>
        <v>0</v>
      </c>
      <c r="C28" s="461">
        <f t="shared" ca="1" si="3"/>
        <v>0</v>
      </c>
      <c r="D28" s="461">
        <f t="shared" si="4"/>
        <v>0</v>
      </c>
      <c r="E28" s="461">
        <f t="shared" si="5"/>
        <v>0</v>
      </c>
      <c r="F28" s="461">
        <f t="shared" si="6"/>
        <v>0</v>
      </c>
      <c r="G28" s="461">
        <f t="shared" si="7"/>
        <v>41.925670833091353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41.925670833091353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263.4716005970177</v>
      </c>
      <c r="C32" s="461">
        <f t="shared" ca="1" si="3"/>
        <v>0</v>
      </c>
      <c r="D32" s="461">
        <f t="shared" si="4"/>
        <v>1909.2083275334724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2172.6799281304902</v>
      </c>
    </row>
    <row r="33" spans="1:17" s="473" customFormat="1">
      <c r="A33" s="470" t="s">
        <v>573</v>
      </c>
      <c r="B33" s="471">
        <f ca="1">SUM(B22:B32)</f>
        <v>9922.2747865565798</v>
      </c>
      <c r="C33" s="471">
        <f t="shared" ref="C33:Q33" ca="1" si="18">SUM(C22:C32)</f>
        <v>1814.9445378151263</v>
      </c>
      <c r="D33" s="471">
        <f t="shared" ca="1" si="18"/>
        <v>7709.4264298926555</v>
      </c>
      <c r="E33" s="471">
        <f t="shared" si="18"/>
        <v>745.7147973308995</v>
      </c>
      <c r="F33" s="471">
        <f t="shared" ca="1" si="18"/>
        <v>9503.8827645957754</v>
      </c>
      <c r="G33" s="471">
        <f t="shared" si="18"/>
        <v>7584.2523678609405</v>
      </c>
      <c r="H33" s="471">
        <f t="shared" si="18"/>
        <v>1074.8371445921332</v>
      </c>
      <c r="I33" s="471">
        <f t="shared" si="18"/>
        <v>0</v>
      </c>
      <c r="J33" s="471">
        <f t="shared" si="18"/>
        <v>167.57303625562011</v>
      </c>
      <c r="K33" s="471">
        <f t="shared" si="18"/>
        <v>0</v>
      </c>
      <c r="L33" s="471">
        <f t="shared" ca="1" si="18"/>
        <v>0</v>
      </c>
      <c r="M33" s="471">
        <f t="shared" si="18"/>
        <v>0</v>
      </c>
      <c r="N33" s="471">
        <f t="shared" ca="1" si="18"/>
        <v>0</v>
      </c>
      <c r="O33" s="471">
        <f t="shared" si="18"/>
        <v>0</v>
      </c>
      <c r="P33" s="471">
        <f t="shared" si="18"/>
        <v>0</v>
      </c>
      <c r="Q33" s="471">
        <f t="shared" ca="1" si="18"/>
        <v>38522.905864899738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2330.2002310200633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5346</v>
      </c>
      <c r="D8" s="1037">
        <f>'SEAP template'!D76</f>
        <v>6289.4117647058838</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1270.4611764705885</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2330.2002310200633</v>
      </c>
      <c r="C10" s="1041">
        <f>SUM(C4:C9)</f>
        <v>5346</v>
      </c>
      <c r="D10" s="1041">
        <f t="shared" ref="D10:H10" si="0">SUM(D8:D9)</f>
        <v>6289.4117647058838</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1270.4611764705885</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0.21190268012879354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7637.1428571428569</v>
      </c>
      <c r="D17" s="1038">
        <f>'SEAP template'!D87</f>
        <v>8984.8739495798327</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1814.9445378151263</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7637.1428571428569</v>
      </c>
      <c r="D20" s="1041">
        <f t="shared" ref="D20:H20" si="2">SUM(D17:D19)</f>
        <v>8984.8739495798327</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1814.9445378151263</v>
      </c>
    </row>
    <row r="22" spans="1:16">
      <c r="A22" s="474" t="s">
        <v>932</v>
      </c>
      <c r="B22" s="778" t="s">
        <v>926</v>
      </c>
      <c r="C22" s="778">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0.21190268012879354</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2019-08-12T07:54:55Z</dcterms:modified>
</cp:coreProperties>
</file>