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C98"/>
  <c r="I101" s="1"/>
  <c r="H8" s="1"/>
  <c r="H10" s="1"/>
  <c r="B10"/>
  <c r="B17"/>
  <c r="B20" s="1"/>
  <c r="B8"/>
  <c r="O19"/>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Q14" s="1"/>
  <c r="L26" i="14"/>
  <c r="H26"/>
  <c r="O22"/>
  <c r="G22"/>
  <c r="R12"/>
  <c r="F13" i="15"/>
  <c r="D13"/>
  <c r="C13"/>
  <c r="I10" i="18" l="1"/>
  <c r="I76" i="14"/>
  <c r="I8" i="56" s="1"/>
  <c r="I10" s="1"/>
  <c r="M78" i="14"/>
  <c r="M8" i="56"/>
  <c r="M10" s="1"/>
  <c r="K78" i="14"/>
  <c r="K8" i="56"/>
  <c r="K10" s="1"/>
  <c r="L90" i="14"/>
  <c r="L17" i="56"/>
  <c r="L20" s="1"/>
  <c r="G90" i="14"/>
  <c r="G18" i="56"/>
  <c r="G20" s="1"/>
  <c r="O90" i="14"/>
  <c r="O18" i="56"/>
  <c r="C77" i="14"/>
  <c r="C9" i="56" s="1"/>
  <c r="D9"/>
  <c r="D10" s="1"/>
  <c r="Q88" i="14"/>
  <c r="P18" i="56" s="1"/>
  <c r="D18"/>
  <c r="F90" i="14"/>
  <c r="M20" i="56"/>
  <c r="N20"/>
  <c r="Q89" i="14"/>
  <c r="P19" i="56" s="1"/>
  <c r="Q76" i="14"/>
  <c r="P8" i="56" s="1"/>
  <c r="L10"/>
  <c r="H20"/>
  <c r="N78" i="14"/>
  <c r="N8" i="56"/>
  <c r="N10" s="1"/>
  <c r="E8"/>
  <c r="E10" s="1"/>
  <c r="H78" i="14"/>
  <c r="H9" i="56"/>
  <c r="H10" s="1"/>
  <c r="Q87" i="14"/>
  <c r="P17" i="56" s="1"/>
  <c r="D17"/>
  <c r="D20" s="1"/>
  <c r="O78" i="14"/>
  <c r="O9" i="56"/>
  <c r="O10" s="1"/>
  <c r="K90" i="14"/>
  <c r="K18" i="56"/>
  <c r="K20" s="1"/>
  <c r="L78" i="14"/>
  <c r="J76"/>
  <c r="G78"/>
  <c r="I20" i="56"/>
  <c r="F78" i="14"/>
  <c r="G10" i="56"/>
  <c r="C88" i="14"/>
  <c r="C18" i="56" s="1"/>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90" l="1"/>
  <c r="B17" i="56"/>
  <c r="B20" s="1"/>
  <c r="B8"/>
  <c r="B10" s="1"/>
  <c r="B78" i="14"/>
  <c r="B4" i="6" s="1"/>
  <c r="C8" i="56"/>
  <c r="C10" s="1"/>
  <c r="C78"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27"/>
  <c r="K32"/>
  <c r="K31"/>
  <c r="K30"/>
  <c r="K24"/>
  <c r="K22"/>
  <c r="K26"/>
  <c r="K25"/>
  <c r="K29"/>
  <c r="Q11" i="14"/>
  <c r="P4" i="48"/>
  <c r="G32"/>
  <c r="G25"/>
  <c r="G26"/>
  <c r="G29"/>
  <c r="G30"/>
  <c r="G24"/>
  <c r="G22"/>
  <c r="G23"/>
  <c r="B4"/>
  <c r="C11" i="14"/>
  <c r="E32" i="48"/>
  <c r="E28"/>
  <c r="E30"/>
  <c r="E24"/>
  <c r="E29"/>
  <c r="E31"/>
  <c r="M12" i="13"/>
  <c r="N41" i="14" s="1"/>
  <c r="M17" i="48"/>
  <c r="I5"/>
  <c r="J10" i="14"/>
  <c r="J16" s="1"/>
  <c r="J27" s="1"/>
  <c r="J32" i="48"/>
  <c r="J30"/>
  <c r="J27"/>
  <c r="J24"/>
  <c r="J31"/>
  <c r="J29"/>
  <c r="J28"/>
  <c r="B7"/>
  <c r="C24" i="14"/>
  <c r="C26" s="1"/>
  <c r="O4" i="48"/>
  <c r="P11" i="14"/>
  <c r="I25" i="48"/>
  <c r="I29"/>
  <c r="I26"/>
  <c r="I32"/>
  <c r="I22"/>
  <c r="I31"/>
  <c r="I24"/>
  <c r="I28"/>
  <c r="I30"/>
  <c r="I27"/>
  <c r="E11" i="14"/>
  <c r="D4" i="48"/>
  <c r="D22" s="1"/>
  <c r="H32"/>
  <c r="H25"/>
  <c r="H29"/>
  <c r="H26"/>
  <c r="H30"/>
  <c r="H24"/>
  <c r="H22"/>
  <c r="H28"/>
  <c r="H23"/>
  <c r="D11" i="14"/>
  <c r="C4" i="48"/>
  <c r="F24"/>
  <c r="F28"/>
  <c r="F30"/>
  <c r="F32"/>
  <c r="F27"/>
  <c r="F31"/>
  <c r="F29"/>
  <c r="N24"/>
  <c r="N30"/>
  <c r="N32"/>
  <c r="N31"/>
  <c r="N28"/>
  <c r="N27"/>
  <c r="N29"/>
  <c r="C19" i="14"/>
  <c r="B10" i="48"/>
  <c r="L10" i="14"/>
  <c r="L16" s="1"/>
  <c r="L27" s="1"/>
  <c r="K5" i="48"/>
  <c r="D30"/>
  <c r="D28"/>
  <c r="D29"/>
  <c r="D31"/>
  <c r="D24"/>
  <c r="D32"/>
  <c r="L28"/>
  <c r="L32"/>
  <c r="L27"/>
  <c r="L31"/>
  <c r="L24"/>
  <c r="L22"/>
  <c r="L30"/>
  <c r="L29"/>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P8" i="48"/>
  <c r="P26" s="1"/>
  <c r="Q13" i="14"/>
  <c r="P22" i="48"/>
  <c r="P33" s="1"/>
  <c r="G13"/>
  <c r="H18" i="14"/>
  <c r="N18"/>
  <c r="M13" i="48"/>
  <c r="M31" s="1"/>
  <c r="O22"/>
  <c r="J12" i="17"/>
  <c r="K54" i="14" s="1"/>
  <c r="K56" s="1"/>
  <c r="J7" i="48"/>
  <c r="J25" s="1"/>
  <c r="K24" i="14"/>
  <c r="K26" s="1"/>
  <c r="M22" i="48"/>
  <c r="M32"/>
  <c r="M26"/>
  <c r="M30"/>
  <c r="M24"/>
  <c r="M29"/>
  <c r="M25"/>
  <c r="M23"/>
  <c r="K23"/>
  <c r="K33" s="1"/>
  <c r="K15"/>
  <c r="J63" i="14"/>
  <c r="I33" i="48"/>
  <c r="Q16" i="14"/>
  <c r="Q27" s="1"/>
  <c r="L63"/>
  <c r="J46"/>
  <c r="J61" s="1"/>
  <c r="O5" i="48"/>
  <c r="O23" s="1"/>
  <c r="P10" i="14"/>
  <c r="I23" i="48"/>
  <c r="I15"/>
  <c r="I18" i="14"/>
  <c r="H13" i="48"/>
  <c r="H3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E9"/>
  <c r="E27" s="1"/>
  <c r="F20" i="14"/>
  <c r="F22" s="1"/>
  <c r="I20"/>
  <c r="H9" i="48"/>
  <c r="G31"/>
  <c r="Q13"/>
  <c r="P13" i="14"/>
  <c r="P16" s="1"/>
  <c r="P27" s="1"/>
  <c r="O8" i="48"/>
  <c r="O26" s="1"/>
  <c r="O33" s="1"/>
  <c r="R18" i="14"/>
  <c r="D9" i="48"/>
  <c r="D27" s="1"/>
  <c r="E20" i="14"/>
  <c r="E22" s="1"/>
  <c r="H19"/>
  <c r="R19" s="1"/>
  <c r="G10" i="48"/>
  <c r="Q46" i="14"/>
  <c r="Q61" s="1"/>
  <c r="Q63" s="1"/>
  <c r="I52"/>
  <c r="I61" s="1"/>
  <c r="I63" s="1"/>
  <c r="I22"/>
  <c r="I27" s="1"/>
  <c r="O15" i="48"/>
  <c r="N19" i="14"/>
  <c r="M10" i="48"/>
  <c r="M28" s="1"/>
  <c r="B9"/>
  <c r="C20" i="14"/>
  <c r="J4" i="48"/>
  <c r="K11" i="14"/>
  <c r="E7" i="48"/>
  <c r="E25" s="1"/>
  <c r="F24" i="14"/>
  <c r="F26" s="1"/>
  <c r="D18" i="22"/>
  <c r="E50" i="14" s="1"/>
  <c r="E52"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H27" i="48"/>
  <c r="H33" s="1"/>
  <c r="H15"/>
  <c r="J5"/>
  <c r="J23" s="1"/>
  <c r="K10" i="14"/>
  <c r="G28" i="48"/>
  <c r="Q10"/>
  <c r="E22"/>
  <c r="Q4"/>
  <c r="R11" i="14"/>
  <c r="E46"/>
  <c r="E61" s="1"/>
  <c r="R20"/>
  <c r="R22" s="1"/>
  <c r="C22"/>
  <c r="G9" i="48"/>
  <c r="H20" i="14"/>
  <c r="H22" s="1"/>
  <c r="H27" s="1"/>
  <c r="H63" s="1"/>
  <c r="J22" i="48"/>
  <c r="E5"/>
  <c r="E23" s="1"/>
  <c r="F10" i="14"/>
  <c r="M9" i="48"/>
  <c r="N20" i="14"/>
  <c r="N22" s="1"/>
  <c r="N27" s="1"/>
  <c r="N63"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G27"/>
  <c r="G33" s="1"/>
  <c r="G15"/>
  <c r="E8"/>
  <c r="F13" i="14"/>
  <c r="J33" i="48"/>
  <c r="J15"/>
  <c r="K16" i="14"/>
  <c r="K27" s="1"/>
  <c r="J8" i="48"/>
  <c r="J26" s="1"/>
  <c r="K13" i="14"/>
  <c r="Q9"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<sst xmlns="http://schemas.openxmlformats.org/spreadsheetml/2006/main" count="2522" uniqueCount="963">
  <si>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</si>
  <si>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</si>
  <si>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</si>
  <si>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</si>
  <si>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</si>
  <si>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</si>
  <si>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</si>
  <si>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</si>
  <si>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</si>
  <si>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</si>
  <si>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</si>
  <si>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</si>
  <si>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</si>
  <si>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</si>
  <si>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</si>
  <si>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</si>
  <si>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</si>
  <si>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</si>
  <si>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</si>
  <si>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</si>
  <si>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</si>
  <si>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</si>
  <si>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</si>
  <si>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</si>
  <si>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</si>
  <si>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</si>
  <si>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</si>
  <si>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</si>
  <si>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</si>
  <si>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</si>
  <si>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</si>
  <si>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</si>
  <si>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</si>
  <si>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</si>
  <si>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</si>
  <si>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</si>
  <si>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</si>
  <si>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</si>
  <si>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</si>
  <si>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</si>
  <si>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</si>
  <si>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</si>
  <si>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</si>
  <si>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</si>
  <si>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</si>
  <si>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</si>
  <si>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</si>
  <si>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</si>
  <si>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</si>
  <si>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</si>
  <si>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</si>
  <si>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</si>
  <si>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</si>
  <si>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</si>
  <si>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</si>
  <si>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</si>
  <si>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</si>
  <si>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</si>
  <si>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</si>
  <si>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</si>
  <si>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</si>
  <si>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</si>
  <si>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</si>
  <si>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</si>
  <si>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</si>
  <si>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</si>
  <si>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</si>
  <si>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</si>
  <si>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</si>
  <si>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</si>
  <si>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</si>
  <si>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</si>
  <si>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</si>
  <si>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</si>
  <si>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</si>
  <si>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</si>
  <si>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</si>
  <si>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</si>
  <si>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</si>
  <si>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</si>
  <si>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</si>
  <si>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</si>
  <si>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</si>
  <si>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</si>
  <si>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</si>
  <si>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</si>
  <si>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</si>
  <si>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</si>
  <si>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</si>
  <si>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</si>
  <si>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</si>
  <si>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</si>
  <si>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</si>
  <si>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</si>
  <si>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</si>
  <si>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</si>
  <si>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</si>
  <si>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</si>
  <si>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</si>
  <si>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</si>
  <si>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</si>
  <si>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</si>
  <si>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</si>
  <si>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</si>
  <si>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</si>
  <si>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</si>
  <si>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</si>
  <si>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</si>
  <si>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</si>
  <si>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</si>
  <si>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</si>
  <si>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</si>
  <si>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</si>
  <si>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</si>
  <si>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</si>
  <si>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</si>
  <si>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</si>
  <si>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</si>
  <si>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</si>
  <si>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</si>
  <si>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</si>
  <si>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</si>
  <si>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</si>
  <si>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</si>
  <si>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</si>
  <si>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</si>
  <si>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</si>
  <si>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</si>
  <si>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</si>
  <si>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</si>
  <si>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</si>
  <si>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</si>
  <si>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</si>
  <si>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</si>
  <si>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</si>
  <si>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</si>
  <si>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</si>
  <si>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</si>
  <si>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</si>
  <si>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</si>
  <si>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</si>
  <si>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</si>
  <si>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</si>
  <si>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</si>
  <si>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</si>
  <si>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</si>
  <si>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</si>
  <si>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</si>
  <si>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</si>
  <si>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</si>
  <si>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</si>
  <si>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</si>
  <si>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</si>
  <si>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</si>
  <si>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</si>
  <si>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</si>
  <si>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</si>
  <si>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</si>
  <si>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</si>
  <si>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</si>
  <si>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</si>
  <si>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</si>
  <si>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</si>
  <si>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</si>
  <si>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</si>
  <si>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</si>
  <si>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</si>
  <si>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</si>
  <si>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</si>
  <si>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</si>
  <si>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</si>
  <si>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</si>
  <si>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</si>
  <si>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</si>
  <si>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</si>
  <si>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</si>
  <si>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</si>
  <si>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</si>
  <si>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</si>
  <si>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</si>
  <si>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</si>
  <si>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</si>
  <si>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</si>
  <si>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</si>
  <si>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</si>
  <si>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</si>
  <si>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</si>
  <si>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</si>
  <si>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</si>
  <si>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</si>
  <si>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</si>
  <si>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</si>
  <si>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</si>
  <si>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</si>
  <si>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</si>
  <si>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</si>
  <si>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</si>
  <si>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</si>
  <si>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</si>
  <si>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</si>
  <si>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</si>
  <si>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</si>
  <si>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</si>
  <si>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</si>
  <si>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</si>
  <si>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</si>
  <si>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</si>
  <si>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</si>
  <si>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</si>
  <si>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</si>
  <si>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</si>
  <si>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</si>
  <si>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</si>
  <si>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</si>
  <si>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</si>
  <si>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</si>
  <si>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</si>
  <si>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</si>
  <si>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</si>
  <si>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</si>
  <si>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</si>
  <si>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</si>
  <si>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</si>
  <si>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</si>
  <si>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</si>
  <si>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</si>
  <si>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</si>
  <si>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</si>
  <si>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</si>
  <si>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</si>
  <si>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</si>
  <si>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</si>
  <si>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</si>
  <si>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</si>
  <si>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</si>
  <si>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</si>
  <si>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</si>
  <si>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</si>
  <si>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</si>
  <si>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</si>
  <si>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</si>
  <si>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</si>
  <si>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</si>
  <si>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</si>
  <si>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</si>
  <si>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</si>
  <si>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</si>
  <si>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</si>
  <si>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</si>
  <si>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</si>
  <si>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</si>
  <si>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</si>
  <si>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</si>
  <si>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</si>
  <si>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</si>
  <si>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</si>
  <si>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</si>
  <si>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</si>
  <si>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</si>
  <si>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</si>
  <si>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</si>
  <si>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</si>
  <si>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</si>
  <si>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</si>
  <si>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</si>
  <si>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</si>
  <si>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</si>
  <si>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</si>
  <si>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</si>
  <si>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</si>
  <si>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</si>
  <si>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</si>
  <si>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</si>
  <si>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</si>
  <si>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</si>
  <si>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</si>
  <si>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</si>
  <si>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</si>
  <si>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</si>
  <si>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</si>
  <si>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</si>
  <si>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</si>
  <si>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</si>
  <si>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</si>
  <si>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</si>
  <si>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</si>
  <si>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</si>
  <si>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</si>
  <si>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</si>
  <si>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</si>
  <si>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</si>
  <si>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</si>
  <si>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</si>
  <si>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</si>
  <si>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</si>
  <si>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</si>
  <si>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</si>
  <si>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</si>
  <si>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</si>
  <si>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</si>
  <si>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</si>
  <si>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</si>
  <si>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</si>
  <si>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</si>
  <si>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</si>
  <si>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</si>
  <si>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</si>
  <si>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</si>
  <si>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</si>
  <si>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</si>
  <si>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</si>
  <si>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</si>
  <si>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</si>
  <si>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</si>
  <si>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</si>
  <si>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</si>
  <si>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</si>
  <si>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</si>
  <si>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</si>
  <si>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</si>
  <si>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</si>
  <si>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</si>
  <si>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</si>
  <si>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</si>
  <si>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</si>
  <si>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</si>
  <si>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</si>
  <si>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</si>
  <si>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</si>
  <si>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</si>
  <si>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</si>
  <si>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</si>
  <si>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</si>
  <si>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</si>
  <si>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</si>
  <si>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</si>
  <si>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</si>
  <si>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</si>
  <si>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</si>
  <si>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</si>
  <si>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</si>
  <si>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</si>
  <si>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</si>
  <si>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</si>
  <si>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</si>
  <si>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</si>
  <si>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</si>
  <si>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</si>
  <si>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</si>
  <si>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</si>
  <si>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</si>
  <si>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</si>
  <si>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</si>
  <si>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</si>
  <si>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</si>
  <si>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</si>
  <si>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</si>
  <si>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</si>
  <si>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</si>
  <si>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</si>
  <si>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</si>
  <si>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</si>
  <si>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</si>
  <si>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</si>
  <si>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</si>
  <si>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</si>
  <si>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</si>
  <si>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</si>
  <si>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</si>
  <si>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</si>
  <si>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</si>
  <si>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</si>
  <si>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</si>
  <si>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</si>
  <si>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</si>
  <si>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</si>
  <si>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</si>
  <si>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</si>
  <si>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</si>
  <si>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</si>
  <si>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</si>
  <si>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</si>
  <si>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</si>
  <si>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</si>
  <si>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</si>
  <si>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</si>
  <si>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</si>
  <si>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</si>
  <si>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</si>
  <si>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</si>
  <si>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</si>
  <si>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</si>
  <si>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</si>
  <si>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</si>
  <si>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</si>
  <si>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</si>
  <si>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</si>
  <si>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</si>
  <si>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</si>
  <si>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</si>
  <si>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</si>
  <si>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</si>
  <si>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</si>
  <si>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</si>
  <si>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</si>
  <si>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</si>
  <si>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</si>
  <si>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</si>
  <si>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</si>
  <si>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</si>
  <si>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</si>
  <si>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</si>
  <si>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</si>
  <si>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</si>
  <si>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</si>
  <si>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</si>
  <si>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</si>
  <si>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</si>
  <si>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</si>
  <si>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</si>
  <si>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</si>
  <si>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</si>
  <si>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</si>
  <si>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</si>
  <si>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</si>
  <si>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</si>
  <si>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</si>
  <si>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</si>
  <si>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</si>
  <si>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</si>
  <si>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</si>
  <si>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</si>
  <si>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</si>
  <si>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</si>
  <si>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</si>
  <si>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</si>
  <si>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</si>
  <si>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</si>
  <si>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</si>
  <si>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</si>
  <si>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</si>
  <si>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</si>
  <si>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</si>
  <si>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</si>
  <si>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</si>
  <si>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</si>
  <si>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</si>
  <si>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</si>
  <si>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</si>
  <si>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</si>
  <si>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</si>
  <si>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</si>
  <si>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</si>
  <si>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</si>
  <si>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</si>
  <si>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</si>
  <si>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</si>
  <si>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</si>
  <si>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</si>
  <si>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</si>
  <si>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</si>
  <si>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</si>
  <si>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</si>
  <si>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</si>
  <si>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</si>
  <si>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</si>
  <si>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</si>
  <si>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</si>
  <si>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</si>
  <si>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</si>
  <si>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</si>
  <si>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</si>
  <si>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</si>
  <si>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</si>
  <si>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</si>
  <si>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</si>
  <si>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</si>
  <si>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</si>
  <si>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</si>
  <si>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</si>
  <si>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</si>
  <si>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</si>
  <si>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</si>
  <si>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</si>
  <si>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</si>
  <si>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</si>
  <si>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</si>
  <si>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</si>
  <si>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</si>
  <si>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</si>
  <si>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</si>
  <si>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</si>
  <si>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</si>
  <si>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</si>
  <si>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</si>
  <si>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</si>
  <si>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</si>
  <si>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</si>
  <si>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</si>
  <si>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</si>
  <si>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</si>
  <si>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</si>
  <si>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</si>
  <si>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</si>
  <si>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</si>
  <si>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</si>
  <si>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</si>
  <si>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</si>
  <si>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</si>
  <si>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</si>
  <si>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</si>
  <si>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</si>
  <si>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</si>
  <si>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</si>
  <si>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</si>
  <si>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</si>
  <si>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</si>
  <si>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</si>
  <si>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</si>
  <si>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</si>
  <si>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</si>
  <si>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</si>
  <si>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</si>
  <si>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</si>
  <si>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</si>
  <si>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</si>
  <si>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</si>
  <si>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</si>
  <si>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</si>
  <si>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</si>
  <si>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</si>
  <si>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</si>
  <si>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</si>
  <si>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</si>
  <si>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</si>
  <si>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</si>
  <si>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</si>
  <si>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</si>
  <si>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</si>
  <si>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</si>
  <si>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</si>
  <si>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</si>
  <si>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</si>
  <si>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</si>
  <si>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</si>
  <si>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</si>
  <si>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</si>
  <si>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</si>
  <si>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</si>
  <si>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</si>
  <si>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</si>
  <si>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</si>
  <si>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</si>
  <si>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</si>
  <si>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</si>
  <si>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</si>
  <si>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</si>
  <si>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</si>
  <si>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</si>
  <si>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</si>
  <si>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</si>
  <si>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</si>
  <si>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</si>
  <si>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</si>
  <si>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</si>
  <si>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</si>
  <si>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</si>
  <si>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</si>
  <si>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</si>
  <si>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</si>
  <si>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</si>
  <si>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</si>
  <si>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</si>
  <si>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</si>
  <si>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</si>
  <si>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</si>
  <si>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</si>
  <si>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</si>
  <si>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</si>
  <si>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</si>
  <si>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</si>
  <si>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</si>
  <si>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</si>
  <si>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</si>
  <si>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</si>
  <si>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</si>
  <si>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</si>
  <si>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</si>
  <si>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</si>
  <si>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</si>
  <si>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</si>
  <si>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</si>
  <si>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</si>
  <si>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</si>
  <si>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</si>
  <si>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</si>
  <si>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</si>
  <si>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</si>
  <si>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</si>
  <si>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</si>
  <si>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</si>
  <si>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</si>
  <si>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</si>
  <si>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</si>
  <si>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</si>
  <si>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</si>
  <si>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</si>
  <si>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</si>
  <si>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</si>
  <si>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</si>
  <si>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</si>
  <si>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</si>
  <si>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</si>
  <si>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</si>
  <si>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</si>
  <si>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</si>
  <si>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</si>
  <si>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</si>
  <si>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</si>
  <si>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</si>
  <si>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</si>
  <si>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</si>
  <si>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</si>
  <si>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</si>
  <si>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</si>
  <si>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</si>
  <si>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</si>
  <si>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</si>
  <si>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</si>
  <si>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</si>
  <si>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</si>
  <si>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</si>
  <si>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</si>
  <si>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</si>
  <si>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</si>
  <si>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</si>
  <si>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</si>
  <si>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</si>
  <si>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</si>
  <si>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</si>
  <si>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</si>
  <si>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</si>
  <si>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</si>
  <si>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</si>
  <si>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</si>
  <si>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</si>
  <si>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</si>
  <si>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</si>
  <si>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</si>
  <si>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</si>
  <si>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</si>
  <si>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</si>
  <si>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</si>
  <si>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</si>
  <si>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</si>
  <si>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</si>
  <si>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</si>
  <si>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</si>
  <si>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</si>
  <si>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</si>
  <si>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</si>
  <si>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</si>
  <si>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</si>
  <si>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</si>
  <si>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</si>
  <si>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</si>
  <si>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</si>
  <si>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</si>
  <si>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</si>
  <si>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</si>
  <si>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</si>
  <si>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</si>
  <si>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</si>
  <si>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</si>
  <si>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</si>
  <si>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</si>
  <si>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</si>
  <si>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</si>
  <si>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</si>
  <si>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</si>
  <si>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</si>
  <si>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</si>
  <si>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</si>
  <si>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</si>
  <si>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</si>
  <si>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</si>
  <si>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</si>
  <si>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</si>
  <si>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</si>
  <si>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</si>
  <si>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</si>
  <si>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</si>
  <si>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</si>
  <si>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</si>
  <si>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</si>
  <si>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</si>
  <si>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</si>
  <si>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</si>
  <si>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</si>
  <si>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</si>
  <si>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</si>
  <si>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</si>
  <si>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</si>
  <si>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</si>
  <si>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</si>
  <si>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</si>
  <si>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</si>
  <si>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</si>
  <si>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</si>
  <si>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</si>
  <si>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</si>
  <si>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</si>
  <si>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</si>
  <si>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</si>
  <si>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</si>
  <si>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</si>
  <si>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</si>
  <si>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</si>
  <si>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</si>
  <si>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</si>
  <si>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</si>
  <si>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</si>
  <si>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</si>
  <si>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</si>
  <si>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</si>
  <si>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</si>
  <si>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</si>
  <si>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</si>
  <si>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</si>
  <si>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</si>
  <si>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</si>
  <si>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</si>
  <si>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</si>
  <si>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</si>
  <si>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</si>
  <si>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</si>
  <si>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</si>
  <si>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</si>
  <si>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</si>
  <si>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</si>
  <si>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</si>
  <si>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</si>
  <si>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</si>
  <si>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</si>
  <si>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</si>
  <si>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</si>
  <si>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</si>
  <si>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</si>
  <si>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</si>
  <si>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</si>
  <si>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</si>
  <si>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</si>
  <si>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</si>
  <si>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</si>
  <si>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</si>
  <si>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</si>
  <si>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</si>
  <si>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</si>
  <si>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</si>
  <si>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</si>
  <si>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</si>
  <si>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</si>
  <si>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</si>
  <si>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</si>
  <si>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</si>
  <si>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</si>
  <si>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</si>
  <si>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</si>
  <si>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</si>
  <si>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</si>
  <si>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</si>
  <si>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</si>
  <si>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</si>
  <si>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</si>
  <si>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</si>
  <si>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</si>
  <si>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</si>
  <si>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</si>
  <si>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</si>
  <si>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</si>
  <si>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</si>
  <si>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</si>
  <si>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</si>
  <si>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</si>
  <si>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</si>
  <si>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</si>
  <si>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</si>
  <si>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</si>
  <si>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</si>
  <si>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</si>
  <si>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</si>
  <si>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</si>
  <si>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</si>
  <si>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</si>
  <si>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</si>
  <si>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</si>
  <si>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</si>
  <si>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</si>
  <si>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</si>
  <si>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</si>
  <si>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</si>
  <si>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</si>
  <si>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</si>
  <si>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</si>
  <si>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</si>
  <si>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</si>
  <si>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</si>
  <si>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</si>
  <si>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</si>
  <si>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</si>
  <si>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</si>
  <si>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</si>
  <si>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</si>
  <si>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</si>
  <si>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</si>
  <si>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</si>
  <si>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</si>
  <si>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</si>
  <si>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</si>
  <si>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</si>
  <si>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</si>
  <si>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</si>
  <si>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</si>
  <si>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</si>
  <si>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</si>
  <si>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</si>
  <si>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</si>
  <si>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</si>
  <si>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</si>
  <si>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</si>
  <si>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</si>
  <si>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</si>
  <si>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</si>
  <si>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</si>
  <si>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</si>
  <si>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</si>
  <si>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</si>
  <si>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</si>
  <si>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</si>
  <si>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</si>
  <si>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</si>
  <si>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</si>
  <si>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</si>
  <si>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</si>
  <si>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</si>
  <si>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</si>
  <si>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</si>
  <si>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</si>
  <si>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</si>
  <si>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</si>
  <si>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</si>
  <si>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</si>
  <si>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</si>
  <si>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</si>
  <si>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</si>
  <si>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</si>
  <si>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</si>
  <si>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</si>
  <si>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</si>
  <si>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</si>
  <si>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</si>
  <si>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</si>
  <si>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</si>
  <si>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</si>
  <si>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</si>
  <si>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</si>
  <si>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</si>
  <si>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</si>
  <si>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</si>
  <si>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</si>
  <si>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</si>
  <si>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</si>
  <si>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</si>
  <si>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</si>
  <si>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</si>
  <si>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</si>
  <si>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</si>
  <si>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</si>
  <si>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</si>
  <si>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</si>
  <si>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</si>
  <si>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</si>
  <si>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</si>
  <si>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</si>
  <si>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</si>
  <si>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</si>
  <si>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</si>
  <si>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</si>
  <si>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</si>
  <si>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</si>
  <si>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</si>
  <si>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</si>
  <si>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</si>
  <si>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</si>
  <si>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</si>
  <si>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</si>
  <si>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</si>
  <si>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</si>
  <si>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</si>
  <si>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</si>
  <si>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</si>
  <si>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</si>
  <si>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</si>
  <si>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</si>
  <si>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</si>
  <si>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</si>
  <si>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</si>
  <si>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</si>
  <si>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</si>
  <si>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</si>
  <si>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</si>
  <si>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</si>
  <si>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</si>
  <si>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</si>
  <si>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</si>
  <si>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</si>
  <si>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</si>
  <si>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</si>
  <si>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</si>
  <si>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</si>
  <si>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</si>
  <si>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</si>
  <si>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</si>
  <si>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</si>
  <si>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</si>
  <si>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</si>
  <si>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</si>
  <si>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</si>
  <si>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</si>
  <si>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</si>
  <si>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</si>
  <si>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</si>
  <si>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</si>
  <si>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</si>
  <si>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</si>
  <si>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</si>
  <si>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</si>
  <si>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</si>
  <si>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</si>
  <si>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</si>
  <si>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</si>
  <si>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</si>
  <si>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36019</t>
  </si>
  <si>
    <t>STADEN</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</si>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</sst>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36019</v>
      </c>
      <c r="B6" s="397"/>
      <c r="C6" s="398"/>
    </row>
    <row r="7" spans="1:7" s="395" customFormat="1" ht="15.75" customHeight="1">
      <c r="A7" s="399" t="str">
        <f>txtMunicipality</f>
        <v>STADEN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0.2147909868944094</v>
      </c>
      <c r="C17" s="510">
        <f ca="1">'EF ele_warmte'!B22</f>
        <v>0.22924320730844291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0.2147909868944094</v>
      </c>
      <c r="C29" s="511">
        <f ca="1">'EF ele_warmte'!B22</f>
        <v>0.22924320730844291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4334</v>
      </c>
      <c r="C9" s="338">
        <v>4500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3224</v>
      </c>
    </row>
    <row r="15" spans="1:6">
      <c r="A15" s="1286" t="s">
        <v>184</v>
      </c>
      <c r="B15" s="335">
        <v>15</v>
      </c>
    </row>
    <row r="16" spans="1:6">
      <c r="A16" s="1286" t="s">
        <v>6</v>
      </c>
      <c r="B16" s="335">
        <v>300</v>
      </c>
    </row>
    <row r="17" spans="1:6">
      <c r="A17" s="1286" t="s">
        <v>7</v>
      </c>
      <c r="B17" s="335">
        <v>853</v>
      </c>
    </row>
    <row r="18" spans="1:6">
      <c r="A18" s="1286" t="s">
        <v>8</v>
      </c>
      <c r="B18" s="335">
        <v>917</v>
      </c>
    </row>
    <row r="19" spans="1:6">
      <c r="A19" s="1286" t="s">
        <v>9</v>
      </c>
      <c r="B19" s="335">
        <v>848</v>
      </c>
    </row>
    <row r="20" spans="1:6">
      <c r="A20" s="1286" t="s">
        <v>10</v>
      </c>
      <c r="B20" s="335">
        <v>504</v>
      </c>
    </row>
    <row r="21" spans="1:6">
      <c r="A21" s="1286" t="s">
        <v>11</v>
      </c>
      <c r="B21" s="335">
        <v>41218</v>
      </c>
    </row>
    <row r="22" spans="1:6">
      <c r="A22" s="1286" t="s">
        <v>12</v>
      </c>
      <c r="B22" s="335">
        <v>103246</v>
      </c>
    </row>
    <row r="23" spans="1:6">
      <c r="A23" s="1286" t="s">
        <v>13</v>
      </c>
      <c r="B23" s="335">
        <v>1848</v>
      </c>
    </row>
    <row r="24" spans="1:6">
      <c r="A24" s="1286" t="s">
        <v>14</v>
      </c>
      <c r="B24" s="335">
        <v>66</v>
      </c>
    </row>
    <row r="25" spans="1:6">
      <c r="A25" s="1286" t="s">
        <v>15</v>
      </c>
      <c r="B25" s="335">
        <v>9871</v>
      </c>
    </row>
    <row r="26" spans="1:6">
      <c r="A26" s="1286" t="s">
        <v>16</v>
      </c>
      <c r="B26" s="335">
        <v>277</v>
      </c>
    </row>
    <row r="27" spans="1:6">
      <c r="A27" s="1286" t="s">
        <v>17</v>
      </c>
      <c r="B27" s="335">
        <v>2</v>
      </c>
    </row>
    <row r="28" spans="1:6" s="341" customFormat="1">
      <c r="A28" s="1287" t="s">
        <v>18</v>
      </c>
      <c r="B28" s="1287">
        <v>98271</v>
      </c>
    </row>
    <row r="29" spans="1:6">
      <c r="A29" s="1287" t="s">
        <v>944</v>
      </c>
      <c r="B29" s="1287">
        <v>30</v>
      </c>
      <c r="C29" s="341"/>
      <c r="D29" s="341"/>
      <c r="E29" s="341"/>
      <c r="F29" s="341"/>
    </row>
    <row r="30" spans="1:6">
      <c r="A30" s="1282" t="s">
        <v>945</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8890.2711013087992</v>
      </c>
    </row>
    <row r="37" spans="1:6">
      <c r="A37" s="1286" t="s">
        <v>25</v>
      </c>
      <c r="B37" s="1286" t="s">
        <v>28</v>
      </c>
      <c r="C37" s="335">
        <v>0</v>
      </c>
      <c r="D37" s="335">
        <v>0</v>
      </c>
      <c r="E37" s="335">
        <v>0</v>
      </c>
      <c r="F37" s="335">
        <v>0</v>
      </c>
    </row>
    <row r="38" spans="1:6">
      <c r="A38" s="1286" t="s">
        <v>25</v>
      </c>
      <c r="B38" s="1286" t="s">
        <v>29</v>
      </c>
      <c r="C38" s="335">
        <v>0</v>
      </c>
      <c r="D38" s="335">
        <v>0</v>
      </c>
      <c r="E38" s="335">
        <v>1</v>
      </c>
      <c r="F38" s="335">
        <v>3967.6503776048999</v>
      </c>
    </row>
    <row r="39" spans="1:6">
      <c r="A39" s="1286" t="s">
        <v>30</v>
      </c>
      <c r="B39" s="1286" t="s">
        <v>31</v>
      </c>
      <c r="C39" s="335">
        <v>2067</v>
      </c>
      <c r="D39" s="335">
        <v>35925245.5379024</v>
      </c>
      <c r="E39" s="335">
        <v>3886</v>
      </c>
      <c r="F39" s="335">
        <v>16677202.9214794</v>
      </c>
    </row>
    <row r="40" spans="1:6">
      <c r="A40" s="1286" t="s">
        <v>30</v>
      </c>
      <c r="B40" s="1286" t="s">
        <v>29</v>
      </c>
      <c r="C40" s="335">
        <v>0</v>
      </c>
      <c r="D40" s="335">
        <v>0</v>
      </c>
      <c r="E40" s="335">
        <v>0</v>
      </c>
      <c r="F40" s="335">
        <v>0</v>
      </c>
    </row>
    <row r="41" spans="1:6">
      <c r="A41" s="1286" t="s">
        <v>32</v>
      </c>
      <c r="B41" s="1286" t="s">
        <v>33</v>
      </c>
      <c r="C41" s="335">
        <v>39</v>
      </c>
      <c r="D41" s="335">
        <v>2104536.0345588499</v>
      </c>
      <c r="E41" s="335">
        <v>117</v>
      </c>
      <c r="F41" s="335">
        <v>3019301.58736736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109286.74640611499</v>
      </c>
      <c r="E44" s="335">
        <v>24</v>
      </c>
      <c r="F44" s="335">
        <v>733912.75172350905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163206.120287</v>
      </c>
    </row>
    <row r="48" spans="1:6">
      <c r="A48" s="1286" t="s">
        <v>32</v>
      </c>
      <c r="B48" s="1286" t="s">
        <v>29</v>
      </c>
      <c r="C48" s="335">
        <v>30</v>
      </c>
      <c r="D48" s="335">
        <v>37060335.5135279</v>
      </c>
      <c r="E48" s="335">
        <v>43</v>
      </c>
      <c r="F48" s="335">
        <v>3085481.4618897201</v>
      </c>
    </row>
    <row r="49" spans="1:6">
      <c r="A49" s="1286" t="s">
        <v>32</v>
      </c>
      <c r="B49" s="1286" t="s">
        <v>40</v>
      </c>
      <c r="C49" s="335">
        <v>0</v>
      </c>
      <c r="D49" s="335">
        <v>0</v>
      </c>
      <c r="E49" s="335">
        <v>0</v>
      </c>
      <c r="F49" s="335">
        <v>0</v>
      </c>
    </row>
    <row r="50" spans="1:6">
      <c r="A50" s="1286" t="s">
        <v>32</v>
      </c>
      <c r="B50" s="1286" t="s">
        <v>41</v>
      </c>
      <c r="C50" s="335">
        <v>10</v>
      </c>
      <c r="D50" s="335">
        <v>32004739.881655499</v>
      </c>
      <c r="E50" s="335">
        <v>30</v>
      </c>
      <c r="F50" s="335">
        <v>143101551.24174601</v>
      </c>
    </row>
    <row r="51" spans="1:6">
      <c r="A51" s="1286" t="s">
        <v>42</v>
      </c>
      <c r="B51" s="1286" t="s">
        <v>43</v>
      </c>
      <c r="C51" s="335">
        <v>37</v>
      </c>
      <c r="D51" s="335">
        <v>117793094.783123</v>
      </c>
      <c r="E51" s="335">
        <v>302</v>
      </c>
      <c r="F51" s="335">
        <v>9138448.4866693392</v>
      </c>
    </row>
    <row r="52" spans="1:6">
      <c r="A52" s="1286" t="s">
        <v>42</v>
      </c>
      <c r="B52" s="1286" t="s">
        <v>29</v>
      </c>
      <c r="C52" s="335">
        <v>1</v>
      </c>
      <c r="D52" s="335">
        <v>26092.064336111998</v>
      </c>
      <c r="E52" s="335">
        <v>7</v>
      </c>
      <c r="F52" s="335">
        <v>152069.48198875799</v>
      </c>
    </row>
    <row r="53" spans="1:6">
      <c r="A53" s="1286" t="s">
        <v>44</v>
      </c>
      <c r="B53" s="1286" t="s">
        <v>45</v>
      </c>
      <c r="C53" s="335">
        <v>63</v>
      </c>
      <c r="D53" s="335">
        <v>1452310.84048738</v>
      </c>
      <c r="E53" s="335">
        <v>123</v>
      </c>
      <c r="F53" s="335">
        <v>694867.58710448304</v>
      </c>
    </row>
    <row r="54" spans="1:6">
      <c r="A54" s="1286" t="s">
        <v>46</v>
      </c>
      <c r="B54" s="1286" t="s">
        <v>47</v>
      </c>
      <c r="C54" s="335">
        <v>0</v>
      </c>
      <c r="D54" s="335">
        <v>0</v>
      </c>
      <c r="E54" s="335">
        <v>1</v>
      </c>
      <c r="F54" s="335">
        <v>903245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423297.54862245801</v>
      </c>
      <c r="E57" s="335">
        <v>40</v>
      </c>
      <c r="F57" s="335">
        <v>761445.03944814904</v>
      </c>
    </row>
    <row r="58" spans="1:6">
      <c r="A58" s="1286" t="s">
        <v>49</v>
      </c>
      <c r="B58" s="1286" t="s">
        <v>51</v>
      </c>
      <c r="C58" s="335">
        <v>4</v>
      </c>
      <c r="D58" s="335">
        <v>105909.127895417</v>
      </c>
      <c r="E58" s="335">
        <v>11</v>
      </c>
      <c r="F58" s="335">
        <v>69599.434455258801</v>
      </c>
    </row>
    <row r="59" spans="1:6">
      <c r="A59" s="1286" t="s">
        <v>49</v>
      </c>
      <c r="B59" s="1286" t="s">
        <v>52</v>
      </c>
      <c r="C59" s="335">
        <v>32</v>
      </c>
      <c r="D59" s="335">
        <v>1042865.25586053</v>
      </c>
      <c r="E59" s="335">
        <v>104</v>
      </c>
      <c r="F59" s="335">
        <v>3988110.9102619998</v>
      </c>
    </row>
    <row r="60" spans="1:6">
      <c r="A60" s="1286" t="s">
        <v>49</v>
      </c>
      <c r="B60" s="1286" t="s">
        <v>53</v>
      </c>
      <c r="C60" s="335">
        <v>23</v>
      </c>
      <c r="D60" s="335">
        <v>1155268.2782769799</v>
      </c>
      <c r="E60" s="335">
        <v>69</v>
      </c>
      <c r="F60" s="335">
        <v>1126315.09665797</v>
      </c>
    </row>
    <row r="61" spans="1:6">
      <c r="A61" s="1286" t="s">
        <v>49</v>
      </c>
      <c r="B61" s="1286" t="s">
        <v>54</v>
      </c>
      <c r="C61" s="335">
        <v>74</v>
      </c>
      <c r="D61" s="335">
        <v>3728686.2218156802</v>
      </c>
      <c r="E61" s="335">
        <v>131</v>
      </c>
      <c r="F61" s="335">
        <v>1640309.95931965</v>
      </c>
    </row>
    <row r="62" spans="1:6">
      <c r="A62" s="1286" t="s">
        <v>49</v>
      </c>
      <c r="B62" s="1286" t="s">
        <v>55</v>
      </c>
      <c r="C62" s="335">
        <v>6</v>
      </c>
      <c r="D62" s="335">
        <v>710370.30517957197</v>
      </c>
      <c r="E62" s="335">
        <v>8</v>
      </c>
      <c r="F62" s="335">
        <v>79287.609151613593</v>
      </c>
    </row>
    <row r="63" spans="1:6">
      <c r="A63" s="1286" t="s">
        <v>49</v>
      </c>
      <c r="B63" s="1286" t="s">
        <v>29</v>
      </c>
      <c r="C63" s="335">
        <v>73</v>
      </c>
      <c r="D63" s="335">
        <v>28220204.672607802</v>
      </c>
      <c r="E63" s="335">
        <v>86</v>
      </c>
      <c r="F63" s="335">
        <v>1846264.31993019</v>
      </c>
    </row>
    <row r="64" spans="1:6">
      <c r="A64" s="1286" t="s">
        <v>56</v>
      </c>
      <c r="B64" s="1286" t="s">
        <v>57</v>
      </c>
      <c r="C64" s="335">
        <v>0</v>
      </c>
      <c r="D64" s="335">
        <v>0</v>
      </c>
      <c r="E64" s="335">
        <v>0</v>
      </c>
      <c r="F64" s="335">
        <v>0</v>
      </c>
    </row>
    <row r="65" spans="1:6">
      <c r="A65" s="1286" t="s">
        <v>56</v>
      </c>
      <c r="B65" s="1286" t="s">
        <v>29</v>
      </c>
      <c r="C65" s="335">
        <v>2</v>
      </c>
      <c r="D65" s="335">
        <v>47947.715986529503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133935.936353853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38380792</v>
      </c>
      <c r="E73" s="335">
        <v>28664036.39250917</v>
      </c>
    </row>
    <row r="74" spans="1:6">
      <c r="A74" s="1286" t="s">
        <v>64</v>
      </c>
      <c r="B74" s="1286" t="s">
        <v>772</v>
      </c>
      <c r="C74" s="1297" t="s">
        <v>766</v>
      </c>
      <c r="D74" s="335">
        <v>4941251.1005826332</v>
      </c>
      <c r="E74" s="335">
        <v>3724041.2512314063</v>
      </c>
    </row>
    <row r="75" spans="1:6">
      <c r="A75" s="1286" t="s">
        <v>65</v>
      </c>
      <c r="B75" s="1286" t="s">
        <v>771</v>
      </c>
      <c r="C75" s="1297" t="s">
        <v>767</v>
      </c>
      <c r="D75" s="335">
        <v>28437257</v>
      </c>
      <c r="E75" s="335">
        <v>23471949.521994565</v>
      </c>
    </row>
    <row r="76" spans="1:6">
      <c r="A76" s="1286" t="s">
        <v>65</v>
      </c>
      <c r="B76" s="1286" t="s">
        <v>772</v>
      </c>
      <c r="C76" s="1297" t="s">
        <v>768</v>
      </c>
      <c r="D76" s="335">
        <v>2641844.1005826336</v>
      </c>
      <c r="E76" s="335">
        <v>1776446.8589605179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342311.79883473285</v>
      </c>
      <c r="C83" s="335">
        <v>323090.42176104354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3199.581138338338</v>
      </c>
    </row>
    <row r="92" spans="1:6">
      <c r="A92" s="1282" t="s">
        <v>69</v>
      </c>
      <c r="B92" s="338">
        <v>3567.2183079226129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1342</v>
      </c>
    </row>
    <row r="98" spans="1:6">
      <c r="A98" s="1286" t="s">
        <v>72</v>
      </c>
      <c r="B98" s="335">
        <v>2</v>
      </c>
    </row>
    <row r="99" spans="1:6">
      <c r="A99" s="1286" t="s">
        <v>73</v>
      </c>
      <c r="B99" s="335">
        <v>211</v>
      </c>
    </row>
    <row r="100" spans="1:6">
      <c r="A100" s="1286" t="s">
        <v>74</v>
      </c>
      <c r="B100" s="335">
        <v>301</v>
      </c>
    </row>
    <row r="101" spans="1:6">
      <c r="A101" s="1286" t="s">
        <v>75</v>
      </c>
      <c r="B101" s="335">
        <v>150</v>
      </c>
    </row>
    <row r="102" spans="1:6">
      <c r="A102" s="1286" t="s">
        <v>76</v>
      </c>
      <c r="B102" s="335">
        <v>64</v>
      </c>
    </row>
    <row r="103" spans="1:6">
      <c r="A103" s="1286" t="s">
        <v>77</v>
      </c>
      <c r="B103" s="335">
        <v>162</v>
      </c>
    </row>
    <row r="104" spans="1:6">
      <c r="A104" s="1286" t="s">
        <v>78</v>
      </c>
      <c r="B104" s="335">
        <v>1769</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191691.10600148526</v>
      </c>
      <c r="C3" s="44" t="s">
        <v>170</v>
      </c>
      <c r="D3" s="44"/>
      <c r="E3" s="157"/>
      <c r="F3" s="44"/>
      <c r="G3" s="44"/>
      <c r="H3" s="44"/>
      <c r="I3" s="44"/>
      <c r="J3" s="44"/>
      <c r="K3" s="97"/>
    </row>
    <row r="4" spans="1:11">
      <c r="A4" s="365" t="s">
        <v>171</v>
      </c>
      <c r="B4" s="50">
        <f>IF(ISERROR('SEAP template'!B78+'SEAP template'!C78),0,'SEAP template'!B78+'SEAP template'!C78)</f>
        <v>43797.299446260949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8488.9905882352941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0.2147909868944094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12127.129411764707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52900.714285714283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0.22924320730844291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903.245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903.245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0.2147909868944094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194.00888495744081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16677.202921479402</v>
      </c>
      <c r="C5" s="18">
        <f>IF(ISERROR('Eigen informatie GS &amp; warmtenet'!B57),0,'Eigen informatie GS &amp; warmtenet'!B57)</f>
        <v>0</v>
      </c>
      <c r="D5" s="31">
        <f>(SUM(HH_hh_gas_kWh,HH_rest_gas_kWh)/1000)*0.902</f>
        <v>32404.571475187968</v>
      </c>
      <c r="E5" s="18">
        <f>B46*B57</f>
        <v>7424.0466389140956</v>
      </c>
      <c r="F5" s="18">
        <f>B51*B62</f>
        <v>22039.580809379804</v>
      </c>
      <c r="G5" s="19"/>
      <c r="H5" s="18"/>
      <c r="I5" s="18"/>
      <c r="J5" s="18">
        <f>B50*B61+C50*C61</f>
        <v>2824.3531845251528</v>
      </c>
      <c r="K5" s="18"/>
      <c r="L5" s="18"/>
      <c r="M5" s="18"/>
      <c r="N5" s="18">
        <f>B48*B59+C48*C59</f>
        <v>17139.743952107579</v>
      </c>
      <c r="O5" s="18">
        <f>B69*B70*B71</f>
        <v>156.33333333333334</v>
      </c>
      <c r="P5" s="18">
        <f>B77*B78*B79/1000-B77*B78*B79/1000/B80</f>
        <v>76.266666666666666</v>
      </c>
    </row>
    <row r="6" spans="1:16">
      <c r="A6" s="17" t="s">
        <v>639</v>
      </c>
      <c r="B6" s="780">
        <f>kWh_PV_kleiner_dan_10kW</f>
        <v>3199.581138338338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19876.784059817739</v>
      </c>
      <c r="C8" s="22">
        <f>C5</f>
        <v>0</v>
      </c>
      <c r="D8" s="22">
        <f>D5</f>
        <v>32404.571475187968</v>
      </c>
      <c r="E8" s="22">
        <f>E5</f>
        <v>7424.0466389140956</v>
      </c>
      <c r="F8" s="22">
        <f>F5</f>
        <v>22039.580809379804</v>
      </c>
      <c r="G8" s="22"/>
      <c r="H8" s="22"/>
      <c r="I8" s="22"/>
      <c r="J8" s="22">
        <f>J5</f>
        <v>2824.3531845251528</v>
      </c>
      <c r="K8" s="22"/>
      <c r="L8" s="22">
        <f>L5</f>
        <v>0</v>
      </c>
      <c r="M8" s="22">
        <f>M5</f>
        <v>0</v>
      </c>
      <c r="N8" s="22">
        <f>N5</f>
        <v>17139.743952107579</v>
      </c>
      <c r="O8" s="22">
        <f>O5</f>
        <v>156.33333333333334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0.2147909868944094</v>
      </c>
      <c r="C10" s="26">
        <f ca="1">'EF ele_warmte'!B22</f>
        <v>0.22924320730844291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4269.3540644953173</v>
      </c>
      <c r="C12" s="24">
        <f ca="1">C10*C8</f>
        <v>0</v>
      </c>
      <c r="D12" s="24">
        <f>D8*D10</f>
        <v>6545.7234379879701</v>
      </c>
      <c r="E12" s="24">
        <f>E10*E8</f>
        <v>1685.2585870334997</v>
      </c>
      <c r="F12" s="24">
        <f>F10*F8</f>
        <v>5884.5680761044077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1342</v>
      </c>
      <c r="C18" s="169" t="s">
        <v>111</v>
      </c>
      <c r="D18" s="231"/>
      <c r="E18" s="16"/>
    </row>
    <row r="19" spans="1:7">
      <c r="A19" s="174" t="s">
        <v>72</v>
      </c>
      <c r="B19" s="38">
        <f>aantalw2001_ander</f>
        <v>2</v>
      </c>
      <c r="C19" s="169" t="s">
        <v>111</v>
      </c>
      <c r="D19" s="232"/>
      <c r="E19" s="16"/>
    </row>
    <row r="20" spans="1:7">
      <c r="A20" s="174" t="s">
        <v>73</v>
      </c>
      <c r="B20" s="38">
        <f>aantalw2001_propaan</f>
        <v>211</v>
      </c>
      <c r="C20" s="170">
        <f>IF(ISERROR(B20/SUM($B$20,$B$21,$B$22)*100),0,B20/SUM($B$20,$B$21,$B$22)*100)</f>
        <v>31.873111782477341</v>
      </c>
      <c r="D20" s="232"/>
      <c r="E20" s="16"/>
    </row>
    <row r="21" spans="1:7">
      <c r="A21" s="174" t="s">
        <v>74</v>
      </c>
      <c r="B21" s="38">
        <f>aantalw2001_elektriciteit</f>
        <v>301</v>
      </c>
      <c r="C21" s="170">
        <f>IF(ISERROR(B21/SUM($B$20,$B$21,$B$22)*100),0,B21/SUM($B$20,$B$21,$B$22)*100)</f>
        <v>45.468277945619334</v>
      </c>
      <c r="D21" s="232"/>
      <c r="E21" s="16"/>
    </row>
    <row r="22" spans="1:7">
      <c r="A22" s="174" t="s">
        <v>75</v>
      </c>
      <c r="B22" s="38">
        <f>aantalw2001_hout</f>
        <v>150</v>
      </c>
      <c r="C22" s="170">
        <f>IF(ISERROR(B22/SUM($B$20,$B$21,$B$22)*100),0,B22/SUM($B$20,$B$21,$B$22)*100)</f>
        <v>22.658610271903324</v>
      </c>
      <c r="D22" s="232"/>
      <c r="E22" s="16"/>
    </row>
    <row r="23" spans="1:7">
      <c r="A23" s="174" t="s">
        <v>76</v>
      </c>
      <c r="B23" s="38">
        <f>aantalw2001_niet_gespec</f>
        <v>64</v>
      </c>
      <c r="C23" s="169" t="s">
        <v>111</v>
      </c>
      <c r="D23" s="231"/>
      <c r="E23" s="16"/>
    </row>
    <row r="24" spans="1:7">
      <c r="A24" s="174" t="s">
        <v>77</v>
      </c>
      <c r="B24" s="38">
        <f>aantalw2001_steenkool</f>
        <v>162</v>
      </c>
      <c r="C24" s="169" t="s">
        <v>111</v>
      </c>
      <c r="D24" s="232"/>
      <c r="E24" s="16"/>
    </row>
    <row r="25" spans="1:7">
      <c r="A25" s="174" t="s">
        <v>78</v>
      </c>
      <c r="B25" s="38">
        <f>aantalw2001_stookolie</f>
        <v>1769</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4334</v>
      </c>
      <c r="C28" s="37"/>
      <c r="D28" s="231"/>
    </row>
    <row r="29" spans="1:7" s="16" customFormat="1">
      <c r="A29" s="233" t="s">
        <v>666</v>
      </c>
      <c r="B29" s="38">
        <f>SUM(HH_hh_gas_aantal,HH_rest_gas_aantal)</f>
        <v>2067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2067</v>
      </c>
      <c r="C32" s="170">
        <f>IF(ISERROR(B32/SUM($B$32,$B$34,$B$35,$B$36,$B$38,$B$39)*100),0,B32/SUM($B$32,$B$34,$B$35,$B$36,$B$38,$B$39)*100)</f>
        <v>47.736720554272516</v>
      </c>
      <c r="D32" s="236"/>
      <c r="G32" s="16"/>
    </row>
    <row r="33" spans="1:7">
      <c r="A33" s="174" t="s">
        <v>72</v>
      </c>
      <c r="B33" s="35" t="s">
        <v>111</v>
      </c>
      <c r="C33" s="170"/>
      <c r="D33" s="236"/>
      <c r="G33" s="16"/>
    </row>
    <row r="34" spans="1:7">
      <c r="A34" s="174" t="s">
        <v>73</v>
      </c>
      <c r="B34" s="34">
        <f>IF((($B$28-$B$32-$B$39-$B$77-$B$38)*C20/100)&lt;0,0,($B$28-$B$32-$B$39-$B$77-$B$38)*C20/100)</f>
        <v>336.89879154078551</v>
      </c>
      <c r="C34" s="170">
        <f>IF(ISERROR(B34/SUM($B$32,$B$34,$B$35,$B$36,$B$38,$B$39)*100),0,B34/SUM($B$32,$B$34,$B$35,$B$36,$B$38,$B$39)*100)</f>
        <v>7.7805725529049772</v>
      </c>
      <c r="D34" s="236"/>
      <c r="G34" s="16"/>
    </row>
    <row r="35" spans="1:7">
      <c r="A35" s="174" t="s">
        <v>74</v>
      </c>
      <c r="B35" s="34">
        <f>IF((($B$28-$B$32-$B$39-$B$77-$B$38)*C21/100)&lt;0,0,($B$28-$B$32-$B$39-$B$77-$B$38)*C21/100)</f>
        <v>480.59969788519635</v>
      </c>
      <c r="C35" s="170">
        <f>IF(ISERROR(B35/SUM($B$32,$B$34,$B$35,$B$36,$B$38,$B$39)*100),0,B35/SUM($B$32,$B$34,$B$35,$B$36,$B$38,$B$39)*100)</f>
        <v>11.099300182106152</v>
      </c>
      <c r="D35" s="236"/>
      <c r="G35" s="16"/>
    </row>
    <row r="36" spans="1:7">
      <c r="A36" s="174" t="s">
        <v>75</v>
      </c>
      <c r="B36" s="34">
        <f>IF((($B$28-$B$32-$B$39-$B$77-$B$38)*C22/100)&lt;0,0,($B$28-$B$32-$B$39-$B$77-$B$38)*C22/100)</f>
        <v>239.50151057401814</v>
      </c>
      <c r="C36" s="170">
        <f>IF(ISERROR(B36/SUM($B$32,$B$34,$B$35,$B$36,$B$38,$B$39)*100),0,B36/SUM($B$32,$B$34,$B$35,$B$36,$B$38,$B$39)*100)</f>
        <v>5.5312127153352915</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2.066974595842956</v>
      </c>
      <c r="D38" s="237"/>
      <c r="G38" s="16"/>
    </row>
    <row r="39" spans="1:7">
      <c r="A39" s="174" t="s">
        <v>78</v>
      </c>
      <c r="B39" s="34">
        <f>IF((B25-(B29-B18))&lt;0,0,B25-(B29-B18)*0.9)</f>
        <v>1116.5</v>
      </c>
      <c r="C39" s="170">
        <f>IF(ISERROR(B39/SUM($B$32,$B$34,$B$35,$B$36,$B$38,$B$39)*100),0,B39/SUM($B$32,$B$34,$B$35,$B$36,$B$38,$B$39)*100)</f>
        <v>25.785219399538107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2067</v>
      </c>
      <c r="C44" s="35" t="s">
        <v>111</v>
      </c>
      <c r="D44" s="177"/>
    </row>
    <row r="45" spans="1:7">
      <c r="A45" s="174" t="s">
        <v>72</v>
      </c>
      <c r="B45" s="34" t="str">
        <f t="shared" si="0"/>
        <v>-</v>
      </c>
      <c r="C45" s="35" t="s">
        <v>111</v>
      </c>
      <c r="D45" s="177"/>
    </row>
    <row r="46" spans="1:7">
      <c r="A46" s="174" t="s">
        <v>73</v>
      </c>
      <c r="B46" s="34">
        <f t="shared" si="0"/>
        <v>336.89879154078551</v>
      </c>
      <c r="C46" s="35" t="s">
        <v>111</v>
      </c>
      <c r="D46" s="177"/>
    </row>
    <row r="47" spans="1:7">
      <c r="A47" s="174" t="s">
        <v>74</v>
      </c>
      <c r="B47" s="34">
        <f t="shared" si="0"/>
        <v>480.59969788519635</v>
      </c>
      <c r="C47" s="35" t="s">
        <v>111</v>
      </c>
      <c r="D47" s="177"/>
    </row>
    <row r="48" spans="1:7">
      <c r="A48" s="174" t="s">
        <v>75</v>
      </c>
      <c r="B48" s="34">
        <f t="shared" si="0"/>
        <v>239.50151057401814</v>
      </c>
      <c r="C48" s="34">
        <f>B48*10</f>
        <v>2395.0151057401813</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1116.5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9511.3323692248305</v>
      </c>
      <c r="C5" s="18">
        <f>IF(ISERROR('Eigen informatie GS &amp; warmtenet'!B58),0,'Eigen informatie GS &amp; warmtenet'!B58)</f>
        <v>0</v>
      </c>
      <c r="D5" s="31">
        <f>SUM(D6:D12)</f>
        <v>31918.714472053114</v>
      </c>
      <c r="E5" s="18">
        <f>SUM(E6:E12)</f>
        <v>104.91572927774237</v>
      </c>
      <c r="F5" s="18">
        <f>SUM(F6:F12)</f>
        <v>1908.8451299460678</v>
      </c>
      <c r="G5" s="19"/>
      <c r="H5" s="18"/>
      <c r="I5" s="18"/>
      <c r="J5" s="18">
        <f>SUM(J6:J12)</f>
        <v>0</v>
      </c>
      <c r="K5" s="18"/>
      <c r="L5" s="18"/>
      <c r="M5" s="18"/>
      <c r="N5" s="18">
        <f>SUM(N6:N12)</f>
        <v>581.82679120650209</v>
      </c>
      <c r="O5" s="18">
        <f>B38*B39*B40</f>
        <v>0</v>
      </c>
      <c r="P5" s="18">
        <f>B46*B47*B48/1000-B46*B47*B48/1000/B49</f>
        <v>0</v>
      </c>
      <c r="R5" s="33"/>
    </row>
    <row r="6" spans="1:18">
      <c r="A6" s="33" t="s">
        <v>54</v>
      </c>
      <c r="B6" s="38">
        <f>B26</f>
        <v>1640.30995931965</v>
      </c>
      <c r="C6" s="34"/>
      <c r="D6" s="38">
        <f>IF(ISERROR(TER_kantoor_gas_kWh/1000),0,TER_kantoor_gas_kWh/1000)*0.902</f>
        <v>3363.2749720777438</v>
      </c>
      <c r="E6" s="34">
        <f>$C$26*'E Balans VL '!I12/100/3.6*1000000</f>
        <v>2.6920810944571403</v>
      </c>
      <c r="F6" s="34">
        <f>$C$26*('E Balans VL '!L12+'E Balans VL '!N12)/100/3.6*1000000</f>
        <v>193.35394980629508</v>
      </c>
      <c r="G6" s="35"/>
      <c r="H6" s="34"/>
      <c r="I6" s="34"/>
      <c r="J6" s="34">
        <f>$C$26*('E Balans VL '!D12+'E Balans VL '!E12)/100/3.6*1000000</f>
        <v>0</v>
      </c>
      <c r="K6" s="34"/>
      <c r="L6" s="34"/>
      <c r="M6" s="34"/>
      <c r="N6" s="34">
        <f>$C$26*'E Balans VL '!Y12/100/3.6*1000000</f>
        <v>0.33141685977697266</v>
      </c>
      <c r="O6" s="34"/>
      <c r="P6" s="34"/>
      <c r="R6" s="33"/>
    </row>
    <row r="7" spans="1:18">
      <c r="A7" s="33" t="s">
        <v>53</v>
      </c>
      <c r="B7" s="38">
        <f t="shared" ref="B7:B12" si="0">B27</f>
        <v>1126.3150966579699</v>
      </c>
      <c r="C7" s="34"/>
      <c r="D7" s="38">
        <f>IF(ISERROR(TER_horeca_gas_kWh/1000),0,TER_horeca_gas_kWh/1000)*0.902</f>
        <v>1042.0519870058361</v>
      </c>
      <c r="E7" s="34">
        <f>$C$27*'E Balans VL '!I9/100/3.6*1000000</f>
        <v>58.447603326101635</v>
      </c>
      <c r="F7" s="34">
        <f>$C$27*('E Balans VL '!L9+'E Balans VL '!N9)/100/3.6*1000000</f>
        <v>257.0259223156333</v>
      </c>
      <c r="G7" s="35"/>
      <c r="H7" s="34"/>
      <c r="I7" s="34"/>
      <c r="J7" s="34">
        <f>$C$27*('E Balans VL '!D9+'E Balans VL '!E9)/100/3.6*1000000</f>
        <v>0</v>
      </c>
      <c r="K7" s="34"/>
      <c r="L7" s="34"/>
      <c r="M7" s="34"/>
      <c r="N7" s="34">
        <f>$C$27*'E Balans VL '!Y9/100/3.6*1000000</f>
        <v>0.11893835805067</v>
      </c>
      <c r="O7" s="34"/>
      <c r="P7" s="34"/>
      <c r="R7" s="33"/>
    </row>
    <row r="8" spans="1:18">
      <c r="A8" s="6" t="s">
        <v>52</v>
      </c>
      <c r="B8" s="38">
        <f t="shared" si="0"/>
        <v>3988.1109102619998</v>
      </c>
      <c r="C8" s="34"/>
      <c r="D8" s="38">
        <f>IF(ISERROR(TER_handel_gas_kWh/1000),0,TER_handel_gas_kWh/1000)*0.902</f>
        <v>940.66446078619799</v>
      </c>
      <c r="E8" s="34">
        <f>$C$28*'E Balans VL '!I13/100/3.6*1000000</f>
        <v>21.476467325455683</v>
      </c>
      <c r="F8" s="34">
        <f>$C$28*('E Balans VL '!L13+'E Balans VL '!N13)/100/3.6*1000000</f>
        <v>813.29433058432403</v>
      </c>
      <c r="G8" s="35"/>
      <c r="H8" s="34"/>
      <c r="I8" s="34"/>
      <c r="J8" s="34">
        <f>$C$28*('E Balans VL '!D13+'E Balans VL '!E13)/100/3.6*1000000</f>
        <v>0</v>
      </c>
      <c r="K8" s="34"/>
      <c r="L8" s="34"/>
      <c r="M8" s="34"/>
      <c r="N8" s="34">
        <f>$C$28*'E Balans VL '!Y13/100/3.6*1000000</f>
        <v>19.830769495701091</v>
      </c>
      <c r="O8" s="34"/>
      <c r="P8" s="34"/>
      <c r="R8" s="33"/>
    </row>
    <row r="9" spans="1:18">
      <c r="A9" s="33" t="s">
        <v>51</v>
      </c>
      <c r="B9" s="38">
        <f t="shared" si="0"/>
        <v>69.599434455258802</v>
      </c>
      <c r="C9" s="34"/>
      <c r="D9" s="38">
        <f>IF(ISERROR(TER_gezond_gas_kWh/1000),0,TER_gezond_gas_kWh/1000)*0.902</f>
        <v>95.530033361666142</v>
      </c>
      <c r="E9" s="34">
        <f>$C$29*'E Balans VL '!I10/100/3.6*1000000</f>
        <v>6.897383102665447E-2</v>
      </c>
      <c r="F9" s="34">
        <f>$C$29*('E Balans VL '!L10+'E Balans VL '!N10)/100/3.6*1000000</f>
        <v>24.148997629240395</v>
      </c>
      <c r="G9" s="35"/>
      <c r="H9" s="34"/>
      <c r="I9" s="34"/>
      <c r="J9" s="34">
        <f>$C$29*('E Balans VL '!D10+'E Balans VL '!E10)/100/3.6*1000000</f>
        <v>0</v>
      </c>
      <c r="K9" s="34"/>
      <c r="L9" s="34"/>
      <c r="M9" s="34"/>
      <c r="N9" s="34">
        <f>$C$29*'E Balans VL '!Y10/100/3.6*1000000</f>
        <v>0.59973229733086497</v>
      </c>
      <c r="O9" s="34"/>
      <c r="P9" s="34"/>
      <c r="R9" s="33"/>
    </row>
    <row r="10" spans="1:18">
      <c r="A10" s="33" t="s">
        <v>50</v>
      </c>
      <c r="B10" s="38">
        <f t="shared" si="0"/>
        <v>761.44503944814903</v>
      </c>
      <c r="C10" s="34"/>
      <c r="D10" s="38">
        <f>IF(ISERROR(TER_ander_gas_kWh/1000),0,TER_ander_gas_kWh/1000)*0.902</f>
        <v>381.81438885745712</v>
      </c>
      <c r="E10" s="34">
        <f>$C$30*'E Balans VL '!I14/100/3.6*1000000</f>
        <v>6.2293814328052912</v>
      </c>
      <c r="F10" s="34">
        <f>$C$30*('E Balans VL '!L14+'E Balans VL '!N14)/100/3.6*1000000</f>
        <v>222.61552982318332</v>
      </c>
      <c r="G10" s="35"/>
      <c r="H10" s="34"/>
      <c r="I10" s="34"/>
      <c r="J10" s="34">
        <f>$C$30*('E Balans VL '!D14+'E Balans VL '!E14)/100/3.6*1000000</f>
        <v>0</v>
      </c>
      <c r="K10" s="34"/>
      <c r="L10" s="34"/>
      <c r="M10" s="34"/>
      <c r="N10" s="34">
        <f>$C$30*'E Balans VL '!Y14/100/3.6*1000000</f>
        <v>439.25387773056525</v>
      </c>
      <c r="O10" s="34"/>
      <c r="P10" s="34"/>
      <c r="R10" s="33"/>
    </row>
    <row r="11" spans="1:18">
      <c r="A11" s="33" t="s">
        <v>55</v>
      </c>
      <c r="B11" s="38">
        <f t="shared" si="0"/>
        <v>79.287609151613594</v>
      </c>
      <c r="C11" s="34"/>
      <c r="D11" s="38">
        <f>IF(ISERROR(TER_onderwijs_gas_kWh/1000),0,TER_onderwijs_gas_kWh/1000)*0.902</f>
        <v>640.75401527197391</v>
      </c>
      <c r="E11" s="34">
        <f>$C$31*'E Balans VL '!I11/100/3.6*1000000</f>
        <v>4.8869536804679536E-2</v>
      </c>
      <c r="F11" s="34">
        <f>$C$31*('E Balans VL '!L11+'E Balans VL '!N11)/100/3.6*1000000</f>
        <v>30.653873734624785</v>
      </c>
      <c r="G11" s="35"/>
      <c r="H11" s="34"/>
      <c r="I11" s="34"/>
      <c r="J11" s="34">
        <f>$C$31*('E Balans VL '!D11+'E Balans VL '!E11)/100/3.6*1000000</f>
        <v>0</v>
      </c>
      <c r="K11" s="34"/>
      <c r="L11" s="34"/>
      <c r="M11" s="34"/>
      <c r="N11" s="34">
        <f>$C$31*'E Balans VL '!Y11/100/3.6*1000000</f>
        <v>0.25790560159833958</v>
      </c>
      <c r="O11" s="34"/>
      <c r="P11" s="34"/>
      <c r="R11" s="33"/>
    </row>
    <row r="12" spans="1:18">
      <c r="A12" s="33" t="s">
        <v>260</v>
      </c>
      <c r="B12" s="38">
        <f t="shared" si="0"/>
        <v>1846.2643199301899</v>
      </c>
      <c r="C12" s="34"/>
      <c r="D12" s="38">
        <f>IF(ISERROR(TER_rest_gas_kWh/1000),0,TER_rest_gas_kWh/1000)*0.902</f>
        <v>25454.624614692239</v>
      </c>
      <c r="E12" s="34">
        <f>$C$32*'E Balans VL '!I8/100/3.6*1000000</f>
        <v>15.952352731091299</v>
      </c>
      <c r="F12" s="34">
        <f>$C$32*('E Balans VL '!L8+'E Balans VL '!N8)/100/3.6*1000000</f>
        <v>367.75252605276705</v>
      </c>
      <c r="G12" s="35"/>
      <c r="H12" s="34"/>
      <c r="I12" s="34"/>
      <c r="J12" s="34">
        <f>$C$32*('E Balans VL '!D8+'E Balans VL '!E8)/100/3.6*1000000</f>
        <v>0</v>
      </c>
      <c r="K12" s="34"/>
      <c r="L12" s="34"/>
      <c r="M12" s="34"/>
      <c r="N12" s="34">
        <f>$C$32*'E Balans VL '!Y8/100/3.6*1000000</f>
        <v>121.43415086347888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9511.3323692248305</v>
      </c>
      <c r="C16" s="22">
        <f t="shared" ca="1" si="1"/>
        <v>0</v>
      </c>
      <c r="D16" s="22">
        <f t="shared" ca="1" si="1"/>
        <v>31918.714472053114</v>
      </c>
      <c r="E16" s="22">
        <f t="shared" si="1"/>
        <v>104.91572927774237</v>
      </c>
      <c r="F16" s="22">
        <f t="shared" ca="1" si="1"/>
        <v>1908.8451299460678</v>
      </c>
      <c r="G16" s="22">
        <f t="shared" si="1"/>
        <v>0</v>
      </c>
      <c r="H16" s="22">
        <f t="shared" si="1"/>
        <v>0</v>
      </c>
      <c r="I16" s="22">
        <f t="shared" si="1"/>
        <v>0</v>
      </c>
      <c r="J16" s="22">
        <f t="shared" si="1"/>
        <v>0</v>
      </c>
      <c r="K16" s="22">
        <f t="shared" si="1"/>
        <v>0</v>
      </c>
      <c r="L16" s="22">
        <f t="shared" ca="1" si="1"/>
        <v>0</v>
      </c>
      <c r="M16" s="22">
        <f t="shared" si="1"/>
        <v>0</v>
      </c>
      <c r="N16" s="22">
        <f t="shared" ca="1" si="1"/>
        <v>581.82679120650209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0.2147909868944094</v>
      </c>
      <c r="C18" s="26">
        <f ca="1">'EF ele_warmte'!B22</f>
        <v>0.22924320730844291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2042.9484662665425</v>
      </c>
      <c r="C20" s="24">
        <f t="shared" ref="C20:P20" ca="1" si="2">C16*C18</f>
        <v>0</v>
      </c>
      <c r="D20" s="24">
        <f t="shared" ca="1" si="2"/>
        <v>6447.5803233547294</v>
      </c>
      <c r="E20" s="24">
        <f t="shared" si="2"/>
        <v>23.81587054604752</v>
      </c>
      <c r="F20" s="24">
        <f t="shared" ca="1" si="2"/>
        <v>509.66164969560015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1640.30995931965</v>
      </c>
      <c r="C26" s="40">
        <f>IF(ISERROR(B26*3.6/1000000/'E Balans VL '!Z12*100),0,B26*3.6/1000000/'E Balans VL '!Z12*100)</f>
        <v>3.4855410318349447E-2</v>
      </c>
      <c r="D26" s="240" t="s">
        <v>707</v>
      </c>
      <c r="F26" s="6"/>
    </row>
    <row r="27" spans="1:18">
      <c r="A27" s="234" t="s">
        <v>53</v>
      </c>
      <c r="B27" s="34">
        <f>IF(ISERROR(TER_horeca_ele_kWh/1000),0,TER_horeca_ele_kWh/1000)</f>
        <v>1126.3150966579699</v>
      </c>
      <c r="C27" s="40">
        <f>IF(ISERROR(B27*3.6/1000000/'E Balans VL '!Z9*100),0,B27*3.6/1000000/'E Balans VL '!Z9*100)</f>
        <v>8.8649707863853427E-2</v>
      </c>
      <c r="D27" s="240" t="s">
        <v>707</v>
      </c>
      <c r="F27" s="6"/>
    </row>
    <row r="28" spans="1:18">
      <c r="A28" s="174" t="s">
        <v>52</v>
      </c>
      <c r="B28" s="34">
        <f>IF(ISERROR(TER_handel_ele_kWh/1000),0,TER_handel_ele_kWh/1000)</f>
        <v>3988.1109102619998</v>
      </c>
      <c r="C28" s="40">
        <f>IF(ISERROR(B28*3.6/1000000/'E Balans VL '!Z13*100),0,B28*3.6/1000000/'E Balans VL '!Z13*100)</f>
        <v>0.11170912094913418</v>
      </c>
      <c r="D28" s="240" t="s">
        <v>707</v>
      </c>
      <c r="F28" s="6"/>
    </row>
    <row r="29" spans="1:18">
      <c r="A29" s="234" t="s">
        <v>51</v>
      </c>
      <c r="B29" s="34">
        <f>IF(ISERROR(TER_gezond_ele_kWh/1000),0,TER_gezond_ele_kWh/1000)</f>
        <v>69.599434455258802</v>
      </c>
      <c r="C29" s="40">
        <f>IF(ISERROR(B29*3.6/1000000/'E Balans VL '!Z10*100),0,B29*3.6/1000000/'E Balans VL '!Z10*100)</f>
        <v>8.9038722689639572E-3</v>
      </c>
      <c r="D29" s="240" t="s">
        <v>707</v>
      </c>
      <c r="F29" s="6"/>
    </row>
    <row r="30" spans="1:18">
      <c r="A30" s="234" t="s">
        <v>50</v>
      </c>
      <c r="B30" s="34">
        <f>IF(ISERROR(TER_ander_ele_kWh/1000),0,TER_ander_ele_kWh/1000)</f>
        <v>761.44503944814903</v>
      </c>
      <c r="C30" s="40">
        <f>IF(ISERROR(B30*3.6/1000000/'E Balans VL '!Z14*100),0,B30*3.6/1000000/'E Balans VL '!Z14*100)</f>
        <v>5.694967290273785E-2</v>
      </c>
      <c r="D30" s="240" t="s">
        <v>707</v>
      </c>
      <c r="F30" s="6"/>
    </row>
    <row r="31" spans="1:18">
      <c r="A31" s="234" t="s">
        <v>55</v>
      </c>
      <c r="B31" s="34">
        <f>IF(ISERROR(TER_onderwijs_ele_kWh/1000),0,TER_onderwijs_ele_kWh/1000)</f>
        <v>79.287609151613594</v>
      </c>
      <c r="C31" s="40">
        <f>IF(ISERROR(B31*3.6/1000000/'E Balans VL '!Z11*100),0,B31*3.6/1000000/'E Balans VL '!Z11*100)</f>
        <v>1.6741681376068782E-2</v>
      </c>
      <c r="D31" s="240" t="s">
        <v>707</v>
      </c>
    </row>
    <row r="32" spans="1:18">
      <c r="A32" s="234" t="s">
        <v>260</v>
      </c>
      <c r="B32" s="34">
        <f>IF(ISERROR(TER_rest_ele_kWh/1000),0,TER_rest_ele_kWh/1000)</f>
        <v>1846.2643199301899</v>
      </c>
      <c r="C32" s="40">
        <f>IF(ISERROR(B32*3.6/1000000/'E Balans VL '!Z8*100),0,B32*3.6/1000000/'E Balans VL '!Z8*100)</f>
        <v>1.5209400042430068E-2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150103.45316301359</v>
      </c>
      <c r="C5" s="18">
        <f>IF(ISERROR('Eigen informatie GS &amp; warmtenet'!B59),0,'Eigen informatie GS &amp; warmtenet'!B59)</f>
        <v>0</v>
      </c>
      <c r="D5" s="31">
        <f>SUM(D6:D15)</f>
        <v>64293.566154885826</v>
      </c>
      <c r="E5" s="18">
        <f>SUM(E6:E15)</f>
        <v>1464.4824694858346</v>
      </c>
      <c r="F5" s="18">
        <f>SUM(F6:F15)</f>
        <v>19026.644615090463</v>
      </c>
      <c r="G5" s="19"/>
      <c r="H5" s="18"/>
      <c r="I5" s="18"/>
      <c r="J5" s="18">
        <f>SUM(J6:J15)</f>
        <v>28.400901950558129</v>
      </c>
      <c r="K5" s="18"/>
      <c r="L5" s="18"/>
      <c r="M5" s="18"/>
      <c r="N5" s="18">
        <f>SUM(N6:N15)</f>
        <v>2505.0489451175572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733.91275172350902</v>
      </c>
      <c r="C8" s="34"/>
      <c r="D8" s="38">
        <f>IF( ISERROR(IND_metaal_Gas_kWH/1000),0,IND_metaal_Gas_kWH/1000)*0.902</f>
        <v>98.576645258315736</v>
      </c>
      <c r="E8" s="34">
        <f>C30*'E Balans VL '!I18/100/3.6*1000000</f>
        <v>6.6836111698010594</v>
      </c>
      <c r="F8" s="34">
        <f>C30*'E Balans VL '!L18/100/3.6*1000000+C30*'E Balans VL '!N18/100/3.6*1000000</f>
        <v>96.797518523167582</v>
      </c>
      <c r="G8" s="35"/>
      <c r="H8" s="34"/>
      <c r="I8" s="34"/>
      <c r="J8" s="41">
        <f>C30*'E Balans VL '!D18/100/3.6*1000000+C30*'E Balans VL '!E18/100/3.6*1000000</f>
        <v>12.035103525321256</v>
      </c>
      <c r="K8" s="34"/>
      <c r="L8" s="34"/>
      <c r="M8" s="34"/>
      <c r="N8" s="34">
        <f>C30*'E Balans VL '!Y18/100/3.6*1000000</f>
        <v>2.5221665815809504</v>
      </c>
      <c r="O8" s="34"/>
      <c r="P8" s="34"/>
      <c r="R8" s="33"/>
    </row>
    <row r="9" spans="1:18">
      <c r="A9" s="6" t="s">
        <v>33</v>
      </c>
      <c r="B9" s="38">
        <f t="shared" si="0"/>
        <v>3019.3015873673598</v>
      </c>
      <c r="C9" s="34"/>
      <c r="D9" s="38">
        <f>IF( ISERROR(IND_andere_gas_kWh/1000),0,IND_andere_gas_kWh/1000)*0.902</f>
        <v>1898.2915031720825</v>
      </c>
      <c r="E9" s="34">
        <f>C31*'E Balans VL '!I19/100/3.6*1000000</f>
        <v>17.452014372285699</v>
      </c>
      <c r="F9" s="34">
        <f>C31*'E Balans VL '!L19/100/3.6*1000000+C31*'E Balans VL '!N19/100/3.6*1000000</f>
        <v>2401.9996957940575</v>
      </c>
      <c r="G9" s="35"/>
      <c r="H9" s="34"/>
      <c r="I9" s="34"/>
      <c r="J9" s="41">
        <f>C31*'E Balans VL '!D19/100/3.6*1000000+C31*'E Balans VL '!E19/100/3.6*1000000</f>
        <v>0.28559239271282783</v>
      </c>
      <c r="K9" s="34"/>
      <c r="L9" s="34"/>
      <c r="M9" s="34"/>
      <c r="N9" s="34">
        <f>C31*'E Balans VL '!Y19/100/3.6*1000000</f>
        <v>228.75778726168105</v>
      </c>
      <c r="O9" s="34"/>
      <c r="P9" s="34"/>
      <c r="R9" s="33"/>
    </row>
    <row r="10" spans="1:18">
      <c r="A10" s="6" t="s">
        <v>41</v>
      </c>
      <c r="B10" s="38">
        <f t="shared" si="0"/>
        <v>143101.551241746</v>
      </c>
      <c r="C10" s="34"/>
      <c r="D10" s="38">
        <f>IF( ISERROR(IND_voed_gas_kWh/1000),0,IND_voed_gas_kWh/1000)*0.902</f>
        <v>28868.275373253262</v>
      </c>
      <c r="E10" s="34">
        <f>C32*'E Balans VL '!I20/100/3.6*1000000</f>
        <v>1407.0626240177812</v>
      </c>
      <c r="F10" s="34">
        <f>C32*'E Balans VL '!L20/100/3.6*1000000+C32*'E Balans VL '!N20/100/3.6*1000000</f>
        <v>15893.295119056133</v>
      </c>
      <c r="G10" s="35"/>
      <c r="H10" s="34"/>
      <c r="I10" s="34"/>
      <c r="J10" s="41">
        <f>C32*'E Balans VL '!D20/100/3.6*1000000+C32*'E Balans VL '!E20/100/3.6*1000000</f>
        <v>0.56402817763893942</v>
      </c>
      <c r="K10" s="34"/>
      <c r="L10" s="34"/>
      <c r="M10" s="34"/>
      <c r="N10" s="34">
        <f>C32*'E Balans VL '!Y20/100/3.6*1000000</f>
        <v>2118.9973635604078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163.206120287</v>
      </c>
      <c r="C13" s="34"/>
      <c r="D13" s="38">
        <f>IF( ISERROR(IND_papier_gas_kWh/1000),0,IND_papier_gas_kWh/1000)*0.902</f>
        <v>0</v>
      </c>
      <c r="E13" s="34">
        <f>C35*'E Balans VL '!I23/100/3.6*1000000</f>
        <v>5.5590370905506825</v>
      </c>
      <c r="F13" s="34">
        <f>C35*'E Balans VL '!L23/100/3.6*1000000+C35*'E Balans VL '!N23/100/3.6*1000000</f>
        <v>26.957820706220048</v>
      </c>
      <c r="G13" s="35"/>
      <c r="H13" s="34"/>
      <c r="I13" s="34"/>
      <c r="J13" s="41">
        <f>C35*'E Balans VL '!D23/100/3.6*1000000+C35*'E Balans VL '!E23/100/3.6*1000000</f>
        <v>0</v>
      </c>
      <c r="K13" s="34"/>
      <c r="L13" s="34"/>
      <c r="M13" s="34"/>
      <c r="N13" s="34">
        <f>C35*'E Balans VL '!Y23/100/3.6*1000000</f>
        <v>60.055475416763436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3085.4814618897199</v>
      </c>
      <c r="C15" s="34"/>
      <c r="D15" s="38">
        <f>IF( ISERROR(IND_rest_gas_kWh/1000),0,IND_rest_gas_kWh/1000)*0.902</f>
        <v>33428.422633202164</v>
      </c>
      <c r="E15" s="34">
        <f>C37*'E Balans VL '!I15/100/3.6*1000000</f>
        <v>27.725182835415971</v>
      </c>
      <c r="F15" s="34">
        <f>C37*'E Balans VL '!L15/100/3.6*1000000+C37*'E Balans VL '!N15/100/3.6*1000000</f>
        <v>607.59446101088554</v>
      </c>
      <c r="G15" s="35"/>
      <c r="H15" s="34"/>
      <c r="I15" s="34"/>
      <c r="J15" s="41">
        <f>C37*'E Balans VL '!D15/100/3.6*1000000+C37*'E Balans VL '!E15/100/3.6*1000000</f>
        <v>15.516177854885107</v>
      </c>
      <c r="K15" s="34"/>
      <c r="L15" s="34"/>
      <c r="M15" s="34"/>
      <c r="N15" s="34">
        <f>C37*'E Balans VL '!Y15/100/3.6*1000000</f>
        <v>94.716152297124097</v>
      </c>
      <c r="O15" s="34"/>
      <c r="P15" s="34"/>
      <c r="R15" s="33"/>
    </row>
    <row r="16" spans="1:18">
      <c r="A16" s="17" t="s">
        <v>502</v>
      </c>
      <c r="B16" s="250">
        <f>'lokale energieproductie'!N90+'lokale energieproductie'!N59</f>
        <v>1309.5</v>
      </c>
      <c r="C16" s="250">
        <f>'lokale energieproductie'!O90+'lokale energieproductie'!O59</f>
        <v>1870.7142857142858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-3741.4285714285716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151412.95316301359</v>
      </c>
      <c r="C18" s="22">
        <f>C5+C16</f>
        <v>1870.7142857142858</v>
      </c>
      <c r="D18" s="22">
        <f>MAX((D5+D16),0)</f>
        <v>64293.566154885826</v>
      </c>
      <c r="E18" s="22">
        <f>MAX((E5+E16),0)</f>
        <v>1464.4824694858346</v>
      </c>
      <c r="F18" s="22">
        <f>MAX((F5+F16),0)</f>
        <v>19026.644615090463</v>
      </c>
      <c r="G18" s="22"/>
      <c r="H18" s="22"/>
      <c r="I18" s="22"/>
      <c r="J18" s="22">
        <f>MAX((J5+J16),0)</f>
        <v>28.400901950558129</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0.2147909868944094</v>
      </c>
      <c r="C20" s="26">
        <f ca="1">'EF ele_warmte'!B22</f>
        <v>0.22924320730844291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32522.137638480675</v>
      </c>
      <c r="C22" s="24">
        <f ca="1">C18*C20</f>
        <v>428.84854281486571</v>
      </c>
      <c r="D22" s="24">
        <f>D18*D20</f>
        <v>12987.300363286939</v>
      </c>
      <c r="E22" s="24">
        <f>E18*E20</f>
        <v>332.43752057328447</v>
      </c>
      <c r="F22" s="24">
        <f>F18*F20</f>
        <v>5080.1141122291538</v>
      </c>
      <c r="G22" s="24"/>
      <c r="H22" s="24"/>
      <c r="I22" s="24"/>
      <c r="J22" s="24">
        <f>J18*J20</f>
        <v>10.053919290497577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733.91275172350902</v>
      </c>
      <c r="C30" s="40">
        <f>IF(ISERROR(B30*3.6/1000000/'E Balans VL '!Z18*100),0,B30*3.6/1000000/'E Balans VL '!Z18*100)</f>
        <v>4.0837337000948708E-2</v>
      </c>
      <c r="D30" s="240" t="s">
        <v>707</v>
      </c>
    </row>
    <row r="31" spans="1:18">
      <c r="A31" s="6" t="s">
        <v>33</v>
      </c>
      <c r="B31" s="38">
        <f>IF( ISERROR(IND_ander_ele_kWh/1000),0,IND_ander_ele_kWh/1000)</f>
        <v>3019.3015873673598</v>
      </c>
      <c r="C31" s="40">
        <f>IF(ISERROR(B31*3.6/1000000/'E Balans VL '!Z19*100),0,B31*3.6/1000000/'E Balans VL '!Z19*100)</f>
        <v>0.14035940119674814</v>
      </c>
      <c r="D31" s="240" t="s">
        <v>707</v>
      </c>
    </row>
    <row r="32" spans="1:18">
      <c r="A32" s="174" t="s">
        <v>41</v>
      </c>
      <c r="B32" s="38">
        <f>IF( ISERROR(IND_voed_ele_kWh/1000),0,IND_voed_ele_kWh/1000)</f>
        <v>143101.551241746</v>
      </c>
      <c r="C32" s="40">
        <f>IF(ISERROR(B32*3.6/1000000/'E Balans VL '!Z20*100),0,B32*3.6/1000000/'E Balans VL '!Z20*100)</f>
        <v>5.058350830573465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163.206120287</v>
      </c>
      <c r="C35" s="40">
        <f>IF(ISERROR(B35*3.6/1000000/'E Balans VL '!Z22*100),0,B35*3.6/1000000/'E Balans VL '!Z22*100)</f>
        <v>3.279982792057802E-2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3085.4814618897199</v>
      </c>
      <c r="C37" s="40">
        <f>IF(ISERROR(B37*3.6/1000000/'E Balans VL '!Z15*100),0,B37*3.6/1000000/'E Balans VL '!Z15*100)</f>
        <v>2.3299942982616156E-2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9290.5179686580977</v>
      </c>
      <c r="C5" s="18">
        <f>'Eigen informatie GS &amp; warmtenet'!B60</f>
        <v>0</v>
      </c>
      <c r="D5" s="31">
        <f>IF(ISERROR(SUM(LB_lb_gas_kWh,LB_rest_gas_kWh)/1000),0,SUM(LB_lb_gas_kWh,LB_rest_gas_kWh)/1000)*0.902</f>
        <v>106272.90653640812</v>
      </c>
      <c r="E5" s="18">
        <f>B17*'E Balans VL '!I25/3.6*1000000/100</f>
        <v>87.52290411599266</v>
      </c>
      <c r="F5" s="18">
        <f>B17*('E Balans VL '!L25/3.6*1000000+'E Balans VL '!N25/3.6*1000000)/100</f>
        <v>30318.043383863904</v>
      </c>
      <c r="G5" s="19"/>
      <c r="H5" s="18"/>
      <c r="I5" s="18"/>
      <c r="J5" s="18">
        <f>('E Balans VL '!D25+'E Balans VL '!E25)/3.6*1000000*landbouw!B17/100</f>
        <v>1149.2822617937256</v>
      </c>
      <c r="K5" s="18"/>
      <c r="L5" s="18">
        <f>L6*(-1)</f>
        <v>0</v>
      </c>
      <c r="M5" s="18"/>
      <c r="N5" s="18">
        <f>N6*(-1)</f>
        <v>0</v>
      </c>
      <c r="O5" s="18"/>
      <c r="P5" s="18"/>
      <c r="R5" s="33"/>
    </row>
    <row r="6" spans="1:18">
      <c r="A6" s="17" t="s">
        <v>502</v>
      </c>
      <c r="B6" s="18" t="s">
        <v>211</v>
      </c>
      <c r="C6" s="18">
        <f>'lokale energieproductie'!O92+'lokale energieproductie'!O61</f>
        <v>51030</v>
      </c>
      <c r="D6" s="312">
        <f>('lokale energieproductie'!P61+'lokale energieproductie'!P92)*(-1)</f>
        <v>-102060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9290.5179686580977</v>
      </c>
      <c r="C8" s="22">
        <f>C5+C6</f>
        <v>51030</v>
      </c>
      <c r="D8" s="22">
        <f>MAX((D5+D6),0)</f>
        <v>4212.906536408118</v>
      </c>
      <c r="E8" s="22">
        <f>MAX((E5+E6),0)</f>
        <v>87.52290411599266</v>
      </c>
      <c r="F8" s="22">
        <f>MAX((F5+F6),0)</f>
        <v>30318.043383863904</v>
      </c>
      <c r="G8" s="22"/>
      <c r="H8" s="22"/>
      <c r="I8" s="22"/>
      <c r="J8" s="22">
        <f>MAX((J5+J6),0)</f>
        <v>1149.2822617937256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0.2147909868944094</v>
      </c>
      <c r="C10" s="32">
        <f ca="1">'EF ele_warmte'!B22</f>
        <v>0.22924320730844291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1995.5195232483165</v>
      </c>
      <c r="C12" s="24">
        <f ca="1">C8*C10</f>
        <v>11698.280868949842</v>
      </c>
      <c r="D12" s="24">
        <f>D8*D10</f>
        <v>851.00712035443985</v>
      </c>
      <c r="E12" s="24">
        <f>E8*E10</f>
        <v>19.867699234330335</v>
      </c>
      <c r="F12" s="24">
        <f>F8*F10</f>
        <v>8094.9175834916623</v>
      </c>
      <c r="G12" s="24"/>
      <c r="H12" s="24"/>
      <c r="I12" s="24"/>
      <c r="J12" s="24">
        <f>J8*J10</f>
        <v>406.84592067497886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1.2577876752249109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452.12651290707652</v>
      </c>
      <c r="C26" s="250">
        <f>B26*'GWP N2O_CH4'!B5</f>
        <v>9494.656771048607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724.91545014848134</v>
      </c>
      <c r="C27" s="250">
        <f>B27*'GWP N2O_CH4'!B5</f>
        <v>15223.224453118108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8.4881403476792396</v>
      </c>
      <c r="C28" s="250">
        <f>B28*'GWP N2O_CH4'!B4</f>
        <v>2631.3235077805643</v>
      </c>
      <c r="D28" s="51"/>
    </row>
    <row r="29" spans="1:4">
      <c r="A29" s="42" t="s">
        <v>277</v>
      </c>
      <c r="B29" s="250">
        <f>B34*'ha_N2O bodem landbouw'!B4</f>
        <v>17.781536289748864</v>
      </c>
      <c r="C29" s="250">
        <f>B29*'GWP N2O_CH4'!B4</f>
        <v>5512.2762498221482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4.8004550307249967E-3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5.0610731994495632E-6</v>
      </c>
      <c r="C5" s="447" t="s">
        <v>211</v>
      </c>
      <c r="D5" s="432">
        <f>SUM(D6:D11)</f>
        <v>1.6536553657802729E-5</v>
      </c>
      <c r="E5" s="432">
        <f>SUM(E6:E11)</f>
        <v>9.3399520645091232E-4</v>
      </c>
      <c r="F5" s="445" t="s">
        <v>211</v>
      </c>
      <c r="G5" s="432">
        <f>SUM(G6:G11)</f>
        <v>0.21091114553848903</v>
      </c>
      <c r="H5" s="432">
        <f>SUM(H6:H11)</f>
        <v>3.6267263019009878E-2</v>
      </c>
      <c r="I5" s="447" t="s">
        <v>211</v>
      </c>
      <c r="J5" s="447" t="s">
        <v>211</v>
      </c>
      <c r="K5" s="447" t="s">
        <v>211</v>
      </c>
      <c r="L5" s="447" t="s">
        <v>211</v>
      </c>
      <c r="M5" s="432">
        <f>SUM(M6:M11)</f>
        <v>1.1050929467443274E-2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2.9071186703587861E-6</v>
      </c>
      <c r="C6" s="433"/>
      <c r="D6" s="433">
        <f>vkm_2011_GW_PW*SUMIFS(TableVerdeelsleutelVkm[CNG],TableVerdeelsleutelVkm[Voertuigtype],"Lichte voertuigen")*SUMIFS(TableECFTransport[EnergieConsumptieFactor (PJ per km)],TableECFTransport[Index],CONCATENATE($A6,"_CNG_CNG"))</f>
        <v>7.0992324788419846E-6</v>
      </c>
      <c r="E6" s="435">
        <f>vkm_2011_GW_PW*SUMIFS(TableVerdeelsleutelVkm[LPG],TableVerdeelsleutelVkm[Voertuigtype],"Lichte voertuigen")*SUMIFS(TableECFTransport[EnergieConsumptieFactor (PJ per km)],TableECFTransport[Index],CONCATENATE($A6,"_LPG_LPG"))</f>
        <v>4.2080581349893847E-4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6.0832430480522386E-2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1.5942432345591225E-2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3.438119746935254E-3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4.5941482002868232E-2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1.8535596880324075E-5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2.0466788090327754E-3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2.1539545290907775E-6</v>
      </c>
      <c r="C8" s="433"/>
      <c r="D8" s="435">
        <f>vkm_2011_NGW_PW*SUMIFS(TableVerdeelsleutelVkm[CNG],TableVerdeelsleutelVkm[Voertuigtype],"Lichte voertuigen")*SUMIFS(TableECFTransport[EnergieConsumptieFactor (PJ per km)],TableECFTransport[Index],CONCATENATE($A8,"_CNG_CNG"))</f>
        <v>9.4373211789607427E-6</v>
      </c>
      <c r="E8" s="435">
        <f>vkm_2011_NGW_PW*SUMIFS(TableVerdeelsleutelVkm[LPG],TableVerdeelsleutelVkm[Voertuigtype],"Lichte voertuigen")*SUMIFS(TableECFTransport[EnergieConsumptieFactor (PJ per km)],TableECFTransport[Index],CONCATENATE($A8,"_LPG_LPG"))</f>
        <v>5.1318939295197385E-4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7.0083875451271135E-2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2.0294332413700225E-2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4.0491456217707665E-3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3.4053357603827272E-2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1.1962662838099422E-5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1.51698528970448E-3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1.4058536665137673</v>
      </c>
      <c r="C14" s="22"/>
      <c r="D14" s="22">
        <f t="shared" ref="D14:M14" si="0">((D5)*10^9/3600)+D12</f>
        <v>4.5934871271674247</v>
      </c>
      <c r="E14" s="22">
        <f t="shared" si="0"/>
        <v>259.44311290303119</v>
      </c>
      <c r="F14" s="22"/>
      <c r="G14" s="22">
        <f t="shared" si="0"/>
        <v>58586.429316246948</v>
      </c>
      <c r="H14" s="22">
        <f t="shared" si="0"/>
        <v>10074.239727502745</v>
      </c>
      <c r="I14" s="22"/>
      <c r="J14" s="22"/>
      <c r="K14" s="22"/>
      <c r="L14" s="22"/>
      <c r="M14" s="22">
        <f t="shared" si="0"/>
        <v>3069.7026298453538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0.2147909868944094</v>
      </c>
      <c r="C16" s="57">
        <f ca="1">'EF ele_warmte'!B22</f>
        <v>0.22924320730844291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0.30196469645961599</v>
      </c>
      <c r="C18" s="24"/>
      <c r="D18" s="24">
        <f t="shared" ref="D18:M18" si="1">D14*D16</f>
        <v>0.92788439968781988</v>
      </c>
      <c r="E18" s="24">
        <f t="shared" si="1"/>
        <v>58.893586628988082</v>
      </c>
      <c r="F18" s="24"/>
      <c r="G18" s="24">
        <f t="shared" si="1"/>
        <v>15642.576627437937</v>
      </c>
      <c r="H18" s="24">
        <f t="shared" si="1"/>
        <v>2508.4856921481837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4.486772620541717E-3</v>
      </c>
      <c r="H50" s="323">
        <f t="shared" si="2"/>
        <v>0</v>
      </c>
      <c r="I50" s="323">
        <f t="shared" si="2"/>
        <v>0</v>
      </c>
      <c r="J50" s="323">
        <f t="shared" si="2"/>
        <v>0</v>
      </c>
      <c r="K50" s="323">
        <f t="shared" si="2"/>
        <v>0</v>
      </c>
      <c r="L50" s="323">
        <f t="shared" si="2"/>
        <v>0</v>
      </c>
      <c r="M50" s="323">
        <f t="shared" si="2"/>
        <v>1.9702158716238964E-4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4.486772620541717E-3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1.9702158716238964E-4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1246.3257279282548</v>
      </c>
      <c r="H54" s="22">
        <f t="shared" si="3"/>
        <v>0</v>
      </c>
      <c r="I54" s="22">
        <f t="shared" si="3"/>
        <v>0</v>
      </c>
      <c r="J54" s="22">
        <f t="shared" si="3"/>
        <v>0</v>
      </c>
      <c r="K54" s="22">
        <f t="shared" si="3"/>
        <v>0</v>
      </c>
      <c r="L54" s="22">
        <f t="shared" si="3"/>
        <v>0</v>
      </c>
      <c r="M54" s="22">
        <f t="shared" si="3"/>
        <v>54.728218656219347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0.2147909868944094</v>
      </c>
      <c r="C56" s="57">
        <f ca="1">'EF ele_warmte'!B22</f>
        <v>0.22924320730844291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332.76896935684402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10414.577369224831</v>
      </c>
      <c r="D10" s="688">
        <f ca="1">tertiair!C16</f>
        <v>0</v>
      </c>
      <c r="E10" s="688">
        <f ca="1">tertiair!D16</f>
        <v>31918.714472053114</v>
      </c>
      <c r="F10" s="688">
        <f>tertiair!E16</f>
        <v>104.91572927774237</v>
      </c>
      <c r="G10" s="688">
        <f ca="1">tertiair!F16</f>
        <v>1908.8451299460678</v>
      </c>
      <c r="H10" s="688">
        <f>tertiair!G16</f>
        <v>0</v>
      </c>
      <c r="I10" s="688">
        <f>tertiair!H16</f>
        <v>0</v>
      </c>
      <c r="J10" s="688">
        <f>tertiair!I16</f>
        <v>0</v>
      </c>
      <c r="K10" s="688">
        <f>tertiair!J16</f>
        <v>0</v>
      </c>
      <c r="L10" s="688">
        <f>tertiair!K16</f>
        <v>0</v>
      </c>
      <c r="M10" s="688">
        <f ca="1">tertiair!L16</f>
        <v>0</v>
      </c>
      <c r="N10" s="688">
        <f>tertiair!M16</f>
        <v>0</v>
      </c>
      <c r="O10" s="688">
        <f ca="1">tertiair!N16</f>
        <v>581.82679120650209</v>
      </c>
      <c r="P10" s="688">
        <f>tertiair!O16</f>
        <v>0</v>
      </c>
      <c r="Q10" s="689">
        <f>tertiair!P16</f>
        <v>0</v>
      </c>
      <c r="R10" s="691">
        <f ca="1">SUM(C10:Q10)</f>
        <v>44928.879491708256</v>
      </c>
      <c r="S10" s="68"/>
    </row>
    <row r="11" spans="1:19" s="457" customFormat="1">
      <c r="A11" s="803" t="s">
        <v>225</v>
      </c>
      <c r="B11" s="808"/>
      <c r="C11" s="688">
        <f>huishoudens!B8</f>
        <v>19876.784059817739</v>
      </c>
      <c r="D11" s="688">
        <f>huishoudens!C8</f>
        <v>0</v>
      </c>
      <c r="E11" s="688">
        <f>huishoudens!D8</f>
        <v>32404.571475187968</v>
      </c>
      <c r="F11" s="688">
        <f>huishoudens!E8</f>
        <v>7424.0466389140956</v>
      </c>
      <c r="G11" s="688">
        <f>huishoudens!F8</f>
        <v>22039.580809379804</v>
      </c>
      <c r="H11" s="688">
        <f>huishoudens!G8</f>
        <v>0</v>
      </c>
      <c r="I11" s="688">
        <f>huishoudens!H8</f>
        <v>0</v>
      </c>
      <c r="J11" s="688">
        <f>huishoudens!I8</f>
        <v>0</v>
      </c>
      <c r="K11" s="688">
        <f>huishoudens!J8</f>
        <v>2824.3531845251528</v>
      </c>
      <c r="L11" s="688">
        <f>huishoudens!K8</f>
        <v>0</v>
      </c>
      <c r="M11" s="688">
        <f>huishoudens!L8</f>
        <v>0</v>
      </c>
      <c r="N11" s="688">
        <f>huishoudens!M8</f>
        <v>0</v>
      </c>
      <c r="O11" s="688">
        <f>huishoudens!N8</f>
        <v>17139.743952107579</v>
      </c>
      <c r="P11" s="688">
        <f>huishoudens!O8</f>
        <v>156.33333333333334</v>
      </c>
      <c r="Q11" s="689">
        <f>huishoudens!P8</f>
        <v>76.266666666666666</v>
      </c>
      <c r="R11" s="691">
        <f>SUM(C11:Q11)</f>
        <v>101941.68011993232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151412.95316301359</v>
      </c>
      <c r="D13" s="688">
        <f>industrie!C18</f>
        <v>1870.7142857142858</v>
      </c>
      <c r="E13" s="688">
        <f>industrie!D18</f>
        <v>64293.566154885826</v>
      </c>
      <c r="F13" s="688">
        <f>industrie!E18</f>
        <v>1464.4824694858346</v>
      </c>
      <c r="G13" s="688">
        <f>industrie!F18</f>
        <v>19026.644615090463</v>
      </c>
      <c r="H13" s="688">
        <f>industrie!G18</f>
        <v>0</v>
      </c>
      <c r="I13" s="688">
        <f>industrie!H18</f>
        <v>0</v>
      </c>
      <c r="J13" s="688">
        <f>industrie!I18</f>
        <v>0</v>
      </c>
      <c r="K13" s="688">
        <f>industrie!J18</f>
        <v>28.400901950558129</v>
      </c>
      <c r="L13" s="688">
        <f>industrie!K18</f>
        <v>0</v>
      </c>
      <c r="M13" s="688">
        <f>industrie!L18</f>
        <v>0</v>
      </c>
      <c r="N13" s="688">
        <f>industrie!M18</f>
        <v>0</v>
      </c>
      <c r="O13" s="688">
        <f>industrie!N18</f>
        <v>0</v>
      </c>
      <c r="P13" s="688">
        <f>industrie!O18</f>
        <v>0</v>
      </c>
      <c r="Q13" s="689">
        <f>industrie!P18</f>
        <v>0</v>
      </c>
      <c r="R13" s="691">
        <f>SUM(C13:Q13)</f>
        <v>238096.76159014055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181704.31459205615</v>
      </c>
      <c r="D16" s="721">
        <f t="shared" ref="D16:R16" ca="1" si="0">SUM(D9:D15)</f>
        <v>1870.7142857142858</v>
      </c>
      <c r="E16" s="721">
        <f t="shared" ca="1" si="0"/>
        <v>128616.8521021269</v>
      </c>
      <c r="F16" s="721">
        <f t="shared" si="0"/>
        <v>8993.4448376776727</v>
      </c>
      <c r="G16" s="721">
        <f t="shared" ca="1" si="0"/>
        <v>42975.070554416336</v>
      </c>
      <c r="H16" s="721">
        <f t="shared" si="0"/>
        <v>0</v>
      </c>
      <c r="I16" s="721">
        <f t="shared" si="0"/>
        <v>0</v>
      </c>
      <c r="J16" s="721">
        <f t="shared" si="0"/>
        <v>0</v>
      </c>
      <c r="K16" s="721">
        <f t="shared" si="0"/>
        <v>2852.7540864757107</v>
      </c>
      <c r="L16" s="721">
        <f t="shared" si="0"/>
        <v>0</v>
      </c>
      <c r="M16" s="721">
        <f t="shared" ca="1" si="0"/>
        <v>0</v>
      </c>
      <c r="N16" s="721">
        <f t="shared" si="0"/>
        <v>0</v>
      </c>
      <c r="O16" s="721">
        <f t="shared" ca="1" si="0"/>
        <v>17721.570743314081</v>
      </c>
      <c r="P16" s="721">
        <f t="shared" si="0"/>
        <v>156.33333333333334</v>
      </c>
      <c r="Q16" s="721">
        <f t="shared" si="0"/>
        <v>76.266666666666666</v>
      </c>
      <c r="R16" s="721">
        <f t="shared" ca="1" si="0"/>
        <v>384967.32120178116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1246.3257279282548</v>
      </c>
      <c r="I19" s="688">
        <f>transport!H54</f>
        <v>0</v>
      </c>
      <c r="J19" s="688">
        <f>transport!I54</f>
        <v>0</v>
      </c>
      <c r="K19" s="688">
        <f>transport!J54</f>
        <v>0</v>
      </c>
      <c r="L19" s="688">
        <f>transport!K54</f>
        <v>0</v>
      </c>
      <c r="M19" s="688">
        <f>transport!L54</f>
        <v>0</v>
      </c>
      <c r="N19" s="688">
        <f>transport!M54</f>
        <v>54.728218656219347</v>
      </c>
      <c r="O19" s="688">
        <f>transport!N54</f>
        <v>0</v>
      </c>
      <c r="P19" s="688">
        <f>transport!O54</f>
        <v>0</v>
      </c>
      <c r="Q19" s="689">
        <f>transport!P54</f>
        <v>0</v>
      </c>
      <c r="R19" s="691">
        <f>SUM(C19:Q19)</f>
        <v>1301.053946584474</v>
      </c>
      <c r="S19" s="68"/>
    </row>
    <row r="20" spans="1:19" s="457" customFormat="1">
      <c r="A20" s="803" t="s">
        <v>307</v>
      </c>
      <c r="B20" s="808"/>
      <c r="C20" s="688">
        <f>transport!B14</f>
        <v>1.4058536665137673</v>
      </c>
      <c r="D20" s="688">
        <f>transport!C14</f>
        <v>0</v>
      </c>
      <c r="E20" s="688">
        <f>transport!D14</f>
        <v>4.5934871271674247</v>
      </c>
      <c r="F20" s="688">
        <f>transport!E14</f>
        <v>259.44311290303119</v>
      </c>
      <c r="G20" s="688">
        <f>transport!F14</f>
        <v>0</v>
      </c>
      <c r="H20" s="688">
        <f>transport!G14</f>
        <v>58586.429316246948</v>
      </c>
      <c r="I20" s="688">
        <f>transport!H14</f>
        <v>10074.239727502745</v>
      </c>
      <c r="J20" s="688">
        <f>transport!I14</f>
        <v>0</v>
      </c>
      <c r="K20" s="688">
        <f>transport!J14</f>
        <v>0</v>
      </c>
      <c r="L20" s="688">
        <f>transport!K14</f>
        <v>0</v>
      </c>
      <c r="M20" s="688">
        <f>transport!L14</f>
        <v>0</v>
      </c>
      <c r="N20" s="688">
        <f>transport!M14</f>
        <v>3069.7026298453538</v>
      </c>
      <c r="O20" s="688">
        <f>transport!N14</f>
        <v>0</v>
      </c>
      <c r="P20" s="688">
        <f>transport!O14</f>
        <v>0</v>
      </c>
      <c r="Q20" s="689">
        <f>transport!P14</f>
        <v>0</v>
      </c>
      <c r="R20" s="691">
        <f>SUM(C20:Q20)</f>
        <v>71995.814127291756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1.4058536665137673</v>
      </c>
      <c r="D22" s="806">
        <f t="shared" ref="D22:R22" si="1">SUM(D18:D21)</f>
        <v>0</v>
      </c>
      <c r="E22" s="806">
        <f t="shared" si="1"/>
        <v>4.5934871271674247</v>
      </c>
      <c r="F22" s="806">
        <f t="shared" si="1"/>
        <v>259.44311290303119</v>
      </c>
      <c r="G22" s="806">
        <f t="shared" si="1"/>
        <v>0</v>
      </c>
      <c r="H22" s="806">
        <f t="shared" si="1"/>
        <v>59832.755044175203</v>
      </c>
      <c r="I22" s="806">
        <f t="shared" si="1"/>
        <v>10074.239727502745</v>
      </c>
      <c r="J22" s="806">
        <f t="shared" si="1"/>
        <v>0</v>
      </c>
      <c r="K22" s="806">
        <f t="shared" si="1"/>
        <v>0</v>
      </c>
      <c r="L22" s="806">
        <f t="shared" si="1"/>
        <v>0</v>
      </c>
      <c r="M22" s="806">
        <f t="shared" si="1"/>
        <v>0</v>
      </c>
      <c r="N22" s="806">
        <f t="shared" si="1"/>
        <v>3124.4308485015731</v>
      </c>
      <c r="O22" s="806">
        <f t="shared" si="1"/>
        <v>0</v>
      </c>
      <c r="P22" s="806">
        <f t="shared" si="1"/>
        <v>0</v>
      </c>
      <c r="Q22" s="806">
        <f t="shared" si="1"/>
        <v>0</v>
      </c>
      <c r="R22" s="806">
        <f t="shared" si="1"/>
        <v>73296.868073876234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9290.5179686580977</v>
      </c>
      <c r="D24" s="688">
        <f>+landbouw!C8</f>
        <v>51030</v>
      </c>
      <c r="E24" s="688">
        <f>+landbouw!D8</f>
        <v>4212.906536408118</v>
      </c>
      <c r="F24" s="688">
        <f>+landbouw!E8</f>
        <v>87.52290411599266</v>
      </c>
      <c r="G24" s="688">
        <f>+landbouw!F8</f>
        <v>30318.043383863904</v>
      </c>
      <c r="H24" s="688">
        <f>+landbouw!G8</f>
        <v>0</v>
      </c>
      <c r="I24" s="688">
        <f>+landbouw!H8</f>
        <v>0</v>
      </c>
      <c r="J24" s="688">
        <f>+landbouw!I8</f>
        <v>0</v>
      </c>
      <c r="K24" s="688">
        <f>+landbouw!J8</f>
        <v>1149.2822617937256</v>
      </c>
      <c r="L24" s="688">
        <f>+landbouw!K8</f>
        <v>0</v>
      </c>
      <c r="M24" s="688">
        <f>+landbouw!L8</f>
        <v>0</v>
      </c>
      <c r="N24" s="688">
        <f>+landbouw!M8</f>
        <v>0</v>
      </c>
      <c r="O24" s="688">
        <f>+landbouw!N8</f>
        <v>0</v>
      </c>
      <c r="P24" s="688">
        <f>+landbouw!O8</f>
        <v>0</v>
      </c>
      <c r="Q24" s="689">
        <f>+landbouw!P8</f>
        <v>0</v>
      </c>
      <c r="R24" s="691">
        <f>SUM(C24:Q24)</f>
        <v>96088.273054839825</v>
      </c>
      <c r="S24" s="68"/>
    </row>
    <row r="25" spans="1:19" s="457" customFormat="1" ht="15" thickBot="1">
      <c r="A25" s="825" t="s">
        <v>912</v>
      </c>
      <c r="B25" s="1001"/>
      <c r="C25" s="1002">
        <f>IF(Onbekend_ele_kWh="---",0,Onbekend_ele_kWh)/1000+IF(REST_rest_ele_kWh="---",0,REST_rest_ele_kWh)/1000</f>
        <v>694.86758710448305</v>
      </c>
      <c r="D25" s="1002"/>
      <c r="E25" s="1002">
        <f>IF(onbekend_gas_kWh="---",0,onbekend_gas_kWh)/1000+IF(REST_rest_gas_kWh="---",0,REST_rest_gas_kWh)/1000</f>
        <v>1452.3108404873801</v>
      </c>
      <c r="F25" s="1002"/>
      <c r="G25" s="1002"/>
      <c r="H25" s="1002"/>
      <c r="I25" s="1002"/>
      <c r="J25" s="1002"/>
      <c r="K25" s="1002"/>
      <c r="L25" s="1002"/>
      <c r="M25" s="1002"/>
      <c r="N25" s="1002"/>
      <c r="O25" s="1002"/>
      <c r="P25" s="1002"/>
      <c r="Q25" s="1003"/>
      <c r="R25" s="691">
        <f>SUM(C25:Q25)</f>
        <v>2147.1784275918631</v>
      </c>
      <c r="S25" s="68"/>
    </row>
    <row r="26" spans="1:19" s="457" customFormat="1" ht="15.75" thickBot="1">
      <c r="A26" s="694" t="s">
        <v>913</v>
      </c>
      <c r="B26" s="811"/>
      <c r="C26" s="806">
        <f>SUM(C24:C25)</f>
        <v>9985.3855557625811</v>
      </c>
      <c r="D26" s="806">
        <f t="shared" ref="D26:R26" si="2">SUM(D24:D25)</f>
        <v>51030</v>
      </c>
      <c r="E26" s="806">
        <f t="shared" si="2"/>
        <v>5665.2173768954981</v>
      </c>
      <c r="F26" s="806">
        <f t="shared" si="2"/>
        <v>87.52290411599266</v>
      </c>
      <c r="G26" s="806">
        <f t="shared" si="2"/>
        <v>30318.043383863904</v>
      </c>
      <c r="H26" s="806">
        <f t="shared" si="2"/>
        <v>0</v>
      </c>
      <c r="I26" s="806">
        <f t="shared" si="2"/>
        <v>0</v>
      </c>
      <c r="J26" s="806">
        <f t="shared" si="2"/>
        <v>0</v>
      </c>
      <c r="K26" s="806">
        <f t="shared" si="2"/>
        <v>1149.2822617937256</v>
      </c>
      <c r="L26" s="806">
        <f t="shared" si="2"/>
        <v>0</v>
      </c>
      <c r="M26" s="806">
        <f t="shared" si="2"/>
        <v>0</v>
      </c>
      <c r="N26" s="806">
        <f t="shared" si="2"/>
        <v>0</v>
      </c>
      <c r="O26" s="806">
        <f t="shared" si="2"/>
        <v>0</v>
      </c>
      <c r="P26" s="806">
        <f t="shared" si="2"/>
        <v>0</v>
      </c>
      <c r="Q26" s="806">
        <f t="shared" si="2"/>
        <v>0</v>
      </c>
      <c r="R26" s="806">
        <f t="shared" si="2"/>
        <v>98235.451482431687</v>
      </c>
      <c r="S26" s="68"/>
    </row>
    <row r="27" spans="1:19" s="457" customFormat="1" ht="17.25" thickTop="1" thickBot="1">
      <c r="A27" s="695" t="s">
        <v>116</v>
      </c>
      <c r="B27" s="798"/>
      <c r="C27" s="696">
        <f ca="1">C22+C16+C26</f>
        <v>191691.10600148526</v>
      </c>
      <c r="D27" s="696">
        <f t="shared" ref="D27:R27" ca="1" si="3">D22+D16+D26</f>
        <v>52900.714285714283</v>
      </c>
      <c r="E27" s="696">
        <f t="shared" ca="1" si="3"/>
        <v>134286.66296614957</v>
      </c>
      <c r="F27" s="696">
        <f t="shared" si="3"/>
        <v>9340.4108546966963</v>
      </c>
      <c r="G27" s="696">
        <f t="shared" ca="1" si="3"/>
        <v>73293.113938280236</v>
      </c>
      <c r="H27" s="696">
        <f t="shared" si="3"/>
        <v>59832.755044175203</v>
      </c>
      <c r="I27" s="696">
        <f t="shared" si="3"/>
        <v>10074.239727502745</v>
      </c>
      <c r="J27" s="696">
        <f t="shared" si="3"/>
        <v>0</v>
      </c>
      <c r="K27" s="696">
        <f t="shared" si="3"/>
        <v>4002.0363482694365</v>
      </c>
      <c r="L27" s="696">
        <f t="shared" si="3"/>
        <v>0</v>
      </c>
      <c r="M27" s="696">
        <f t="shared" ca="1" si="3"/>
        <v>0</v>
      </c>
      <c r="N27" s="696">
        <f t="shared" si="3"/>
        <v>3124.4308485015731</v>
      </c>
      <c r="O27" s="696">
        <f t="shared" ca="1" si="3"/>
        <v>17721.570743314081</v>
      </c>
      <c r="P27" s="696">
        <f t="shared" si="3"/>
        <v>156.33333333333334</v>
      </c>
      <c r="Q27" s="696">
        <f t="shared" si="3"/>
        <v>76.266666666666666</v>
      </c>
      <c r="R27" s="696">
        <f t="shared" ca="1" si="3"/>
        <v>556499.64075808914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2236.9573512239831</v>
      </c>
      <c r="D40" s="688">
        <f ca="1">tertiair!C20</f>
        <v>0</v>
      </c>
      <c r="E40" s="688">
        <f ca="1">tertiair!D20</f>
        <v>6447.5803233547294</v>
      </c>
      <c r="F40" s="688">
        <f>tertiair!E20</f>
        <v>23.81587054604752</v>
      </c>
      <c r="G40" s="688">
        <f ca="1">tertiair!F20</f>
        <v>509.66164969560015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9218.0151948203602</v>
      </c>
    </row>
    <row r="41" spans="1:18">
      <c r="A41" s="816" t="s">
        <v>225</v>
      </c>
      <c r="B41" s="823"/>
      <c r="C41" s="688">
        <f ca="1">huishoudens!B12</f>
        <v>4269.3540644953173</v>
      </c>
      <c r="D41" s="688">
        <f ca="1">huishoudens!C12</f>
        <v>0</v>
      </c>
      <c r="E41" s="688">
        <f>huishoudens!D12</f>
        <v>6545.7234379879701</v>
      </c>
      <c r="F41" s="688">
        <f>huishoudens!E12</f>
        <v>1685.2585870334997</v>
      </c>
      <c r="G41" s="688">
        <f>huishoudens!F12</f>
        <v>5884.5680761044077</v>
      </c>
      <c r="H41" s="688">
        <f>huishoudens!G12</f>
        <v>0</v>
      </c>
      <c r="I41" s="688">
        <f>huishoudens!H12</f>
        <v>0</v>
      </c>
      <c r="J41" s="688">
        <f>huishoudens!I12</f>
        <v>0</v>
      </c>
      <c r="K41" s="688">
        <f>huishoudens!J12</f>
        <v>999.82102732190401</v>
      </c>
      <c r="L41" s="688">
        <f>huishoudens!K12</f>
        <v>0</v>
      </c>
      <c r="M41" s="688">
        <f>huishoudens!L12</f>
        <v>0</v>
      </c>
      <c r="N41" s="688">
        <f>huishoudens!M12</f>
        <v>0</v>
      </c>
      <c r="O41" s="688">
        <f>huishoudens!N12</f>
        <v>0</v>
      </c>
      <c r="P41" s="688">
        <f>huishoudens!O12</f>
        <v>0</v>
      </c>
      <c r="Q41" s="763">
        <f>huishoudens!P12</f>
        <v>0</v>
      </c>
      <c r="R41" s="844">
        <f t="shared" ca="1" si="4"/>
        <v>19384.725192943097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32522.137638480675</v>
      </c>
      <c r="D43" s="688">
        <f ca="1">industrie!C22</f>
        <v>428.84854281486571</v>
      </c>
      <c r="E43" s="688">
        <f>industrie!D22</f>
        <v>12987.300363286939</v>
      </c>
      <c r="F43" s="688">
        <f>industrie!E22</f>
        <v>332.43752057328447</v>
      </c>
      <c r="G43" s="688">
        <f>industrie!F22</f>
        <v>5080.1141122291538</v>
      </c>
      <c r="H43" s="688">
        <f>industrie!G22</f>
        <v>0</v>
      </c>
      <c r="I43" s="688">
        <f>industrie!H22</f>
        <v>0</v>
      </c>
      <c r="J43" s="688">
        <f>industrie!I22</f>
        <v>0</v>
      </c>
      <c r="K43" s="688">
        <f>industrie!J22</f>
        <v>10.053919290497577</v>
      </c>
      <c r="L43" s="688">
        <f>industrie!K22</f>
        <v>0</v>
      </c>
      <c r="M43" s="688">
        <f>industrie!L22</f>
        <v>0</v>
      </c>
      <c r="N43" s="688">
        <f>industrie!M22</f>
        <v>0</v>
      </c>
      <c r="O43" s="688">
        <f>industrie!N22</f>
        <v>0</v>
      </c>
      <c r="P43" s="688">
        <f>industrie!O22</f>
        <v>0</v>
      </c>
      <c r="Q43" s="763">
        <f>industrie!P22</f>
        <v>0</v>
      </c>
      <c r="R43" s="843">
        <f t="shared" ca="1" si="4"/>
        <v>51360.892096675416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39028.449054199977</v>
      </c>
      <c r="D46" s="721">
        <f t="shared" ref="D46:Q46" ca="1" si="5">SUM(D39:D45)</f>
        <v>428.84854281486571</v>
      </c>
      <c r="E46" s="721">
        <f t="shared" ca="1" si="5"/>
        <v>25980.604124629637</v>
      </c>
      <c r="F46" s="721">
        <f t="shared" si="5"/>
        <v>2041.5119781528317</v>
      </c>
      <c r="G46" s="721">
        <f t="shared" ca="1" si="5"/>
        <v>11474.343838029163</v>
      </c>
      <c r="H46" s="721">
        <f t="shared" si="5"/>
        <v>0</v>
      </c>
      <c r="I46" s="721">
        <f t="shared" si="5"/>
        <v>0</v>
      </c>
      <c r="J46" s="721">
        <f t="shared" si="5"/>
        <v>0</v>
      </c>
      <c r="K46" s="721">
        <f t="shared" si="5"/>
        <v>1009.8749466124016</v>
      </c>
      <c r="L46" s="721">
        <f t="shared" si="5"/>
        <v>0</v>
      </c>
      <c r="M46" s="721">
        <f t="shared" ca="1" si="5"/>
        <v>0</v>
      </c>
      <c r="N46" s="721">
        <f t="shared" si="5"/>
        <v>0</v>
      </c>
      <c r="O46" s="721">
        <f t="shared" ca="1" si="5"/>
        <v>0</v>
      </c>
      <c r="P46" s="721">
        <f t="shared" si="5"/>
        <v>0</v>
      </c>
      <c r="Q46" s="721">
        <f t="shared" si="5"/>
        <v>0</v>
      </c>
      <c r="R46" s="721">
        <f ca="1">SUM(R39:R45)</f>
        <v>79963.632484438873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332.76896935684402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332.76896935684402</v>
      </c>
    </row>
    <row r="50" spans="1:18">
      <c r="A50" s="819" t="s">
        <v>307</v>
      </c>
      <c r="B50" s="829"/>
      <c r="C50" s="1008">
        <f ca="1">transport!B18</f>
        <v>0.30196469645961599</v>
      </c>
      <c r="D50" s="1008">
        <f>transport!C18</f>
        <v>0</v>
      </c>
      <c r="E50" s="1008">
        <f>transport!D18</f>
        <v>0.92788439968781988</v>
      </c>
      <c r="F50" s="1008">
        <f>transport!E18</f>
        <v>58.893586628988082</v>
      </c>
      <c r="G50" s="1008">
        <f>transport!F18</f>
        <v>0</v>
      </c>
      <c r="H50" s="1008">
        <f>transport!G18</f>
        <v>15642.576627437937</v>
      </c>
      <c r="I50" s="1008">
        <f>transport!H18</f>
        <v>2508.4856921481837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18211.185755311257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0.30196469645961599</v>
      </c>
      <c r="D52" s="721">
        <f t="shared" ref="D52:Q52" ca="1" si="6">SUM(D48:D51)</f>
        <v>0</v>
      </c>
      <c r="E52" s="721">
        <f t="shared" si="6"/>
        <v>0.92788439968781988</v>
      </c>
      <c r="F52" s="721">
        <f t="shared" si="6"/>
        <v>58.893586628988082</v>
      </c>
      <c r="G52" s="721">
        <f t="shared" si="6"/>
        <v>0</v>
      </c>
      <c r="H52" s="721">
        <f t="shared" si="6"/>
        <v>15975.345596794781</v>
      </c>
      <c r="I52" s="721">
        <f t="shared" si="6"/>
        <v>2508.4856921481837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18543.9547246681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1995.5195232483165</v>
      </c>
      <c r="D54" s="1008">
        <f ca="1">+landbouw!C12</f>
        <v>11698.280868949842</v>
      </c>
      <c r="E54" s="1008">
        <f>+landbouw!D12</f>
        <v>851.00712035443985</v>
      </c>
      <c r="F54" s="1008">
        <f>+landbouw!E12</f>
        <v>19.867699234330335</v>
      </c>
      <c r="G54" s="1008">
        <f>+landbouw!F12</f>
        <v>8094.9175834916623</v>
      </c>
      <c r="H54" s="1008">
        <f>+landbouw!G12</f>
        <v>0</v>
      </c>
      <c r="I54" s="1008">
        <f>+landbouw!H12</f>
        <v>0</v>
      </c>
      <c r="J54" s="1008">
        <f>+landbouw!I12</f>
        <v>0</v>
      </c>
      <c r="K54" s="1008">
        <f>+landbouw!J12</f>
        <v>406.84592067497886</v>
      </c>
      <c r="L54" s="1008">
        <f>+landbouw!K12</f>
        <v>0</v>
      </c>
      <c r="M54" s="1008">
        <f>+landbouw!L12</f>
        <v>0</v>
      </c>
      <c r="N54" s="1008">
        <f>+landbouw!M12</f>
        <v>0</v>
      </c>
      <c r="O54" s="1008">
        <f>+landbouw!N12</f>
        <v>0</v>
      </c>
      <c r="P54" s="1008">
        <f>+landbouw!O12</f>
        <v>0</v>
      </c>
      <c r="Q54" s="1009">
        <f>+landbouw!P12</f>
        <v>0</v>
      </c>
      <c r="R54" s="720">
        <f ca="1">SUM(C54:Q54)</f>
        <v>23066.438715953569</v>
      </c>
    </row>
    <row r="55" spans="1:18" ht="15" thickBot="1">
      <c r="A55" s="819" t="s">
        <v>912</v>
      </c>
      <c r="B55" s="829"/>
      <c r="C55" s="1008">
        <f ca="1">C25*'EF ele_warmte'!B12</f>
        <v>149.25129479510889</v>
      </c>
      <c r="D55" s="1008"/>
      <c r="E55" s="1008">
        <f>E25*EF_CO2_aardgas</f>
        <v>293.36678977845082</v>
      </c>
      <c r="F55" s="1008"/>
      <c r="G55" s="1008"/>
      <c r="H55" s="1008"/>
      <c r="I55" s="1008"/>
      <c r="J55" s="1008"/>
      <c r="K55" s="1008"/>
      <c r="L55" s="1008"/>
      <c r="M55" s="1008"/>
      <c r="N55" s="1008"/>
      <c r="O55" s="1008"/>
      <c r="P55" s="1008"/>
      <c r="Q55" s="1009"/>
      <c r="R55" s="720">
        <f ca="1">SUM(C55:Q55)</f>
        <v>442.61808457355971</v>
      </c>
    </row>
    <row r="56" spans="1:18" ht="15.75" thickBot="1">
      <c r="A56" s="817" t="s">
        <v>913</v>
      </c>
      <c r="B56" s="830"/>
      <c r="C56" s="721">
        <f ca="1">SUM(C54:C55)</f>
        <v>2144.7708180434256</v>
      </c>
      <c r="D56" s="721">
        <f t="shared" ref="D56:Q56" ca="1" si="7">SUM(D54:D55)</f>
        <v>11698.280868949842</v>
      </c>
      <c r="E56" s="721">
        <f t="shared" si="7"/>
        <v>1144.3739101328906</v>
      </c>
      <c r="F56" s="721">
        <f t="shared" si="7"/>
        <v>19.867699234330335</v>
      </c>
      <c r="G56" s="721">
        <f t="shared" si="7"/>
        <v>8094.9175834916623</v>
      </c>
      <c r="H56" s="721">
        <f t="shared" si="7"/>
        <v>0</v>
      </c>
      <c r="I56" s="721">
        <f t="shared" si="7"/>
        <v>0</v>
      </c>
      <c r="J56" s="721">
        <f t="shared" si="7"/>
        <v>0</v>
      </c>
      <c r="K56" s="721">
        <f t="shared" si="7"/>
        <v>406.84592067497886</v>
      </c>
      <c r="L56" s="721">
        <f t="shared" si="7"/>
        <v>0</v>
      </c>
      <c r="M56" s="721">
        <f t="shared" si="7"/>
        <v>0</v>
      </c>
      <c r="N56" s="721">
        <f t="shared" si="7"/>
        <v>0</v>
      </c>
      <c r="O56" s="721">
        <f t="shared" si="7"/>
        <v>0</v>
      </c>
      <c r="P56" s="721">
        <f t="shared" si="7"/>
        <v>0</v>
      </c>
      <c r="Q56" s="722">
        <f t="shared" si="7"/>
        <v>0</v>
      </c>
      <c r="R56" s="723">
        <f ca="1">SUM(R54:R55)</f>
        <v>23509.056800527127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41173.521836939864</v>
      </c>
      <c r="D61" s="729">
        <f t="shared" ref="D61:Q61" ca="1" si="8">D46+D52+D56</f>
        <v>12127.129411764707</v>
      </c>
      <c r="E61" s="729">
        <f t="shared" ca="1" si="8"/>
        <v>27125.905919162215</v>
      </c>
      <c r="F61" s="729">
        <f t="shared" si="8"/>
        <v>2120.2732640161503</v>
      </c>
      <c r="G61" s="729">
        <f t="shared" ca="1" si="8"/>
        <v>19569.261421520823</v>
      </c>
      <c r="H61" s="729">
        <f t="shared" si="8"/>
        <v>15975.345596794781</v>
      </c>
      <c r="I61" s="729">
        <f t="shared" si="8"/>
        <v>2508.4856921481837</v>
      </c>
      <c r="J61" s="729">
        <f t="shared" si="8"/>
        <v>0</v>
      </c>
      <c r="K61" s="729">
        <f t="shared" si="8"/>
        <v>1416.7208672873803</v>
      </c>
      <c r="L61" s="729">
        <f t="shared" si="8"/>
        <v>0</v>
      </c>
      <c r="M61" s="729">
        <f t="shared" ca="1" si="8"/>
        <v>0</v>
      </c>
      <c r="N61" s="729">
        <f t="shared" si="8"/>
        <v>0</v>
      </c>
      <c r="O61" s="729">
        <f t="shared" ca="1" si="8"/>
        <v>0</v>
      </c>
      <c r="P61" s="729">
        <f t="shared" si="8"/>
        <v>0</v>
      </c>
      <c r="Q61" s="729">
        <f t="shared" si="8"/>
        <v>0</v>
      </c>
      <c r="R61" s="729">
        <f ca="1">R46+R52+R56</f>
        <v>122016.6440096341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0.2147909868944094</v>
      </c>
      <c r="D63" s="773">
        <f t="shared" ca="1" si="9"/>
        <v>0.22924320730844291</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6766.7994462609513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1309.5</v>
      </c>
      <c r="C76" s="739">
        <f>'lokale energieproductie'!B8*IFERROR(SUM(D76:H76)/SUM(D76:O76),0)</f>
        <v>35721</v>
      </c>
      <c r="D76" s="1020">
        <f>'lokale energieproductie'!C8</f>
        <v>42024.705882352937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1540.5882352941176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8488.9905882352941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8076.2994462609513</v>
      </c>
      <c r="C78" s="744">
        <f>SUM(C72:C77)</f>
        <v>35721</v>
      </c>
      <c r="D78" s="745">
        <f t="shared" ref="D78:H78" si="10">SUM(D76:D77)</f>
        <v>42024.705882352937</v>
      </c>
      <c r="E78" s="745">
        <f t="shared" si="10"/>
        <v>0</v>
      </c>
      <c r="F78" s="745">
        <f t="shared" si="10"/>
        <v>0</v>
      </c>
      <c r="G78" s="745">
        <f t="shared" si="10"/>
        <v>0</v>
      </c>
      <c r="H78" s="745">
        <f t="shared" si="10"/>
        <v>0</v>
      </c>
      <c r="I78" s="745">
        <f>SUM(I76:I77)</f>
        <v>0</v>
      </c>
      <c r="J78" s="745">
        <f>SUM(J76:J77)</f>
        <v>1540.5882352941176</v>
      </c>
      <c r="K78" s="745">
        <f t="shared" ref="K78:L78" si="11">SUM(K76:K77)</f>
        <v>0</v>
      </c>
      <c r="L78" s="745">
        <f t="shared" si="11"/>
        <v>0</v>
      </c>
      <c r="M78" s="745">
        <f>SUM(M76:M77)</f>
        <v>0</v>
      </c>
      <c r="N78" s="745">
        <f>SUM(N76:N77)</f>
        <v>0</v>
      </c>
      <c r="O78" s="854">
        <f>SUM(O76:O77)</f>
        <v>0</v>
      </c>
      <c r="P78" s="746">
        <v>0</v>
      </c>
      <c r="Q78" s="746">
        <f>SUM(Q76:Q77)</f>
        <v>8488.9905882352941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1870.7142857142858</v>
      </c>
      <c r="C87" s="755">
        <f>'lokale energieproductie'!B17*IFERROR(SUM(D87:H87)/SUM(D87:O87),0)</f>
        <v>51030.000000000007</v>
      </c>
      <c r="D87" s="766">
        <f>'lokale energieproductie'!C17</f>
        <v>60035.294117647063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12127.129411764707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1870.7142857142858</v>
      </c>
      <c r="C90" s="744">
        <f>SUM(C87:C89)</f>
        <v>51030.000000000007</v>
      </c>
      <c r="D90" s="744">
        <f t="shared" ref="D90:H90" si="12">SUM(D87:D89)</f>
        <v>60035.294117647063</v>
      </c>
      <c r="E90" s="744">
        <f t="shared" si="12"/>
        <v>0</v>
      </c>
      <c r="F90" s="744">
        <f t="shared" si="12"/>
        <v>0</v>
      </c>
      <c r="G90" s="744">
        <f t="shared" si="12"/>
        <v>0</v>
      </c>
      <c r="H90" s="744">
        <f t="shared" si="12"/>
        <v>0</v>
      </c>
      <c r="I90" s="744">
        <f>SUM(I87:I89)</f>
        <v>0</v>
      </c>
      <c r="J90" s="744">
        <f>SUM(J87:J89)</f>
        <v>2200.840336134454</v>
      </c>
      <c r="K90" s="744">
        <f t="shared" ref="K90:L90" si="13">SUM(K87:K89)</f>
        <v>0</v>
      </c>
      <c r="L90" s="744">
        <f t="shared" si="13"/>
        <v>0</v>
      </c>
      <c r="M90" s="744">
        <f>SUM(M87:M89)</f>
        <v>0</v>
      </c>
      <c r="N90" s="744">
        <f>SUM(N87:N89)</f>
        <v>0</v>
      </c>
      <c r="O90" s="744">
        <f>SUM(O87:O89)</f>
        <v>0</v>
      </c>
      <c r="P90" s="744">
        <v>0</v>
      </c>
      <c r="Q90" s="744">
        <f>SUM(Q87:Q89)</f>
        <v>12127.129411764707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6766.7994462609513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37030.5</v>
      </c>
      <c r="C8" s="558">
        <f>B101</f>
        <v>42024.705882352937</v>
      </c>
      <c r="D8" s="991"/>
      <c r="E8" s="991">
        <f>E101</f>
        <v>0</v>
      </c>
      <c r="F8" s="992"/>
      <c r="G8" s="559"/>
      <c r="H8" s="991">
        <f>I101</f>
        <v>0</v>
      </c>
      <c r="I8" s="991">
        <f>G101+F101</f>
        <v>0</v>
      </c>
      <c r="J8" s="991">
        <f>H101+D101+C101</f>
        <v>1540.5882352941176</v>
      </c>
      <c r="K8" s="991"/>
      <c r="L8" s="991"/>
      <c r="M8" s="991"/>
      <c r="N8" s="560"/>
      <c r="O8" s="561">
        <f>C8*$C$12+D8*$D$12+E8*$E$12+F8*$F$12+G8*$G$12+H8*$H$12+I8*$I$12+J8*$J$12</f>
        <v>8488.9905882352941</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43797.299446260949</v>
      </c>
      <c r="C10" s="570">
        <f t="shared" ref="C10:L10" si="0">SUM(C8:C9)</f>
        <v>42024.705882352937</v>
      </c>
      <c r="D10" s="570">
        <f t="shared" si="0"/>
        <v>0</v>
      </c>
      <c r="E10" s="570">
        <f t="shared" si="0"/>
        <v>0</v>
      </c>
      <c r="F10" s="570">
        <f t="shared" si="0"/>
        <v>0</v>
      </c>
      <c r="G10" s="570">
        <f t="shared" si="0"/>
        <v>0</v>
      </c>
      <c r="H10" s="570">
        <f t="shared" si="0"/>
        <v>0</v>
      </c>
      <c r="I10" s="570">
        <f t="shared" si="0"/>
        <v>0</v>
      </c>
      <c r="J10" s="570">
        <f t="shared" si="0"/>
        <v>1540.5882352941176</v>
      </c>
      <c r="K10" s="570">
        <f t="shared" si="0"/>
        <v>0</v>
      </c>
      <c r="L10" s="570">
        <f t="shared" si="0"/>
        <v>0</v>
      </c>
      <c r="M10" s="995"/>
      <c r="N10" s="995"/>
      <c r="O10" s="571">
        <f>SUM(O4:O9)</f>
        <v>8488.9905882352941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52900.71428571429</v>
      </c>
      <c r="C17" s="582">
        <f>B102</f>
        <v>60035.294117647063</v>
      </c>
      <c r="D17" s="583"/>
      <c r="E17" s="583">
        <f>E102</f>
        <v>0</v>
      </c>
      <c r="F17" s="584"/>
      <c r="G17" s="585"/>
      <c r="H17" s="582">
        <f>I102</f>
        <v>0</v>
      </c>
      <c r="I17" s="583">
        <f>G102+F102</f>
        <v>0</v>
      </c>
      <c r="J17" s="583">
        <f>H102+D102+C102</f>
        <v>2200.840336134454</v>
      </c>
      <c r="K17" s="583"/>
      <c r="L17" s="583"/>
      <c r="M17" s="583"/>
      <c r="N17" s="998"/>
      <c r="O17" s="586">
        <f>C17*$C$22+E17*$E$22+H17*$H$22+I17*$I$22+J17*$J$22+D17*$D$22+F17*$F$22+G17*$G$22+K17*$K$22+L17*$L$22</f>
        <v>12127.129411764707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52900.71428571429</v>
      </c>
      <c r="C20" s="569">
        <f>SUM(C17:C19)</f>
        <v>60035.294117647063</v>
      </c>
      <c r="D20" s="569">
        <f t="shared" ref="D20:L20" si="1">SUM(D17:D19)</f>
        <v>0</v>
      </c>
      <c r="E20" s="569">
        <f t="shared" si="1"/>
        <v>0</v>
      </c>
      <c r="F20" s="569">
        <f t="shared" si="1"/>
        <v>0</v>
      </c>
      <c r="G20" s="569">
        <f t="shared" si="1"/>
        <v>0</v>
      </c>
      <c r="H20" s="569">
        <f t="shared" si="1"/>
        <v>0</v>
      </c>
      <c r="I20" s="569">
        <f t="shared" si="1"/>
        <v>0</v>
      </c>
      <c r="J20" s="569">
        <f t="shared" si="1"/>
        <v>2200.840336134454</v>
      </c>
      <c r="K20" s="569">
        <f t="shared" si="1"/>
        <v>0</v>
      </c>
      <c r="L20" s="569">
        <f t="shared" si="1"/>
        <v>0</v>
      </c>
      <c r="M20" s="569"/>
      <c r="N20" s="569"/>
      <c r="O20" s="590">
        <f>SUM(O17:O19)</f>
        <v>12127.129411764707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36019</v>
      </c>
      <c r="C28" s="789">
        <v>8840</v>
      </c>
      <c r="D28" s="642" t="s">
        <v>948</v>
      </c>
      <c r="E28" s="641" t="s">
        <v>949</v>
      </c>
      <c r="F28" s="641" t="s">
        <v>950</v>
      </c>
      <c r="G28" s="641" t="s">
        <v>951</v>
      </c>
      <c r="H28" s="641" t="s">
        <v>952</v>
      </c>
      <c r="I28" s="641" t="s">
        <v>953</v>
      </c>
      <c r="J28" s="788">
        <v>38990</v>
      </c>
      <c r="K28" s="788">
        <v>38412</v>
      </c>
      <c r="L28" s="641" t="s">
        <v>954</v>
      </c>
      <c r="M28" s="641">
        <v>291</v>
      </c>
      <c r="N28" s="641">
        <v>1309.5</v>
      </c>
      <c r="O28" s="641">
        <v>1870.7142857142858</v>
      </c>
      <c r="P28" s="641">
        <v>0</v>
      </c>
      <c r="Q28" s="641">
        <v>3741.4285714285716</v>
      </c>
      <c r="R28" s="641">
        <v>0</v>
      </c>
      <c r="S28" s="641">
        <v>0</v>
      </c>
      <c r="T28" s="641">
        <v>0</v>
      </c>
      <c r="U28" s="641">
        <v>0</v>
      </c>
      <c r="V28" s="641">
        <v>0</v>
      </c>
      <c r="W28" s="641"/>
      <c r="X28" s="641">
        <v>500</v>
      </c>
      <c r="Y28" s="641" t="s">
        <v>41</v>
      </c>
      <c r="Z28" s="643" t="s">
        <v>391</v>
      </c>
    </row>
    <row r="29" spans="1:26" s="595" customFormat="1" ht="25.5">
      <c r="A29" s="594"/>
      <c r="B29" s="789">
        <v>36019</v>
      </c>
      <c r="C29" s="789">
        <v>8840</v>
      </c>
      <c r="D29" s="642" t="s">
        <v>955</v>
      </c>
      <c r="E29" s="641" t="s">
        <v>956</v>
      </c>
      <c r="F29" s="641" t="s">
        <v>957</v>
      </c>
      <c r="G29" s="641" t="s">
        <v>951</v>
      </c>
      <c r="H29" s="641" t="s">
        <v>952</v>
      </c>
      <c r="I29" s="641" t="s">
        <v>956</v>
      </c>
      <c r="J29" s="788">
        <v>39912</v>
      </c>
      <c r="K29" s="788">
        <v>39923</v>
      </c>
      <c r="L29" s="641" t="s">
        <v>954</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25.5">
      <c r="A30" s="594"/>
      <c r="B30" s="789">
        <v>36019</v>
      </c>
      <c r="C30" s="789">
        <v>8840</v>
      </c>
      <c r="D30" s="642" t="s">
        <v>955</v>
      </c>
      <c r="E30" s="641" t="s">
        <v>956</v>
      </c>
      <c r="F30" s="641" t="s">
        <v>958</v>
      </c>
      <c r="G30" s="641" t="s">
        <v>951</v>
      </c>
      <c r="H30" s="641" t="s">
        <v>952</v>
      </c>
      <c r="I30" s="641" t="s">
        <v>959</v>
      </c>
      <c r="J30" s="788">
        <v>40557</v>
      </c>
      <c r="K30" s="788">
        <v>40576</v>
      </c>
      <c r="L30" s="641" t="s">
        <v>954</v>
      </c>
      <c r="M30" s="641">
        <v>2000</v>
      </c>
      <c r="N30" s="641">
        <v>9000</v>
      </c>
      <c r="O30" s="641">
        <v>12857.142857142857</v>
      </c>
      <c r="P30" s="641">
        <v>25714.285714285717</v>
      </c>
      <c r="Q30" s="641">
        <v>0</v>
      </c>
      <c r="R30" s="641">
        <v>0</v>
      </c>
      <c r="S30" s="641">
        <v>0</v>
      </c>
      <c r="T30" s="641">
        <v>0</v>
      </c>
      <c r="U30" s="641">
        <v>0</v>
      </c>
      <c r="V30" s="641">
        <v>0</v>
      </c>
      <c r="W30" s="641"/>
      <c r="X30" s="641">
        <v>10</v>
      </c>
      <c r="Y30" s="641" t="s">
        <v>112</v>
      </c>
      <c r="Z30" s="643" t="s">
        <v>112</v>
      </c>
    </row>
    <row r="31" spans="1:26" s="595" customFormat="1" ht="25.5">
      <c r="A31" s="594"/>
      <c r="B31" s="789">
        <v>36019</v>
      </c>
      <c r="C31" s="789">
        <v>8840</v>
      </c>
      <c r="D31" s="642" t="s">
        <v>960</v>
      </c>
      <c r="E31" s="641" t="s">
        <v>961</v>
      </c>
      <c r="F31" s="641" t="s">
        <v>962</v>
      </c>
      <c r="G31" s="641" t="s">
        <v>951</v>
      </c>
      <c r="H31" s="641" t="s">
        <v>952</v>
      </c>
      <c r="I31" s="641" t="s">
        <v>961</v>
      </c>
      <c r="J31" s="788">
        <v>40910</v>
      </c>
      <c r="K31" s="788">
        <v>39792</v>
      </c>
      <c r="L31" s="641" t="s">
        <v>954</v>
      </c>
      <c r="M31" s="641">
        <v>3938</v>
      </c>
      <c r="N31" s="641">
        <v>17721</v>
      </c>
      <c r="O31" s="641">
        <v>25315.714285714286</v>
      </c>
      <c r="P31" s="641">
        <v>50631.428571428572</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8229</v>
      </c>
      <c r="N58" s="599">
        <f>SUM(N28:N57)</f>
        <v>37030.5</v>
      </c>
      <c r="O58" s="599">
        <f t="shared" ref="O58:W58" si="2">SUM(O28:O57)</f>
        <v>52900.71428571429</v>
      </c>
      <c r="P58" s="599">
        <f t="shared" si="2"/>
        <v>102060</v>
      </c>
      <c r="Q58" s="599">
        <f t="shared" si="2"/>
        <v>3741.4285714285716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291</v>
      </c>
      <c r="N59" s="599">
        <f t="shared" si="3"/>
        <v>1309.5</v>
      </c>
      <c r="O59" s="599">
        <f t="shared" si="3"/>
        <v>1870.7142857142858</v>
      </c>
      <c r="P59" s="599">
        <f t="shared" si="3"/>
        <v>0</v>
      </c>
      <c r="Q59" s="599">
        <f t="shared" si="3"/>
        <v>3741.4285714285716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7938</v>
      </c>
      <c r="N61" s="604">
        <f t="shared" si="4"/>
        <v>35721</v>
      </c>
      <c r="O61" s="604">
        <f t="shared" si="4"/>
        <v>51030</v>
      </c>
      <c r="P61" s="604">
        <f t="shared" si="4"/>
        <v>102060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42024.705882352937</v>
      </c>
      <c r="C101" s="633">
        <f t="shared" si="9"/>
        <v>1540.5882352941176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60035.294117647063</v>
      </c>
      <c r="C102" s="636">
        <f t="shared" si="10"/>
        <v>2200.840336134454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19876.784059817739</v>
      </c>
      <c r="C4" s="461">
        <f>huishoudens!C8</f>
        <v>0</v>
      </c>
      <c r="D4" s="461">
        <f>huishoudens!D8</f>
        <v>32404.571475187968</v>
      </c>
      <c r="E4" s="461">
        <f>huishoudens!E8</f>
        <v>7424.0466389140956</v>
      </c>
      <c r="F4" s="461">
        <f>huishoudens!F8</f>
        <v>22039.580809379804</v>
      </c>
      <c r="G4" s="461">
        <f>huishoudens!G8</f>
        <v>0</v>
      </c>
      <c r="H4" s="461">
        <f>huishoudens!H8</f>
        <v>0</v>
      </c>
      <c r="I4" s="461">
        <f>huishoudens!I8</f>
        <v>0</v>
      </c>
      <c r="J4" s="461">
        <f>huishoudens!J8</f>
        <v>2824.3531845251528</v>
      </c>
      <c r="K4" s="461">
        <f>huishoudens!K8</f>
        <v>0</v>
      </c>
      <c r="L4" s="461">
        <f>huishoudens!L8</f>
        <v>0</v>
      </c>
      <c r="M4" s="461">
        <f>huishoudens!M8</f>
        <v>0</v>
      </c>
      <c r="N4" s="461">
        <f>huishoudens!N8</f>
        <v>17139.743952107579</v>
      </c>
      <c r="O4" s="461">
        <f>huishoudens!O8</f>
        <v>156.33333333333334</v>
      </c>
      <c r="P4" s="462">
        <f>huishoudens!P8</f>
        <v>76.266666666666666</v>
      </c>
      <c r="Q4" s="463">
        <f>SUM(B4:P4)</f>
        <v>101941.68011993232</v>
      </c>
    </row>
    <row r="5" spans="1:17">
      <c r="A5" s="460" t="s">
        <v>156</v>
      </c>
      <c r="B5" s="461">
        <f ca="1">tertiair!B16</f>
        <v>9511.3323692248305</v>
      </c>
      <c r="C5" s="461">
        <f ca="1">tertiair!C16</f>
        <v>0</v>
      </c>
      <c r="D5" s="461">
        <f ca="1">tertiair!D16</f>
        <v>31918.714472053114</v>
      </c>
      <c r="E5" s="461">
        <f>tertiair!E16</f>
        <v>104.91572927774237</v>
      </c>
      <c r="F5" s="461">
        <f ca="1">tertiair!F16</f>
        <v>1908.8451299460678</v>
      </c>
      <c r="G5" s="461">
        <f>tertiair!G16</f>
        <v>0</v>
      </c>
      <c r="H5" s="461">
        <f>tertiair!H16</f>
        <v>0</v>
      </c>
      <c r="I5" s="461">
        <f>tertiair!I16</f>
        <v>0</v>
      </c>
      <c r="J5" s="461">
        <f>tertiair!J16</f>
        <v>0</v>
      </c>
      <c r="K5" s="461">
        <f>tertiair!K16</f>
        <v>0</v>
      </c>
      <c r="L5" s="461">
        <f ca="1">tertiair!L16</f>
        <v>0</v>
      </c>
      <c r="M5" s="461">
        <f>tertiair!M16</f>
        <v>0</v>
      </c>
      <c r="N5" s="461">
        <f ca="1">tertiair!N16</f>
        <v>581.82679120650209</v>
      </c>
      <c r="O5" s="461">
        <f>tertiair!O16</f>
        <v>0</v>
      </c>
      <c r="P5" s="462">
        <f>tertiair!P16</f>
        <v>0</v>
      </c>
      <c r="Q5" s="460">
        <f t="shared" ref="Q5:Q14" ca="1" si="0">SUM(B5:P5)</f>
        <v>44025.634491708261</v>
      </c>
    </row>
    <row r="6" spans="1:17">
      <c r="A6" s="460" t="s">
        <v>194</v>
      </c>
      <c r="B6" s="461">
        <f>'openbare verlichting'!B8</f>
        <v>903.245</v>
      </c>
      <c r="C6" s="461"/>
      <c r="D6" s="461"/>
      <c r="E6" s="461"/>
      <c r="F6" s="461"/>
      <c r="G6" s="461"/>
      <c r="H6" s="461"/>
      <c r="I6" s="461"/>
      <c r="J6" s="461"/>
      <c r="K6" s="461"/>
      <c r="L6" s="461"/>
      <c r="M6" s="461"/>
      <c r="N6" s="461"/>
      <c r="O6" s="461"/>
      <c r="P6" s="462"/>
      <c r="Q6" s="460">
        <f t="shared" si="0"/>
        <v>903.245</v>
      </c>
    </row>
    <row r="7" spans="1:17">
      <c r="A7" s="460" t="s">
        <v>112</v>
      </c>
      <c r="B7" s="461">
        <f>landbouw!B8</f>
        <v>9290.5179686580977</v>
      </c>
      <c r="C7" s="461">
        <f>landbouw!C8</f>
        <v>51030</v>
      </c>
      <c r="D7" s="461">
        <f>landbouw!D8</f>
        <v>4212.906536408118</v>
      </c>
      <c r="E7" s="461">
        <f>landbouw!E8</f>
        <v>87.52290411599266</v>
      </c>
      <c r="F7" s="461">
        <f>landbouw!F8</f>
        <v>30318.043383863904</v>
      </c>
      <c r="G7" s="461">
        <f>landbouw!G8</f>
        <v>0</v>
      </c>
      <c r="H7" s="461">
        <f>landbouw!H8</f>
        <v>0</v>
      </c>
      <c r="I7" s="461">
        <f>landbouw!I8</f>
        <v>0</v>
      </c>
      <c r="J7" s="461">
        <f>landbouw!J8</f>
        <v>1149.2822617937256</v>
      </c>
      <c r="K7" s="461">
        <f>landbouw!K8</f>
        <v>0</v>
      </c>
      <c r="L7" s="461">
        <f>landbouw!L8</f>
        <v>0</v>
      </c>
      <c r="M7" s="461">
        <f>landbouw!M8</f>
        <v>0</v>
      </c>
      <c r="N7" s="461">
        <f>landbouw!N8</f>
        <v>0</v>
      </c>
      <c r="O7" s="461">
        <f>landbouw!O8</f>
        <v>0</v>
      </c>
      <c r="P7" s="462">
        <f>landbouw!P8</f>
        <v>0</v>
      </c>
      <c r="Q7" s="460">
        <f t="shared" si="0"/>
        <v>96088.273054839825</v>
      </c>
    </row>
    <row r="8" spans="1:17">
      <c r="A8" s="460" t="s">
        <v>685</v>
      </c>
      <c r="B8" s="461">
        <f>industrie!B18</f>
        <v>151412.95316301359</v>
      </c>
      <c r="C8" s="461">
        <f>industrie!C18</f>
        <v>1870.7142857142858</v>
      </c>
      <c r="D8" s="461">
        <f>industrie!D18</f>
        <v>64293.566154885826</v>
      </c>
      <c r="E8" s="461">
        <f>industrie!E18</f>
        <v>1464.4824694858346</v>
      </c>
      <c r="F8" s="461">
        <f>industrie!F18</f>
        <v>19026.644615090463</v>
      </c>
      <c r="G8" s="461">
        <f>industrie!G18</f>
        <v>0</v>
      </c>
      <c r="H8" s="461">
        <f>industrie!H18</f>
        <v>0</v>
      </c>
      <c r="I8" s="461">
        <f>industrie!I18</f>
        <v>0</v>
      </c>
      <c r="J8" s="461">
        <f>industrie!J18</f>
        <v>28.400901950558129</v>
      </c>
      <c r="K8" s="461">
        <f>industrie!K18</f>
        <v>0</v>
      </c>
      <c r="L8" s="461">
        <f>industrie!L18</f>
        <v>0</v>
      </c>
      <c r="M8" s="461">
        <f>industrie!M18</f>
        <v>0</v>
      </c>
      <c r="N8" s="461">
        <f>industrie!N18</f>
        <v>0</v>
      </c>
      <c r="O8" s="461">
        <f>industrie!O18</f>
        <v>0</v>
      </c>
      <c r="P8" s="462">
        <f>industrie!P18</f>
        <v>0</v>
      </c>
      <c r="Q8" s="460">
        <f t="shared" si="0"/>
        <v>238096.76159014055</v>
      </c>
    </row>
    <row r="9" spans="1:17" s="466" customFormat="1">
      <c r="A9" s="464" t="s">
        <v>579</v>
      </c>
      <c r="B9" s="465">
        <f>transport!B14</f>
        <v>1.4058536665137673</v>
      </c>
      <c r="C9" s="465">
        <f>transport!C14</f>
        <v>0</v>
      </c>
      <c r="D9" s="465">
        <f>transport!D14</f>
        <v>4.5934871271674247</v>
      </c>
      <c r="E9" s="465">
        <f>transport!E14</f>
        <v>259.44311290303119</v>
      </c>
      <c r="F9" s="465">
        <f>transport!F14</f>
        <v>0</v>
      </c>
      <c r="G9" s="465">
        <f>transport!G14</f>
        <v>58586.429316246948</v>
      </c>
      <c r="H9" s="465">
        <f>transport!H14</f>
        <v>10074.239727502745</v>
      </c>
      <c r="I9" s="465">
        <f>transport!I14</f>
        <v>0</v>
      </c>
      <c r="J9" s="465">
        <f>transport!J14</f>
        <v>0</v>
      </c>
      <c r="K9" s="465">
        <f>transport!K14</f>
        <v>0</v>
      </c>
      <c r="L9" s="465">
        <f>transport!L14</f>
        <v>0</v>
      </c>
      <c r="M9" s="465">
        <f>transport!M14</f>
        <v>3069.7026298453538</v>
      </c>
      <c r="N9" s="465">
        <f>transport!N14</f>
        <v>0</v>
      </c>
      <c r="O9" s="465">
        <f>transport!O14</f>
        <v>0</v>
      </c>
      <c r="P9" s="465">
        <f>transport!P14</f>
        <v>0</v>
      </c>
      <c r="Q9" s="464">
        <f>SUM(B9:P9)</f>
        <v>71995.814127291756</v>
      </c>
    </row>
    <row r="10" spans="1:17">
      <c r="A10" s="460" t="s">
        <v>569</v>
      </c>
      <c r="B10" s="461">
        <f>transport!B54</f>
        <v>0</v>
      </c>
      <c r="C10" s="461">
        <f>transport!C54</f>
        <v>0</v>
      </c>
      <c r="D10" s="461">
        <f>transport!D54</f>
        <v>0</v>
      </c>
      <c r="E10" s="461">
        <f>transport!E54</f>
        <v>0</v>
      </c>
      <c r="F10" s="461">
        <f>transport!F54</f>
        <v>0</v>
      </c>
      <c r="G10" s="461">
        <f>transport!G54</f>
        <v>1246.3257279282548</v>
      </c>
      <c r="H10" s="461">
        <f>transport!H54</f>
        <v>0</v>
      </c>
      <c r="I10" s="461">
        <f>transport!I54</f>
        <v>0</v>
      </c>
      <c r="J10" s="461">
        <f>transport!J54</f>
        <v>0</v>
      </c>
      <c r="K10" s="461">
        <f>transport!K54</f>
        <v>0</v>
      </c>
      <c r="L10" s="461">
        <f>transport!L54</f>
        <v>0</v>
      </c>
      <c r="M10" s="461">
        <f>transport!M54</f>
        <v>54.728218656219347</v>
      </c>
      <c r="N10" s="461">
        <f>transport!N54</f>
        <v>0</v>
      </c>
      <c r="O10" s="461">
        <f>transport!O54</f>
        <v>0</v>
      </c>
      <c r="P10" s="462">
        <f>transport!P54</f>
        <v>0</v>
      </c>
      <c r="Q10" s="460">
        <f t="shared" si="0"/>
        <v>1301.053946584474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694.86758710448305</v>
      </c>
      <c r="C14" s="468"/>
      <c r="D14" s="468">
        <f>'SEAP template'!E25</f>
        <v>1452.3108404873801</v>
      </c>
      <c r="E14" s="468"/>
      <c r="F14" s="468"/>
      <c r="G14" s="468"/>
      <c r="H14" s="468"/>
      <c r="I14" s="468"/>
      <c r="J14" s="468"/>
      <c r="K14" s="468"/>
      <c r="L14" s="468"/>
      <c r="M14" s="468"/>
      <c r="N14" s="468"/>
      <c r="O14" s="468"/>
      <c r="P14" s="469"/>
      <c r="Q14" s="460">
        <f t="shared" si="0"/>
        <v>2147.1784275918631</v>
      </c>
    </row>
    <row r="15" spans="1:17" s="473" customFormat="1">
      <c r="A15" s="470" t="s">
        <v>573</v>
      </c>
      <c r="B15" s="471">
        <f ca="1">SUM(B4:B14)</f>
        <v>191691.10600148523</v>
      </c>
      <c r="C15" s="471">
        <f t="shared" ref="C15:Q15" ca="1" si="1">SUM(C4:C14)</f>
        <v>52900.714285714283</v>
      </c>
      <c r="D15" s="471">
        <f t="shared" ca="1" si="1"/>
        <v>134286.66296614957</v>
      </c>
      <c r="E15" s="471">
        <f t="shared" si="1"/>
        <v>9340.4108546966963</v>
      </c>
      <c r="F15" s="471">
        <f t="shared" ca="1" si="1"/>
        <v>73293.113938280236</v>
      </c>
      <c r="G15" s="471">
        <f t="shared" si="1"/>
        <v>59832.755044175203</v>
      </c>
      <c r="H15" s="471">
        <f t="shared" si="1"/>
        <v>10074.239727502745</v>
      </c>
      <c r="I15" s="471">
        <f t="shared" si="1"/>
        <v>0</v>
      </c>
      <c r="J15" s="471">
        <f t="shared" si="1"/>
        <v>4002.0363482694361</v>
      </c>
      <c r="K15" s="471">
        <f t="shared" si="1"/>
        <v>0</v>
      </c>
      <c r="L15" s="471">
        <f t="shared" ca="1" si="1"/>
        <v>0</v>
      </c>
      <c r="M15" s="471">
        <f t="shared" si="1"/>
        <v>3124.4308485015731</v>
      </c>
      <c r="N15" s="471">
        <f t="shared" ca="1" si="1"/>
        <v>17721.570743314081</v>
      </c>
      <c r="O15" s="471">
        <f t="shared" si="1"/>
        <v>156.33333333333334</v>
      </c>
      <c r="P15" s="471">
        <f t="shared" si="1"/>
        <v>76.266666666666666</v>
      </c>
      <c r="Q15" s="471">
        <f t="shared" ca="1" si="1"/>
        <v>556499.64075808914</v>
      </c>
    </row>
    <row r="17" spans="1:17">
      <c r="A17" s="474" t="s">
        <v>574</v>
      </c>
      <c r="B17" s="778">
        <f ca="1">huishoudens!B10</f>
        <v>0.2147909868944094</v>
      </c>
      <c r="C17" s="778">
        <f ca="1">huishoudens!C10</f>
        <v>0.22924320730844291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4269.3540644953173</v>
      </c>
      <c r="C22" s="461">
        <f t="shared" ref="C22:C32" ca="1" si="3">C4*$C$17</f>
        <v>0</v>
      </c>
      <c r="D22" s="461">
        <f t="shared" ref="D22:D32" si="4">D4*$D$17</f>
        <v>6545.7234379879701</v>
      </c>
      <c r="E22" s="461">
        <f t="shared" ref="E22:E32" si="5">E4*$E$17</f>
        <v>1685.2585870334997</v>
      </c>
      <c r="F22" s="461">
        <f t="shared" ref="F22:F32" si="6">F4*$F$17</f>
        <v>5884.5680761044077</v>
      </c>
      <c r="G22" s="461">
        <f t="shared" ref="G22:G32" si="7">G4*$G$17</f>
        <v>0</v>
      </c>
      <c r="H22" s="461">
        <f t="shared" ref="H22:H32" si="8">H4*$H$17</f>
        <v>0</v>
      </c>
      <c r="I22" s="461">
        <f t="shared" ref="I22:I32" si="9">I4*$I$17</f>
        <v>0</v>
      </c>
      <c r="J22" s="461">
        <f t="shared" ref="J22:J32" si="10">J4*$J$17</f>
        <v>999.82102732190401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19384.725192943097</v>
      </c>
    </row>
    <row r="23" spans="1:17">
      <c r="A23" s="460" t="s">
        <v>156</v>
      </c>
      <c r="B23" s="461">
        <f t="shared" ca="1" si="2"/>
        <v>2042.9484662665425</v>
      </c>
      <c r="C23" s="461">
        <f t="shared" ca="1" si="3"/>
        <v>0</v>
      </c>
      <c r="D23" s="461">
        <f t="shared" ca="1" si="4"/>
        <v>6447.5803233547294</v>
      </c>
      <c r="E23" s="461">
        <f t="shared" si="5"/>
        <v>23.81587054604752</v>
      </c>
      <c r="F23" s="461">
        <f t="shared" ca="1" si="6"/>
        <v>509.66164969560015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9024.0063098629198</v>
      </c>
    </row>
    <row r="24" spans="1:17">
      <c r="A24" s="460" t="s">
        <v>194</v>
      </c>
      <c r="B24" s="461">
        <f t="shared" ca="1" si="2"/>
        <v>194.00888495744081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194.00888495744081</v>
      </c>
    </row>
    <row r="25" spans="1:17">
      <c r="A25" s="460" t="s">
        <v>112</v>
      </c>
      <c r="B25" s="461">
        <f t="shared" ca="1" si="2"/>
        <v>1995.5195232483165</v>
      </c>
      <c r="C25" s="461">
        <f t="shared" ca="1" si="3"/>
        <v>11698.280868949842</v>
      </c>
      <c r="D25" s="461">
        <f t="shared" si="4"/>
        <v>851.00712035443985</v>
      </c>
      <c r="E25" s="461">
        <f t="shared" si="5"/>
        <v>19.867699234330335</v>
      </c>
      <c r="F25" s="461">
        <f t="shared" si="6"/>
        <v>8094.9175834916623</v>
      </c>
      <c r="G25" s="461">
        <f t="shared" si="7"/>
        <v>0</v>
      </c>
      <c r="H25" s="461">
        <f t="shared" si="8"/>
        <v>0</v>
      </c>
      <c r="I25" s="461">
        <f t="shared" si="9"/>
        <v>0</v>
      </c>
      <c r="J25" s="461">
        <f t="shared" si="10"/>
        <v>406.84592067497886</v>
      </c>
      <c r="K25" s="461">
        <f t="shared" si="11"/>
        <v>0</v>
      </c>
      <c r="L25" s="461">
        <f t="shared" si="12"/>
        <v>0</v>
      </c>
      <c r="M25" s="461">
        <f t="shared" si="13"/>
        <v>0</v>
      </c>
      <c r="N25" s="461">
        <f t="shared" si="14"/>
        <v>0</v>
      </c>
      <c r="O25" s="461">
        <f t="shared" si="15"/>
        <v>0</v>
      </c>
      <c r="P25" s="462">
        <f t="shared" si="16"/>
        <v>0</v>
      </c>
      <c r="Q25" s="460">
        <f t="shared" ca="1" si="17"/>
        <v>23066.438715953569</v>
      </c>
    </row>
    <row r="26" spans="1:17">
      <c r="A26" s="460" t="s">
        <v>685</v>
      </c>
      <c r="B26" s="461">
        <f t="shared" ca="1" si="2"/>
        <v>32522.137638480675</v>
      </c>
      <c r="C26" s="461">
        <f t="shared" ca="1" si="3"/>
        <v>428.84854281486571</v>
      </c>
      <c r="D26" s="461">
        <f t="shared" si="4"/>
        <v>12987.300363286939</v>
      </c>
      <c r="E26" s="461">
        <f t="shared" si="5"/>
        <v>332.43752057328447</v>
      </c>
      <c r="F26" s="461">
        <f t="shared" si="6"/>
        <v>5080.1141122291538</v>
      </c>
      <c r="G26" s="461">
        <f t="shared" si="7"/>
        <v>0</v>
      </c>
      <c r="H26" s="461">
        <f t="shared" si="8"/>
        <v>0</v>
      </c>
      <c r="I26" s="461">
        <f t="shared" si="9"/>
        <v>0</v>
      </c>
      <c r="J26" s="461">
        <f t="shared" si="10"/>
        <v>10.053919290497577</v>
      </c>
      <c r="K26" s="461">
        <f t="shared" si="11"/>
        <v>0</v>
      </c>
      <c r="L26" s="461">
        <f t="shared" si="12"/>
        <v>0</v>
      </c>
      <c r="M26" s="461">
        <f t="shared" si="13"/>
        <v>0</v>
      </c>
      <c r="N26" s="461">
        <f t="shared" si="14"/>
        <v>0</v>
      </c>
      <c r="O26" s="461">
        <f t="shared" si="15"/>
        <v>0</v>
      </c>
      <c r="P26" s="462">
        <f t="shared" si="16"/>
        <v>0</v>
      </c>
      <c r="Q26" s="460">
        <f t="shared" ca="1" si="17"/>
        <v>51360.892096675416</v>
      </c>
    </row>
    <row r="27" spans="1:17" s="466" customFormat="1">
      <c r="A27" s="464" t="s">
        <v>579</v>
      </c>
      <c r="B27" s="772">
        <f t="shared" ca="1" si="2"/>
        <v>0.30196469645961599</v>
      </c>
      <c r="C27" s="465">
        <f t="shared" ca="1" si="3"/>
        <v>0</v>
      </c>
      <c r="D27" s="465">
        <f t="shared" si="4"/>
        <v>0.92788439968781988</v>
      </c>
      <c r="E27" s="465">
        <f t="shared" si="5"/>
        <v>58.893586628988082</v>
      </c>
      <c r="F27" s="465">
        <f t="shared" si="6"/>
        <v>0</v>
      </c>
      <c r="G27" s="465">
        <f t="shared" si="7"/>
        <v>15642.576627437937</v>
      </c>
      <c r="H27" s="465">
        <f t="shared" si="8"/>
        <v>2508.4856921481837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18211.185755311257</v>
      </c>
    </row>
    <row r="28" spans="1:17">
      <c r="A28" s="460" t="s">
        <v>569</v>
      </c>
      <c r="B28" s="461">
        <f t="shared" ca="1" si="2"/>
        <v>0</v>
      </c>
      <c r="C28" s="461">
        <f t="shared" ca="1" si="3"/>
        <v>0</v>
      </c>
      <c r="D28" s="461">
        <f t="shared" si="4"/>
        <v>0</v>
      </c>
      <c r="E28" s="461">
        <f t="shared" si="5"/>
        <v>0</v>
      </c>
      <c r="F28" s="461">
        <f t="shared" si="6"/>
        <v>0</v>
      </c>
      <c r="G28" s="461">
        <f t="shared" si="7"/>
        <v>332.76896935684402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332.76896935684402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149.25129479510889</v>
      </c>
      <c r="C32" s="461">
        <f t="shared" ca="1" si="3"/>
        <v>0</v>
      </c>
      <c r="D32" s="461">
        <f t="shared" si="4"/>
        <v>293.36678977845082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442.61808457355971</v>
      </c>
    </row>
    <row r="33" spans="1:17" s="473" customFormat="1">
      <c r="A33" s="470" t="s">
        <v>573</v>
      </c>
      <c r="B33" s="471">
        <f ca="1">SUM(B22:B32)</f>
        <v>41173.521836939864</v>
      </c>
      <c r="C33" s="471">
        <f t="shared" ref="C33:Q33" ca="1" si="18">SUM(C22:C32)</f>
        <v>12127.129411764707</v>
      </c>
      <c r="D33" s="471">
        <f t="shared" ca="1" si="18"/>
        <v>27125.905919162218</v>
      </c>
      <c r="E33" s="471">
        <f t="shared" si="18"/>
        <v>2120.2732640161498</v>
      </c>
      <c r="F33" s="471">
        <f t="shared" ca="1" si="18"/>
        <v>19569.261421520823</v>
      </c>
      <c r="G33" s="471">
        <f t="shared" si="18"/>
        <v>15975.345596794781</v>
      </c>
      <c r="H33" s="471">
        <f t="shared" si="18"/>
        <v>2508.4856921481837</v>
      </c>
      <c r="I33" s="471">
        <f t="shared" si="18"/>
        <v>0</v>
      </c>
      <c r="J33" s="471">
        <f t="shared" si="18"/>
        <v>1416.7208672873803</v>
      </c>
      <c r="K33" s="471">
        <f t="shared" si="18"/>
        <v>0</v>
      </c>
      <c r="L33" s="471">
        <f t="shared" ca="1" si="18"/>
        <v>0</v>
      </c>
      <c r="M33" s="471">
        <f t="shared" si="18"/>
        <v>0</v>
      </c>
      <c r="N33" s="471">
        <f t="shared" ca="1" si="18"/>
        <v>0</v>
      </c>
      <c r="O33" s="471">
        <f t="shared" si="18"/>
        <v>0</v>
      </c>
      <c r="P33" s="471">
        <f t="shared" si="18"/>
        <v>0</v>
      </c>
      <c r="Q33" s="471">
        <f t="shared" ca="1" si="18"/>
        <v>122016.6440096341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6766.7994462609513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1309.5</v>
      </c>
      <c r="C8" s="1037">
        <f>'SEAP template'!C76</f>
        <v>35721</v>
      </c>
      <c r="D8" s="1037">
        <f>'SEAP template'!D76</f>
        <v>42024.705882352937</v>
      </c>
      <c r="E8" s="1037">
        <f>'SEAP template'!E76</f>
        <v>0</v>
      </c>
      <c r="F8" s="1037">
        <f>'SEAP template'!F76</f>
        <v>0</v>
      </c>
      <c r="G8" s="1037">
        <f>'SEAP template'!G76</f>
        <v>0</v>
      </c>
      <c r="H8" s="1037">
        <f>'SEAP template'!H76</f>
        <v>0</v>
      </c>
      <c r="I8" s="1037">
        <f>'SEAP template'!I76</f>
        <v>0</v>
      </c>
      <c r="J8" s="1037">
        <f>'SEAP template'!J76</f>
        <v>1540.5882352941176</v>
      </c>
      <c r="K8" s="1037">
        <f>'SEAP template'!K76</f>
        <v>0</v>
      </c>
      <c r="L8" s="1037">
        <f>'SEAP template'!L76</f>
        <v>0</v>
      </c>
      <c r="M8" s="1037">
        <f>'SEAP template'!M76</f>
        <v>0</v>
      </c>
      <c r="N8" s="1037">
        <f>'SEAP template'!N76</f>
        <v>0</v>
      </c>
      <c r="O8" s="1037">
        <f>'SEAP template'!O76</f>
        <v>0</v>
      </c>
      <c r="P8" s="1038">
        <f>'SEAP template'!Q76</f>
        <v>8488.9905882352941</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8076.2994462609513</v>
      </c>
      <c r="C10" s="1041">
        <f>SUM(C4:C9)</f>
        <v>35721</v>
      </c>
      <c r="D10" s="1041">
        <f t="shared" ref="D10:H10" si="0">SUM(D8:D9)</f>
        <v>42024.705882352937</v>
      </c>
      <c r="E10" s="1041">
        <f t="shared" si="0"/>
        <v>0</v>
      </c>
      <c r="F10" s="1041">
        <f t="shared" si="0"/>
        <v>0</v>
      </c>
      <c r="G10" s="1041">
        <f t="shared" si="0"/>
        <v>0</v>
      </c>
      <c r="H10" s="1041">
        <f t="shared" si="0"/>
        <v>0</v>
      </c>
      <c r="I10" s="1041">
        <f>SUM(I8:I9)</f>
        <v>0</v>
      </c>
      <c r="J10" s="1041">
        <f>SUM(J8:J9)</f>
        <v>1540.5882352941176</v>
      </c>
      <c r="K10" s="1041">
        <f t="shared" ref="K10:L10" si="1">SUM(K8:K9)</f>
        <v>0</v>
      </c>
      <c r="L10" s="1041">
        <f t="shared" si="1"/>
        <v>0</v>
      </c>
      <c r="M10" s="1041">
        <f>SUM(M8:M9)</f>
        <v>0</v>
      </c>
      <c r="N10" s="1041">
        <f>SUM(N8:N9)</f>
        <v>0</v>
      </c>
      <c r="O10" s="1041">
        <f>SUM(O8:O9)</f>
        <v>0</v>
      </c>
      <c r="P10" s="1041">
        <f>SUM(P8:P9)</f>
        <v>8488.9905882352941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0.2147909868944094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1870.7142857142858</v>
      </c>
      <c r="C17" s="1044">
        <f>'SEAP template'!C87</f>
        <v>51030.000000000007</v>
      </c>
      <c r="D17" s="1038">
        <f>'SEAP template'!D87</f>
        <v>60035.294117647063</v>
      </c>
      <c r="E17" s="1038">
        <f>'SEAP template'!E87</f>
        <v>0</v>
      </c>
      <c r="F17" s="1038">
        <f>'SEAP template'!F87</f>
        <v>0</v>
      </c>
      <c r="G17" s="1038">
        <f>'SEAP template'!G87</f>
        <v>0</v>
      </c>
      <c r="H17" s="1038">
        <f>'SEAP template'!H87</f>
        <v>0</v>
      </c>
      <c r="I17" s="1038">
        <f>'SEAP template'!I87</f>
        <v>0</v>
      </c>
      <c r="J17" s="1038">
        <f>'SEAP template'!J87</f>
        <v>2200.840336134454</v>
      </c>
      <c r="K17" s="1038">
        <f>'SEAP template'!K87</f>
        <v>0</v>
      </c>
      <c r="L17" s="1038">
        <f>'SEAP template'!L87</f>
        <v>0</v>
      </c>
      <c r="M17" s="1038">
        <f>'SEAP template'!M87</f>
        <v>0</v>
      </c>
      <c r="N17" s="1038">
        <f>'SEAP template'!N87</f>
        <v>0</v>
      </c>
      <c r="O17" s="1038">
        <f>'SEAP template'!O87</f>
        <v>0</v>
      </c>
      <c r="P17" s="1038">
        <f>'SEAP template'!Q87</f>
        <v>12127.129411764707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1870.7142857142858</v>
      </c>
      <c r="C20" s="1041">
        <f>SUM(C17:C19)</f>
        <v>51030.000000000007</v>
      </c>
      <c r="D20" s="1041">
        <f t="shared" ref="D20:H20" si="2">SUM(D17:D19)</f>
        <v>60035.294117647063</v>
      </c>
      <c r="E20" s="1041">
        <f t="shared" si="2"/>
        <v>0</v>
      </c>
      <c r="F20" s="1041">
        <f t="shared" si="2"/>
        <v>0</v>
      </c>
      <c r="G20" s="1041">
        <f t="shared" si="2"/>
        <v>0</v>
      </c>
      <c r="H20" s="1041">
        <f t="shared" si="2"/>
        <v>0</v>
      </c>
      <c r="I20" s="1041">
        <f>SUM(I17:I19)</f>
        <v>0</v>
      </c>
      <c r="J20" s="1041">
        <f>SUM(J17:J19)</f>
        <v>2200.840336134454</v>
      </c>
      <c r="K20" s="1041">
        <f t="shared" ref="K20:L20" si="3">SUM(K17:K19)</f>
        <v>0</v>
      </c>
      <c r="L20" s="1041">
        <f t="shared" si="3"/>
        <v>0</v>
      </c>
      <c r="M20" s="1041">
        <f>SUM(M17:M19)</f>
        <v>0</v>
      </c>
      <c r="N20" s="1041">
        <f>SUM(N17:N19)</f>
        <v>0</v>
      </c>
      <c r="O20" s="1041">
        <f>SUM(O17:O19)</f>
        <v>0</v>
      </c>
      <c r="P20" s="1041">
        <f>SUM(P17:P19)</f>
        <v>12127.129411764707</v>
      </c>
    </row>
    <row r="22" spans="1:16">
      <c r="A22" s="474" t="s">
        <v>932</v>
      </c>
      <c r="B22" s="778" t="s">
        <v>926</v>
      </c>
      <c r="C22" s="778">
        <f ca="1">'EF ele_warmte'!B22</f>
        <v>0.22924320730844291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0.2147909868944094</v>
      </c>
      <c r="C17" s="510">
        <f ca="1">'EF ele_warmte'!B22</f>
        <v>0.22924320730844291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2019-08-12T07:54:54Z</dcterms:modified>
</cp:coreProperties>
</file>