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K10"/>
  <c r="G10"/>
  <c r="D10"/>
  <c r="B8"/>
  <c r="B6"/>
  <c r="B5"/>
  <c r="B4"/>
  <c r="O19" l="1"/>
  <c r="B10"/>
  <c r="F20"/>
  <c r="O18"/>
  <c r="B17"/>
  <c r="B20" s="1"/>
  <c r="O9"/>
  <c r="C98"/>
  <c r="F101" s="1"/>
  <c r="I102"/>
  <c r="H17" s="1"/>
  <c r="H20" s="1"/>
  <c r="E102"/>
  <c r="E17" s="1"/>
  <c r="E20" s="1"/>
  <c r="G102"/>
  <c r="C102"/>
  <c r="H102"/>
  <c r="D102"/>
  <c r="F102"/>
  <c r="B102"/>
  <c r="C17" s="1"/>
  <c r="N6" i="17"/>
  <c r="L6"/>
  <c r="F6"/>
  <c r="D6"/>
  <c r="C6"/>
  <c r="N16" i="16"/>
  <c r="L16"/>
  <c r="F16"/>
  <c r="D16"/>
  <c r="C16"/>
  <c r="B16"/>
  <c r="B13" i="15"/>
  <c r="C101" i="18" l="1"/>
  <c r="J8" s="1"/>
  <c r="I101"/>
  <c r="H8" s="1"/>
  <c r="H10" s="1"/>
  <c r="E101"/>
  <c r="E8" s="1"/>
  <c r="E10" s="1"/>
  <c r="G101"/>
  <c r="I8" s="1"/>
  <c r="H101"/>
  <c r="D101"/>
  <c r="B101"/>
  <c r="C8" s="1"/>
  <c r="D76" i="14" s="1"/>
  <c r="C20" i="18"/>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O29" s="1"/>
  <c r="N11"/>
  <c r="M11"/>
  <c r="L11"/>
  <c r="K11"/>
  <c r="J11"/>
  <c r="I11"/>
  <c r="H11"/>
  <c r="G11"/>
  <c r="F11"/>
  <c r="E11"/>
  <c r="D11"/>
  <c r="C11"/>
  <c r="B11"/>
  <c r="Q11" s="1"/>
  <c r="P32"/>
  <c r="O32"/>
  <c r="P31"/>
  <c r="O31"/>
  <c r="Q12"/>
  <c r="P29"/>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L76"/>
  <c r="L8" i="56" s="1"/>
  <c r="K76" i="14"/>
  <c r="H76"/>
  <c r="H8" i="56" s="1"/>
  <c r="G76" i="14"/>
  <c r="G8" i="56" s="1"/>
  <c r="F76" i="14"/>
  <c r="F8" i="56" s="1"/>
  <c r="E76" i="14"/>
  <c r="B75"/>
  <c r="B7" i="56" s="1"/>
  <c r="B74" i="14"/>
  <c r="B6" i="56" s="1"/>
  <c r="B73" i="14"/>
  <c r="B5" i="56" s="1"/>
  <c r="B72" i="14"/>
  <c r="B4" i="56" s="1"/>
  <c r="Q54" i="14"/>
  <c r="P54"/>
  <c r="L54"/>
  <c r="J54"/>
  <c r="I54"/>
  <c r="I56" s="1"/>
  <c r="H54"/>
  <c r="Q24"/>
  <c r="P24"/>
  <c r="N24"/>
  <c r="L24"/>
  <c r="L26" s="1"/>
  <c r="J24"/>
  <c r="J26" s="1"/>
  <c r="I24"/>
  <c r="H24"/>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P26" i="14"/>
  <c r="H26"/>
  <c r="L22"/>
  <c r="D22"/>
  <c r="R12"/>
  <c r="F13" i="15"/>
  <c r="D13"/>
  <c r="C13"/>
  <c r="J10" i="18" l="1"/>
  <c r="J76" i="14"/>
  <c r="I10" i="18"/>
  <c r="I76" i="14"/>
  <c r="I8" i="56" s="1"/>
  <c r="I10" s="1"/>
  <c r="D8"/>
  <c r="Q14" i="48"/>
  <c r="K78" i="14"/>
  <c r="K8" i="56"/>
  <c r="K10" s="1"/>
  <c r="L90" i="14"/>
  <c r="L17" i="56"/>
  <c r="L20" s="1"/>
  <c r="G90" i="14"/>
  <c r="G18" i="56"/>
  <c r="C77" i="14"/>
  <c r="C9" i="56" s="1"/>
  <c r="D9"/>
  <c r="D10" s="1"/>
  <c r="Q88" i="14"/>
  <c r="P18" i="56" s="1"/>
  <c r="D18"/>
  <c r="K90" i="14"/>
  <c r="K18" i="56"/>
  <c r="C10" i="18"/>
  <c r="G78" i="14"/>
  <c r="F78"/>
  <c r="G10" i="56"/>
  <c r="C88" i="14"/>
  <c r="C18" i="56" s="1"/>
  <c r="G20"/>
  <c r="O78" i="14"/>
  <c r="O9" i="56"/>
  <c r="O10" s="1"/>
  <c r="O90" i="14"/>
  <c r="O18" i="56"/>
  <c r="O20" s="1"/>
  <c r="N78" i="14"/>
  <c r="N8" i="56"/>
  <c r="N10" s="1"/>
  <c r="E8"/>
  <c r="E10" s="1"/>
  <c r="N90" i="14"/>
  <c r="F20" i="56"/>
  <c r="F90" i="14"/>
  <c r="M76"/>
  <c r="E20" i="56"/>
  <c r="H78" i="14"/>
  <c r="H9" i="56"/>
  <c r="H10" s="1"/>
  <c r="Q87" i="14"/>
  <c r="P17" i="56" s="1"/>
  <c r="D17"/>
  <c r="K20"/>
  <c r="F10"/>
  <c r="H90" i="14"/>
  <c r="M20" i="56"/>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M78" i="14"/>
  <c r="M8" i="56"/>
  <c r="M10" s="1"/>
  <c r="J8"/>
  <c r="J10" s="1"/>
  <c r="J78" i="14"/>
  <c r="Q90"/>
  <c r="B17" i="6" s="1"/>
  <c r="C76" i="14"/>
  <c r="B76"/>
  <c r="P20" i="56"/>
  <c r="Q76" i="14"/>
  <c r="P8" i="56" s="1"/>
  <c r="P9"/>
  <c r="P10" s="1"/>
  <c r="D20"/>
  <c r="C90" i="14"/>
  <c r="B87"/>
  <c r="C8" i="56" l="1"/>
  <c r="C10" s="1"/>
  <c r="C78" i="14"/>
  <c r="B8" i="56"/>
  <c r="B10" s="1"/>
  <c r="B78" i="14"/>
  <c r="B90"/>
  <c r="B17" i="56"/>
  <c r="B20" s="1"/>
  <c r="Q78" i="14"/>
  <c r="B9" i="6" s="1"/>
  <c r="D5" i="17"/>
  <c r="B4" i="6" l="1"/>
  <c r="H14" i="15"/>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28" i="48"/>
  <c r="D30"/>
  <c r="D31"/>
  <c r="D24"/>
  <c r="D32"/>
  <c r="D29"/>
  <c r="L28"/>
  <c r="L32"/>
  <c r="L22"/>
  <c r="L30"/>
  <c r="L29"/>
  <c r="L27"/>
  <c r="L31"/>
  <c r="L24"/>
  <c r="K32"/>
  <c r="K28"/>
  <c r="K26"/>
  <c r="K29"/>
  <c r="K22"/>
  <c r="K31"/>
  <c r="K24"/>
  <c r="K27"/>
  <c r="K25"/>
  <c r="K30"/>
  <c r="I5"/>
  <c r="J10" i="14"/>
  <c r="J16" s="1"/>
  <c r="J27" s="1"/>
  <c r="J24" i="48"/>
  <c r="J30"/>
  <c r="J32"/>
  <c r="J28"/>
  <c r="J27"/>
  <c r="J31"/>
  <c r="J29"/>
  <c r="B7"/>
  <c r="C24" i="14"/>
  <c r="C26" s="1"/>
  <c r="P11"/>
  <c r="O4" i="48"/>
  <c r="I31"/>
  <c r="I29"/>
  <c r="I27"/>
  <c r="I32"/>
  <c r="I28"/>
  <c r="I22"/>
  <c r="I25"/>
  <c r="I24"/>
  <c r="I26"/>
  <c r="I30"/>
  <c r="B38" i="13"/>
  <c r="B50" s="1"/>
  <c r="Q10" i="14"/>
  <c r="P5" i="48"/>
  <c r="P23" s="1"/>
  <c r="Q11" i="14"/>
  <c r="P4" i="48"/>
  <c r="D4"/>
  <c r="D22" s="1"/>
  <c r="E11" i="14"/>
  <c r="H32" i="48"/>
  <c r="H29"/>
  <c r="H28"/>
  <c r="H22"/>
  <c r="H30"/>
  <c r="H24"/>
  <c r="H25"/>
  <c r="H26"/>
  <c r="H23"/>
  <c r="D11" i="14"/>
  <c r="C4" i="48"/>
  <c r="G25"/>
  <c r="G32"/>
  <c r="G24"/>
  <c r="G26"/>
  <c r="G29"/>
  <c r="G22"/>
  <c r="G30"/>
  <c r="G23"/>
  <c r="C11" i="14"/>
  <c r="B4" i="48"/>
  <c r="F24"/>
  <c r="F32"/>
  <c r="F30"/>
  <c r="F31"/>
  <c r="F29"/>
  <c r="F27"/>
  <c r="F28"/>
  <c r="N29"/>
  <c r="N31"/>
  <c r="N30"/>
  <c r="N24"/>
  <c r="N32"/>
  <c r="N27"/>
  <c r="N28"/>
  <c r="C19" i="14"/>
  <c r="B10" i="48"/>
  <c r="E29"/>
  <c r="E32"/>
  <c r="E31"/>
  <c r="E24"/>
  <c r="E30"/>
  <c r="E28"/>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6"/>
  <c r="M25"/>
  <c r="M29"/>
  <c r="M30"/>
  <c r="M24"/>
  <c r="M23"/>
  <c r="I23"/>
  <c r="I15"/>
  <c r="J46" i="14"/>
  <c r="J61" s="1"/>
  <c r="L63"/>
  <c r="L46"/>
  <c r="L61" s="1"/>
  <c r="K23" i="48"/>
  <c r="K15"/>
  <c r="G11" i="14"/>
  <c r="F4" i="48"/>
  <c r="F22" s="1"/>
  <c r="H13"/>
  <c r="H31" s="1"/>
  <c r="I18" i="14"/>
  <c r="Q13"/>
  <c r="Q16" s="1"/>
  <c r="Q27" s="1"/>
  <c r="P8" i="48"/>
  <c r="P26" s="1"/>
  <c r="J63" i="14"/>
  <c r="K33" i="48"/>
  <c r="J12" i="17"/>
  <c r="K54" i="14" s="1"/>
  <c r="K56" s="1"/>
  <c r="K24"/>
  <c r="K26" s="1"/>
  <c r="J7" i="48"/>
  <c r="J25" s="1"/>
  <c r="O22"/>
  <c r="P10" i="14"/>
  <c r="O5" i="48"/>
  <c r="O23" s="1"/>
  <c r="H18" i="14"/>
  <c r="G13" i="48"/>
  <c r="M13"/>
  <c r="M31" s="1"/>
  <c r="N18" i="14"/>
  <c r="P15" i="48"/>
  <c r="P22"/>
  <c r="P33" s="1"/>
  <c r="I33"/>
  <c r="E52"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6" i="13"/>
  <c r="E5" s="1"/>
  <c r="E8" s="1"/>
  <c r="C50"/>
  <c r="J5" s="1"/>
  <c r="J8" s="1"/>
  <c r="O11" i="14" l="1"/>
  <c r="N4" i="48"/>
  <c r="N22" s="1"/>
  <c r="J4"/>
  <c r="K11" i="14"/>
  <c r="N20"/>
  <c r="M9" i="48"/>
  <c r="E7"/>
  <c r="E25" s="1"/>
  <c r="F24" i="14"/>
  <c r="F26" s="1"/>
  <c r="F20"/>
  <c r="F22" s="1"/>
  <c r="E9" i="48"/>
  <c r="E27" s="1"/>
  <c r="R18" i="14"/>
  <c r="G31" i="48"/>
  <c r="Q13"/>
  <c r="E12" i="17"/>
  <c r="F54" i="14" s="1"/>
  <c r="F56" s="1"/>
  <c r="H14" i="22"/>
  <c r="N19" i="14"/>
  <c r="N22" s="1"/>
  <c r="N27" s="1"/>
  <c r="M10" i="48"/>
  <c r="M28" s="1"/>
  <c r="E20" i="14"/>
  <c r="E22" s="1"/>
  <c r="D9" i="48"/>
  <c r="D27" s="1"/>
  <c r="E12" i="13"/>
  <c r="F41" i="14" s="1"/>
  <c r="F11"/>
  <c r="E4" i="48"/>
  <c r="G10"/>
  <c r="H19" i="14"/>
  <c r="P13"/>
  <c r="P16" s="1"/>
  <c r="P27" s="1"/>
  <c r="O8" i="48"/>
  <c r="O26" s="1"/>
  <c r="O33" s="1"/>
  <c r="C20" i="14"/>
  <c r="B9" i="48"/>
  <c r="D16" i="14"/>
  <c r="Q63"/>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P63" l="1"/>
  <c r="N63"/>
  <c r="H9" i="48"/>
  <c r="I20" i="14"/>
  <c r="I22" s="1"/>
  <c r="I27" s="1"/>
  <c r="G9" i="48"/>
  <c r="H20" i="14"/>
  <c r="H22" s="1"/>
  <c r="H27" s="1"/>
  <c r="H63" s="1"/>
  <c r="J5" i="48"/>
  <c r="J23" s="1"/>
  <c r="K10" i="14"/>
  <c r="E22" i="48"/>
  <c r="Q4"/>
  <c r="J22"/>
  <c r="R11" i="14"/>
  <c r="H18" i="22"/>
  <c r="I50" i="14" s="1"/>
  <c r="I52" s="1"/>
  <c r="I61" s="1"/>
  <c r="I63" s="1"/>
  <c r="G28" i="48"/>
  <c r="Q10"/>
  <c r="F10" i="14"/>
  <c r="R10" s="1"/>
  <c r="E5" i="48"/>
  <c r="E23" s="1"/>
  <c r="Q9"/>
  <c r="E46" i="14"/>
  <c r="E61" s="1"/>
  <c r="R19"/>
  <c r="M27" i="48"/>
  <c r="M33" s="1"/>
  <c r="M15"/>
  <c r="C22" i="14"/>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F46"/>
  <c r="F61" s="1"/>
  <c r="K16"/>
  <c r="K27" s="1"/>
  <c r="K13"/>
  <c r="J8" i="48"/>
  <c r="J26" s="1"/>
  <c r="J33" s="1"/>
  <c r="H27"/>
  <c r="H33" s="1"/>
  <c r="H15"/>
  <c r="K46" i="14"/>
  <c r="K61" s="1"/>
  <c r="R20"/>
  <c r="G27" i="48"/>
  <c r="G33" s="1"/>
  <c r="G15"/>
  <c r="F13" i="14"/>
  <c r="F16" s="1"/>
  <c r="F27" s="1"/>
  <c r="F63" s="1"/>
  <c r="E8"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J15" i="48"/>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<sst xmlns="http://schemas.openxmlformats.org/spreadsheetml/2006/main" count="2549" uniqueCount="981">
  <si>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</si>
  <si>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</si>
  <si>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</si>
  <si>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</si>
  <si>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</si>
  <si>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</si>
  <si>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</si>
  <si>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</si>
  <si>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</si>
  <si>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</si>
  <si>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</si>
  <si>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</si>
  <si>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</si>
  <si>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</si>
  <si>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</si>
  <si>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</si>
  <si>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</si>
  <si>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</si>
  <si>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</si>
  <si>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</si>
  <si>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</si>
  <si>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</si>
  <si>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</si>
  <si>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</si>
  <si>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</si>
  <si>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</si>
  <si>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</si>
  <si>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</si>
  <si>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</si>
  <si>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</si>
  <si>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</si>
  <si>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</si>
  <si>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</si>
  <si>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</si>
  <si>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</si>
  <si>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</si>
  <si>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</si>
  <si>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</si>
  <si>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</si>
  <si>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</si>
  <si>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</si>
  <si>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</si>
  <si>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</si>
  <si>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</si>
  <si>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</si>
  <si>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</si>
  <si>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</si>
  <si>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</si>
  <si>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</si>
  <si>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</si>
  <si>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</si>
  <si>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</si>
  <si>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</si>
  <si>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</si>
  <si>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</si>
  <si>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</si>
  <si>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</si>
  <si>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</si>
  <si>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</si>
  <si>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</si>
  <si>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</si>
  <si>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</si>
  <si>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</si>
  <si>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</si>
  <si>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</si>
  <si>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</si>
  <si>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</si>
  <si>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</si>
  <si>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</si>
  <si>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</si>
  <si>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</si>
  <si>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</si>
  <si>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</si>
  <si>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</si>
  <si>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</si>
  <si>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</si>
  <si>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</si>
  <si>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</si>
  <si>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</si>
  <si>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</si>
  <si>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</si>
  <si>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</si>
  <si>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</si>
  <si>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</si>
  <si>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</si>
  <si>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</si>
  <si>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</si>
  <si>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</si>
  <si>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</si>
  <si>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</si>
  <si>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</si>
  <si>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</si>
  <si>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</si>
  <si>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</si>
  <si>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</si>
  <si>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</si>
  <si>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</si>
  <si>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</si>
  <si>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</si>
  <si>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</si>
  <si>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</si>
  <si>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</si>
  <si>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</si>
  <si>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</si>
  <si>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</si>
  <si>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</si>
  <si>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</si>
  <si>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</si>
  <si>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</si>
  <si>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</si>
  <si>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</si>
  <si>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</si>
  <si>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</si>
  <si>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</si>
  <si>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</si>
  <si>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</si>
  <si>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</si>
  <si>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</si>
  <si>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</si>
  <si>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</si>
  <si>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</si>
  <si>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</si>
  <si>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</si>
  <si>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</si>
  <si>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</si>
  <si>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</si>
  <si>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</si>
  <si>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</si>
  <si>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</si>
  <si>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</si>
  <si>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</si>
  <si>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</si>
  <si>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</si>
  <si>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</si>
  <si>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</si>
  <si>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</si>
  <si>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</si>
  <si>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</si>
  <si>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</si>
  <si>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</si>
  <si>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</si>
  <si>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</si>
  <si>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</si>
  <si>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</si>
  <si>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</si>
  <si>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</si>
  <si>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</si>
  <si>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</si>
  <si>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</si>
  <si>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</si>
  <si>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</si>
  <si>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</si>
  <si>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</si>
  <si>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</si>
  <si>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</si>
  <si>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</si>
  <si>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</si>
  <si>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</si>
  <si>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</si>
  <si>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</si>
  <si>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</si>
  <si>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</si>
  <si>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</si>
  <si>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</si>
  <si>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</si>
  <si>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</si>
  <si>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</si>
  <si>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</si>
  <si>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</si>
  <si>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</si>
  <si>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</si>
  <si>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</si>
  <si>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</si>
  <si>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</si>
  <si>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</si>
  <si>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</si>
  <si>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</si>
  <si>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</si>
  <si>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</si>
  <si>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</si>
  <si>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</si>
  <si>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</si>
  <si>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</si>
  <si>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</si>
  <si>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</si>
  <si>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</si>
  <si>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</si>
  <si>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</si>
  <si>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</si>
  <si>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</si>
  <si>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</si>
  <si>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</si>
  <si>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</si>
  <si>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</si>
  <si>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</si>
  <si>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</si>
  <si>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</si>
  <si>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</si>
  <si>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</si>
  <si>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</si>
  <si>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</si>
  <si>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</si>
  <si>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</si>
  <si>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</si>
  <si>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</si>
  <si>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</si>
  <si>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</si>
  <si>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</si>
  <si>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</si>
  <si>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</si>
  <si>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</si>
  <si>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</si>
  <si>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</si>
  <si>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</si>
  <si>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</si>
  <si>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</si>
  <si>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</si>
  <si>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</si>
  <si>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</si>
  <si>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</si>
  <si>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</si>
  <si>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</si>
  <si>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</si>
  <si>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</si>
  <si>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</si>
  <si>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</si>
  <si>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</si>
  <si>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</si>
  <si>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</si>
  <si>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</si>
  <si>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</si>
  <si>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</si>
  <si>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</si>
  <si>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</si>
  <si>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</si>
  <si>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</si>
  <si>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</si>
  <si>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</si>
  <si>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</si>
  <si>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</si>
  <si>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</si>
  <si>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</si>
  <si>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</si>
  <si>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</si>
  <si>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</si>
  <si>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</si>
  <si>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</si>
  <si>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</si>
  <si>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</si>
  <si>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</si>
  <si>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</si>
  <si>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</si>
  <si>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</si>
  <si>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</si>
  <si>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</si>
  <si>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</si>
  <si>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</si>
  <si>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</si>
  <si>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</si>
  <si>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</si>
  <si>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</si>
  <si>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</si>
  <si>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</si>
  <si>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</si>
  <si>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</si>
  <si>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</si>
  <si>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</si>
  <si>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</si>
  <si>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</si>
  <si>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</si>
  <si>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</si>
  <si>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</si>
  <si>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</si>
  <si>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</si>
  <si>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</si>
  <si>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</si>
  <si>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</si>
  <si>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</si>
  <si>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</si>
  <si>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</si>
  <si>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</si>
  <si>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</si>
  <si>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</si>
  <si>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</si>
  <si>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</si>
  <si>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</si>
  <si>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</si>
  <si>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</si>
  <si>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</si>
  <si>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</si>
  <si>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</si>
  <si>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</si>
  <si>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</si>
  <si>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</si>
  <si>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</si>
  <si>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</si>
  <si>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</si>
  <si>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</si>
  <si>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</si>
  <si>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</si>
  <si>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</si>
  <si>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</si>
  <si>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</si>
  <si>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</si>
  <si>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</si>
  <si>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</si>
  <si>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</si>
  <si>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</si>
  <si>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</si>
  <si>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</si>
  <si>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</si>
  <si>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</si>
  <si>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</si>
  <si>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</si>
  <si>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</si>
  <si>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</si>
  <si>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</si>
  <si>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</si>
  <si>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</si>
  <si>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</si>
  <si>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</si>
  <si>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</si>
  <si>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</si>
  <si>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</si>
  <si>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</si>
  <si>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</si>
  <si>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</si>
  <si>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</si>
  <si>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</si>
  <si>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</si>
  <si>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</si>
  <si>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</si>
  <si>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</si>
  <si>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</si>
  <si>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</si>
  <si>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</si>
  <si>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</si>
  <si>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</si>
  <si>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</si>
  <si>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</si>
  <si>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</si>
  <si>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</si>
  <si>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</si>
  <si>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</si>
  <si>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</si>
  <si>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</si>
  <si>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</si>
  <si>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</si>
  <si>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</si>
  <si>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</si>
  <si>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</si>
  <si>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</si>
  <si>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</si>
  <si>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</si>
  <si>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</si>
  <si>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</si>
  <si>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</si>
  <si>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</si>
  <si>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</si>
  <si>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</si>
  <si>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</si>
  <si>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</si>
  <si>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</si>
  <si>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</si>
  <si>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</si>
  <si>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</si>
  <si>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</si>
  <si>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</si>
  <si>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</si>
  <si>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</si>
  <si>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</si>
  <si>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</si>
  <si>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</si>
  <si>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</si>
  <si>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</si>
  <si>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</si>
  <si>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</si>
  <si>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</si>
  <si>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</si>
  <si>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</si>
  <si>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</si>
  <si>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</si>
  <si>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</si>
  <si>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</si>
  <si>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</si>
  <si>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</si>
  <si>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</si>
  <si>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</si>
  <si>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</si>
  <si>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</si>
  <si>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</si>
  <si>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</si>
  <si>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</si>
  <si>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</si>
  <si>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</si>
  <si>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</si>
  <si>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</si>
  <si>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</si>
  <si>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</si>
  <si>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</si>
  <si>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</si>
  <si>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</si>
  <si>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</si>
  <si>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</si>
  <si>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</si>
  <si>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</si>
  <si>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</si>
  <si>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</si>
  <si>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</si>
  <si>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</si>
  <si>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</si>
  <si>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</si>
  <si>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</si>
  <si>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</si>
  <si>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</si>
  <si>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</si>
  <si>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</si>
  <si>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</si>
  <si>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</si>
  <si>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</si>
  <si>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</si>
  <si>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</si>
  <si>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</si>
  <si>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</si>
  <si>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</si>
  <si>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</si>
  <si>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</si>
  <si>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</si>
  <si>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</si>
  <si>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</si>
  <si>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</si>
  <si>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</si>
  <si>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</si>
  <si>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</si>
  <si>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</si>
  <si>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</si>
  <si>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</si>
  <si>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</si>
  <si>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</si>
  <si>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</si>
  <si>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</si>
  <si>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</si>
  <si>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</si>
  <si>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</si>
  <si>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</si>
  <si>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</si>
  <si>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</si>
  <si>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</si>
  <si>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</si>
  <si>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</si>
  <si>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</si>
  <si>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</si>
  <si>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</si>
  <si>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</si>
  <si>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</si>
  <si>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</si>
  <si>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</si>
  <si>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</si>
  <si>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</si>
  <si>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</si>
  <si>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</si>
  <si>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</si>
  <si>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</si>
  <si>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</si>
  <si>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</si>
  <si>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</si>
  <si>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</si>
  <si>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</si>
  <si>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</si>
  <si>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</si>
  <si>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</si>
  <si>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</si>
  <si>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</si>
  <si>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</si>
  <si>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</si>
  <si>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</si>
  <si>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</si>
  <si>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</si>
  <si>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</si>
  <si>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</si>
  <si>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</si>
  <si>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</si>
  <si>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</si>
  <si>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</si>
  <si>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</si>
  <si>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</si>
  <si>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</si>
  <si>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</si>
  <si>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</si>
  <si>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</si>
  <si>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</si>
  <si>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</si>
  <si>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</si>
  <si>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</si>
  <si>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</si>
  <si>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</si>
  <si>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</si>
  <si>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</si>
  <si>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</si>
  <si>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</si>
  <si>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</si>
  <si>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</si>
  <si>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</si>
  <si>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</si>
  <si>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</si>
  <si>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</si>
  <si>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</si>
  <si>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</si>
  <si>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</si>
  <si>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</si>
  <si>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</si>
  <si>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</si>
  <si>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</si>
  <si>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</si>
  <si>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</si>
  <si>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</si>
  <si>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</si>
  <si>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</si>
  <si>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</si>
  <si>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</si>
  <si>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</si>
  <si>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</si>
  <si>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</si>
  <si>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</si>
  <si>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</si>
  <si>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</si>
  <si>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</si>
  <si>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</si>
  <si>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</si>
  <si>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</si>
  <si>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</si>
  <si>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</si>
  <si>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</si>
  <si>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</si>
  <si>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</si>
  <si>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</si>
  <si>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</si>
  <si>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</si>
  <si>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</si>
  <si>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</si>
  <si>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</si>
  <si>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</si>
  <si>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</si>
  <si>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</si>
  <si>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</si>
  <si>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</si>
  <si>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</si>
  <si>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</si>
  <si>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</si>
  <si>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</si>
  <si>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</si>
  <si>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</si>
  <si>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</si>
  <si>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</si>
  <si>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</si>
  <si>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</si>
  <si>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</si>
  <si>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</si>
  <si>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</si>
  <si>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</si>
  <si>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</si>
  <si>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</si>
  <si>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</si>
  <si>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</si>
  <si>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</si>
  <si>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</si>
  <si>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</si>
  <si>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</si>
  <si>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</si>
  <si>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</si>
  <si>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</si>
  <si>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</si>
  <si>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</si>
  <si>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</si>
  <si>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</si>
  <si>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</si>
  <si>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</si>
  <si>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</si>
  <si>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</si>
  <si>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</si>
  <si>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</si>
  <si>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</si>
  <si>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</si>
  <si>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</si>
  <si>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</si>
  <si>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</si>
  <si>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</si>
  <si>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</si>
  <si>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</si>
  <si>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</si>
  <si>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</si>
  <si>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</si>
  <si>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</si>
  <si>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</si>
  <si>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</si>
  <si>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</si>
  <si>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</si>
  <si>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</si>
  <si>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</si>
  <si>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</si>
  <si>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</si>
  <si>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</si>
  <si>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</si>
  <si>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</si>
  <si>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</si>
  <si>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</si>
  <si>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</si>
  <si>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</si>
  <si>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</si>
  <si>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</si>
  <si>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</si>
  <si>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</si>
  <si>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</si>
  <si>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</si>
  <si>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</si>
  <si>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</si>
  <si>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</si>
  <si>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</si>
  <si>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</si>
  <si>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</si>
  <si>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</si>
  <si>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</si>
  <si>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</si>
  <si>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</si>
  <si>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</si>
  <si>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</si>
  <si>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</si>
  <si>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</si>
  <si>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</si>
  <si>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</si>
  <si>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</si>
  <si>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</si>
  <si>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</si>
  <si>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</si>
  <si>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</si>
  <si>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</si>
  <si>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</si>
  <si>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</si>
  <si>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</si>
  <si>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</si>
  <si>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</si>
  <si>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</si>
  <si>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</si>
  <si>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</si>
  <si>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</si>
  <si>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</si>
  <si>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</si>
  <si>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</si>
  <si>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</si>
  <si>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</si>
  <si>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</si>
  <si>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</si>
  <si>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</si>
  <si>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</si>
  <si>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</si>
  <si>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</si>
  <si>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</si>
  <si>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</si>
  <si>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</si>
  <si>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</si>
  <si>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</si>
  <si>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</si>
  <si>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</si>
  <si>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</si>
  <si>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</si>
  <si>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</si>
  <si>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</si>
  <si>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</si>
  <si>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</si>
  <si>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</si>
  <si>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</si>
  <si>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</si>
  <si>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</si>
  <si>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</si>
  <si>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</si>
  <si>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</si>
  <si>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</si>
  <si>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</si>
  <si>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</si>
  <si>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</si>
  <si>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</si>
  <si>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</si>
  <si>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</si>
  <si>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</si>
  <si>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</si>
  <si>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</si>
  <si>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</si>
  <si>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</si>
  <si>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</si>
  <si>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</si>
  <si>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</si>
  <si>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</si>
  <si>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</si>
  <si>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</si>
  <si>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</si>
  <si>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</si>
  <si>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</si>
  <si>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</si>
  <si>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</si>
  <si>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</si>
  <si>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</si>
  <si>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</si>
  <si>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</si>
  <si>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</si>
  <si>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</si>
  <si>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</si>
  <si>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</si>
  <si>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</si>
  <si>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</si>
  <si>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</si>
  <si>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</si>
  <si>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</si>
  <si>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</si>
  <si>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</si>
  <si>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</si>
  <si>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</si>
  <si>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</si>
  <si>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</si>
  <si>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</si>
  <si>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</si>
  <si>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</si>
  <si>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</si>
  <si>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</si>
  <si>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</si>
  <si>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</si>
  <si>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</si>
  <si>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</si>
  <si>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</si>
  <si>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</si>
  <si>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</si>
  <si>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</si>
  <si>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</si>
  <si>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</si>
  <si>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</si>
  <si>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</si>
  <si>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</si>
  <si>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</si>
  <si>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</si>
  <si>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</si>
  <si>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</si>
  <si>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</si>
  <si>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</si>
  <si>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</si>
  <si>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</si>
  <si>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</si>
  <si>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</si>
  <si>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</si>
  <si>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</si>
  <si>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</si>
  <si>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</si>
  <si>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</si>
  <si>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</si>
  <si>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</si>
  <si>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</si>
  <si>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</si>
  <si>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</si>
  <si>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</si>
  <si>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</si>
  <si>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</si>
  <si>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</si>
  <si>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</si>
  <si>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</si>
  <si>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</si>
  <si>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</si>
  <si>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</si>
  <si>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</si>
  <si>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</si>
  <si>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</si>
  <si>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</si>
  <si>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</si>
  <si>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</si>
  <si>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</si>
  <si>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</si>
  <si>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</si>
  <si>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</si>
  <si>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</si>
  <si>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</si>
  <si>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</si>
  <si>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</si>
  <si>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</si>
  <si>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</si>
  <si>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</si>
  <si>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</si>
  <si>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</si>
  <si>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</si>
  <si>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</si>
  <si>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</si>
  <si>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</si>
  <si>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</si>
  <si>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</si>
  <si>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</si>
  <si>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</si>
  <si>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</si>
  <si>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</si>
  <si>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</si>
  <si>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</si>
  <si>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</si>
  <si>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</si>
  <si>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</si>
  <si>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</si>
  <si>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</si>
  <si>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</si>
  <si>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</si>
  <si>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</si>
  <si>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</si>
  <si>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</si>
  <si>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</si>
  <si>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</si>
  <si>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</si>
  <si>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</si>
  <si>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</si>
  <si>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</si>
  <si>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</si>
  <si>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</si>
  <si>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</si>
  <si>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</si>
  <si>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</si>
  <si>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</si>
  <si>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</si>
  <si>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</si>
  <si>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</si>
  <si>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</si>
  <si>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</si>
  <si>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</si>
  <si>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</si>
  <si>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</si>
  <si>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</si>
  <si>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</si>
  <si>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</si>
  <si>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</si>
  <si>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</si>
  <si>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</si>
  <si>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</si>
  <si>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</si>
  <si>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</si>
  <si>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</si>
  <si>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</si>
  <si>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</si>
  <si>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</si>
  <si>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</si>
  <si>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</si>
  <si>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</si>
  <si>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</si>
  <si>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</si>
  <si>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</si>
  <si>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</si>
  <si>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</si>
  <si>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</si>
  <si>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</si>
  <si>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</si>
  <si>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</si>
  <si>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</si>
  <si>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</si>
  <si>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</si>
  <si>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</si>
  <si>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</si>
  <si>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</si>
  <si>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</si>
  <si>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</si>
  <si>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</si>
  <si>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</si>
  <si>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</si>
  <si>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</si>
  <si>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</si>
  <si>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</si>
  <si>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</si>
  <si>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</si>
  <si>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</si>
  <si>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</si>
  <si>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</si>
  <si>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</si>
  <si>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</si>
  <si>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</si>
  <si>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</si>
  <si>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</si>
  <si>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</si>
  <si>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</si>
  <si>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</si>
  <si>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</si>
  <si>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</si>
  <si>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</si>
  <si>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</si>
  <si>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</si>
  <si>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</si>
  <si>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</si>
  <si>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</si>
  <si>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</si>
  <si>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</si>
  <si>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</si>
  <si>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</si>
  <si>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</si>
  <si>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</si>
  <si>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</si>
  <si>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</si>
  <si>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</si>
  <si>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</si>
  <si>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</si>
  <si>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</si>
  <si>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</si>
  <si>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</si>
  <si>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</si>
  <si>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</si>
  <si>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</si>
  <si>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</si>
  <si>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</si>
  <si>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</si>
  <si>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</si>
  <si>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</si>
  <si>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</si>
  <si>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</si>
  <si>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</si>
  <si>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</si>
  <si>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</si>
  <si>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</si>
  <si>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</si>
  <si>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</si>
  <si>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</si>
  <si>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</si>
  <si>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</si>
  <si>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</si>
  <si>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</si>
  <si>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</si>
  <si>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</si>
  <si>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</si>
  <si>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</si>
  <si>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</si>
  <si>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</si>
  <si>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</si>
  <si>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</si>
  <si>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</si>
  <si>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</si>
  <si>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</si>
  <si>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</si>
  <si>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</si>
  <si>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</si>
  <si>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</si>
  <si>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</si>
  <si>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</si>
  <si>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</si>
  <si>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</si>
  <si>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</si>
  <si>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</si>
  <si>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36015</t>
  </si>
  <si>
    <t>ROESELARE</t>
  </si>
  <si>
    <t>Paarden&amp;pony's 200 - 600 kg</t>
  </si>
  <si>
    <t>Paarden&amp;pony's &lt; 200 kg</t>
  </si>
  <si>
    <t>op basis van VEA (maart 2018) en Inventaris Hernieuwbare Energiebronnen (juni 2018)</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</si>
  <si>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</si>
  <si>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</si>
  <si>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</si>
  <si>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</si>
  <si>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</si>
  <si>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</si>
  <si>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</si>
  <si>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</si>
  <si>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</si>
  <si>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</si>
  <si>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</si>
  <si>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</si>
  <si>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</si>
  <si>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</si>
  <si>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</si>
  <si>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</si>
  <si>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</si>
  <si>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Provincie West-Vlaanderen</t>
  </si>
  <si>
    <t>Koning Leopold III laan 41, 8800 Rumbeke</t>
  </si>
  <si>
    <t>BGS-0053 Beitem-agr.verg</t>
  </si>
  <si>
    <t>biogas - hoofdzakelijk agrarische stromen</t>
  </si>
  <si>
    <t>niet WKK interne verbrandingsmotor (gas)</t>
  </si>
  <si>
    <t>Ieperseweg 87 , 8800 Roeselare</t>
  </si>
  <si>
    <t>Gaselwest</t>
  </si>
  <si>
    <t>Mandel Eneco Energie in faling</t>
  </si>
  <si>
    <t>Zandvoortstraat C47 11, 2800 Mechelen</t>
  </si>
  <si>
    <t>BGS-0072 Mandel Eneco biogas</t>
  </si>
  <si>
    <t>biogas - overig</t>
  </si>
  <si>
    <t>Regenbeekstraat 11 , 8800 Roeselare</t>
  </si>
  <si>
    <t>Vanheede Landfill Solutions nv</t>
  </si>
  <si>
    <t>Moorseelsesteenweg 32, 8800 Roeselare</t>
  </si>
  <si>
    <t>BGS-0012 Depovan</t>
  </si>
  <si>
    <t>biogas - stortgas</t>
  </si>
  <si>
    <t>Moorseelsesteenweg 32 , 8800 Roeselare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</si>
</sst>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36015</v>
      </c>
      <c r="B6" s="397"/>
      <c r="C6" s="398"/>
    </row>
    <row r="7" spans="1:7" s="395" customFormat="1" ht="15.75" customHeight="1">
      <c r="A7" s="399" t="str">
        <f>txtMunicipality</f>
        <v>ROESELARE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0.19437010812091449</v>
      </c>
      <c r="C17" s="510">
        <f ca="1">'EF ele_warmte'!B22</f>
        <v>5.56344583535264E-2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0.19437010812091449</v>
      </c>
      <c r="C29" s="511">
        <f ca="1">'EF ele_warmte'!B22</f>
        <v>5.56344583535264E-2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24962</v>
      </c>
      <c r="C9" s="338">
        <v>26419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2492</v>
      </c>
    </row>
    <row r="15" spans="1:6">
      <c r="A15" s="1286" t="s">
        <v>184</v>
      </c>
      <c r="B15" s="335">
        <v>16</v>
      </c>
    </row>
    <row r="16" spans="1:6">
      <c r="A16" s="1286" t="s">
        <v>6</v>
      </c>
      <c r="B16" s="335">
        <v>432</v>
      </c>
    </row>
    <row r="17" spans="1:6">
      <c r="A17" s="1286" t="s">
        <v>7</v>
      </c>
      <c r="B17" s="335">
        <v>514</v>
      </c>
    </row>
    <row r="18" spans="1:6">
      <c r="A18" s="1286" t="s">
        <v>8</v>
      </c>
      <c r="B18" s="335">
        <v>704</v>
      </c>
    </row>
    <row r="19" spans="1:6">
      <c r="A19" s="1286" t="s">
        <v>9</v>
      </c>
      <c r="B19" s="335">
        <v>835</v>
      </c>
    </row>
    <row r="20" spans="1:6">
      <c r="A20" s="1286" t="s">
        <v>10</v>
      </c>
      <c r="B20" s="335">
        <v>408</v>
      </c>
    </row>
    <row r="21" spans="1:6">
      <c r="A21" s="1286" t="s">
        <v>11</v>
      </c>
      <c r="B21" s="335">
        <v>17294</v>
      </c>
    </row>
    <row r="22" spans="1:6">
      <c r="A22" s="1286" t="s">
        <v>12</v>
      </c>
      <c r="B22" s="335">
        <v>33992</v>
      </c>
    </row>
    <row r="23" spans="1:6">
      <c r="A23" s="1286" t="s">
        <v>13</v>
      </c>
      <c r="B23" s="335">
        <v>715</v>
      </c>
    </row>
    <row r="24" spans="1:6">
      <c r="A24" s="1286" t="s">
        <v>14</v>
      </c>
      <c r="B24" s="335">
        <v>79</v>
      </c>
    </row>
    <row r="25" spans="1:6">
      <c r="A25" s="1286" t="s">
        <v>15</v>
      </c>
      <c r="B25" s="335">
        <v>4527</v>
      </c>
    </row>
    <row r="26" spans="1:6">
      <c r="A26" s="1286" t="s">
        <v>16</v>
      </c>
      <c r="B26" s="335">
        <v>518</v>
      </c>
    </row>
    <row r="27" spans="1:6">
      <c r="A27" s="1286" t="s">
        <v>17</v>
      </c>
      <c r="B27" s="335">
        <v>20</v>
      </c>
    </row>
    <row r="28" spans="1:6" s="341" customFormat="1">
      <c r="A28" s="1287" t="s">
        <v>18</v>
      </c>
      <c r="B28" s="1287">
        <v>107412</v>
      </c>
    </row>
    <row r="29" spans="1:6">
      <c r="A29" s="1287" t="s">
        <v>944</v>
      </c>
      <c r="B29" s="1287">
        <v>62</v>
      </c>
      <c r="C29" s="341"/>
      <c r="D29" s="341"/>
      <c r="E29" s="341"/>
      <c r="F29" s="341"/>
    </row>
    <row r="30" spans="1:6">
      <c r="A30" s="1282" t="s">
        <v>945</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5</v>
      </c>
      <c r="D36" s="335">
        <v>1073022.3139619799</v>
      </c>
      <c r="E36" s="335">
        <v>15</v>
      </c>
      <c r="F36" s="335">
        <v>281988.68408873398</v>
      </c>
    </row>
    <row r="37" spans="1:6">
      <c r="A37" s="1286" t="s">
        <v>25</v>
      </c>
      <c r="B37" s="1286" t="s">
        <v>28</v>
      </c>
      <c r="C37" s="335">
        <v>0</v>
      </c>
      <c r="D37" s="335">
        <v>0</v>
      </c>
      <c r="E37" s="335">
        <v>0</v>
      </c>
      <c r="F37" s="335">
        <v>0</v>
      </c>
    </row>
    <row r="38" spans="1:6">
      <c r="A38" s="1286" t="s">
        <v>25</v>
      </c>
      <c r="B38" s="1286" t="s">
        <v>29</v>
      </c>
      <c r="C38" s="335">
        <v>3</v>
      </c>
      <c r="D38" s="335">
        <v>23153.849540598501</v>
      </c>
      <c r="E38" s="335">
        <v>0</v>
      </c>
      <c r="F38" s="335">
        <v>0</v>
      </c>
    </row>
    <row r="39" spans="1:6">
      <c r="A39" s="1286" t="s">
        <v>30</v>
      </c>
      <c r="B39" s="1286" t="s">
        <v>31</v>
      </c>
      <c r="C39" s="335">
        <v>19938</v>
      </c>
      <c r="D39" s="335">
        <v>321392560.33396399</v>
      </c>
      <c r="E39" s="335">
        <v>24399</v>
      </c>
      <c r="F39" s="335">
        <v>87857179.31825</v>
      </c>
    </row>
    <row r="40" spans="1:6">
      <c r="A40" s="1286" t="s">
        <v>30</v>
      </c>
      <c r="B40" s="1286" t="s">
        <v>29</v>
      </c>
      <c r="C40" s="335">
        <v>0</v>
      </c>
      <c r="D40" s="335">
        <v>0</v>
      </c>
      <c r="E40" s="335">
        <v>1</v>
      </c>
      <c r="F40" s="335">
        <v>11216</v>
      </c>
    </row>
    <row r="41" spans="1:6">
      <c r="A41" s="1286" t="s">
        <v>32</v>
      </c>
      <c r="B41" s="1286" t="s">
        <v>33</v>
      </c>
      <c r="C41" s="335">
        <v>280</v>
      </c>
      <c r="D41" s="335">
        <v>9868881.9053338598</v>
      </c>
      <c r="E41" s="335">
        <v>610</v>
      </c>
      <c r="F41" s="335">
        <v>10256954.0925391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45</v>
      </c>
      <c r="D44" s="335">
        <v>23279940.6678969</v>
      </c>
      <c r="E44" s="335">
        <v>144</v>
      </c>
      <c r="F44" s="335">
        <v>25779045.976860899</v>
      </c>
    </row>
    <row r="45" spans="1:6">
      <c r="A45" s="1286" t="s">
        <v>32</v>
      </c>
      <c r="B45" s="1286" t="s">
        <v>37</v>
      </c>
      <c r="C45" s="335">
        <v>13</v>
      </c>
      <c r="D45" s="335">
        <v>1950980.3482689799</v>
      </c>
      <c r="E45" s="335">
        <v>23</v>
      </c>
      <c r="F45" s="335">
        <v>35447361.1037459</v>
      </c>
    </row>
    <row r="46" spans="1:6">
      <c r="A46" s="1286" t="s">
        <v>32</v>
      </c>
      <c r="B46" s="1286" t="s">
        <v>38</v>
      </c>
      <c r="C46" s="335">
        <v>0</v>
      </c>
      <c r="D46" s="335">
        <v>0</v>
      </c>
      <c r="E46" s="335">
        <v>0</v>
      </c>
      <c r="F46" s="335">
        <v>0</v>
      </c>
    </row>
    <row r="47" spans="1:6">
      <c r="A47" s="1286" t="s">
        <v>32</v>
      </c>
      <c r="B47" s="1286" t="s">
        <v>39</v>
      </c>
      <c r="C47" s="335">
        <v>14</v>
      </c>
      <c r="D47" s="335">
        <v>23639048.375120498</v>
      </c>
      <c r="E47" s="335">
        <v>27</v>
      </c>
      <c r="F47" s="335">
        <v>25739860.9859134</v>
      </c>
    </row>
    <row r="48" spans="1:6">
      <c r="A48" s="1286" t="s">
        <v>32</v>
      </c>
      <c r="B48" s="1286" t="s">
        <v>29</v>
      </c>
      <c r="C48" s="335">
        <v>49</v>
      </c>
      <c r="D48" s="335">
        <v>104041908.224749</v>
      </c>
      <c r="E48" s="335">
        <v>50</v>
      </c>
      <c r="F48" s="335">
        <v>46784055.724360198</v>
      </c>
    </row>
    <row r="49" spans="1:6">
      <c r="A49" s="1286" t="s">
        <v>32</v>
      </c>
      <c r="B49" s="1286" t="s">
        <v>40</v>
      </c>
      <c r="C49" s="335">
        <v>10</v>
      </c>
      <c r="D49" s="335">
        <v>692431.18568586896</v>
      </c>
      <c r="E49" s="335">
        <v>22</v>
      </c>
      <c r="F49" s="335">
        <v>1713736.6966918099</v>
      </c>
    </row>
    <row r="50" spans="1:6">
      <c r="A50" s="1286" t="s">
        <v>32</v>
      </c>
      <c r="B50" s="1286" t="s">
        <v>41</v>
      </c>
      <c r="C50" s="335">
        <v>84</v>
      </c>
      <c r="D50" s="335">
        <v>97220717.269840494</v>
      </c>
      <c r="E50" s="335">
        <v>111</v>
      </c>
      <c r="F50" s="335">
        <v>63944283.271779999</v>
      </c>
    </row>
    <row r="51" spans="1:6">
      <c r="A51" s="1286" t="s">
        <v>42</v>
      </c>
      <c r="B51" s="1286" t="s">
        <v>43</v>
      </c>
      <c r="C51" s="335">
        <v>31</v>
      </c>
      <c r="D51" s="335">
        <v>2878897.9777341699</v>
      </c>
      <c r="E51" s="335">
        <v>192</v>
      </c>
      <c r="F51" s="335">
        <v>15991173.7747257</v>
      </c>
    </row>
    <row r="52" spans="1:6">
      <c r="A52" s="1286" t="s">
        <v>42</v>
      </c>
      <c r="B52" s="1286" t="s">
        <v>29</v>
      </c>
      <c r="C52" s="335">
        <v>4</v>
      </c>
      <c r="D52" s="335">
        <v>255308.21010530999</v>
      </c>
      <c r="E52" s="335">
        <v>7</v>
      </c>
      <c r="F52" s="335">
        <v>427057.50946205301</v>
      </c>
    </row>
    <row r="53" spans="1:6">
      <c r="A53" s="1286" t="s">
        <v>44</v>
      </c>
      <c r="B53" s="1286" t="s">
        <v>45</v>
      </c>
      <c r="C53" s="335">
        <v>568</v>
      </c>
      <c r="D53" s="335">
        <v>15433852.277283899</v>
      </c>
      <c r="E53" s="335">
        <v>905</v>
      </c>
      <c r="F53" s="335">
        <v>4892306.0425127596</v>
      </c>
    </row>
    <row r="54" spans="1:6">
      <c r="A54" s="1286" t="s">
        <v>46</v>
      </c>
      <c r="B54" s="1286" t="s">
        <v>47</v>
      </c>
      <c r="C54" s="335">
        <v>0</v>
      </c>
      <c r="D54" s="335">
        <v>0</v>
      </c>
      <c r="E54" s="335">
        <v>1</v>
      </c>
      <c r="F54" s="335">
        <v>6056346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264</v>
      </c>
      <c r="D57" s="335">
        <v>70505849.702073306</v>
      </c>
      <c r="E57" s="335">
        <v>328</v>
      </c>
      <c r="F57" s="335">
        <v>4380152.3733092798</v>
      </c>
    </row>
    <row r="58" spans="1:6">
      <c r="A58" s="1286" t="s">
        <v>49</v>
      </c>
      <c r="B58" s="1286" t="s">
        <v>51</v>
      </c>
      <c r="C58" s="335">
        <v>247</v>
      </c>
      <c r="D58" s="335">
        <v>18685026.4806947</v>
      </c>
      <c r="E58" s="335">
        <v>301</v>
      </c>
      <c r="F58" s="335">
        <v>21269586.6575878</v>
      </c>
    </row>
    <row r="59" spans="1:6">
      <c r="A59" s="1286" t="s">
        <v>49</v>
      </c>
      <c r="B59" s="1286" t="s">
        <v>52</v>
      </c>
      <c r="C59" s="335">
        <v>695</v>
      </c>
      <c r="D59" s="335">
        <v>33356286.704399001</v>
      </c>
      <c r="E59" s="335">
        <v>1211</v>
      </c>
      <c r="F59" s="335">
        <v>52870374.169355303</v>
      </c>
    </row>
    <row r="60" spans="1:6">
      <c r="A60" s="1286" t="s">
        <v>49</v>
      </c>
      <c r="B60" s="1286" t="s">
        <v>53</v>
      </c>
      <c r="C60" s="335">
        <v>311</v>
      </c>
      <c r="D60" s="335">
        <v>22120670.494217001</v>
      </c>
      <c r="E60" s="335">
        <v>462</v>
      </c>
      <c r="F60" s="335">
        <v>13608188.227479201</v>
      </c>
    </row>
    <row r="61" spans="1:6">
      <c r="A61" s="1286" t="s">
        <v>49</v>
      </c>
      <c r="B61" s="1286" t="s">
        <v>54</v>
      </c>
      <c r="C61" s="335">
        <v>814</v>
      </c>
      <c r="D61" s="335">
        <v>41635408.2698486</v>
      </c>
      <c r="E61" s="335">
        <v>1638</v>
      </c>
      <c r="F61" s="335">
        <v>29460971.299456</v>
      </c>
    </row>
    <row r="62" spans="1:6">
      <c r="A62" s="1286" t="s">
        <v>49</v>
      </c>
      <c r="B62" s="1286" t="s">
        <v>55</v>
      </c>
      <c r="C62" s="335">
        <v>67</v>
      </c>
      <c r="D62" s="335">
        <v>12199958.1855358</v>
      </c>
      <c r="E62" s="335">
        <v>98</v>
      </c>
      <c r="F62" s="335">
        <v>3961709.47575677</v>
      </c>
    </row>
    <row r="63" spans="1:6">
      <c r="A63" s="1286" t="s">
        <v>49</v>
      </c>
      <c r="B63" s="1286" t="s">
        <v>29</v>
      </c>
      <c r="C63" s="335">
        <v>97</v>
      </c>
      <c r="D63" s="335">
        <v>37624054.526938103</v>
      </c>
      <c r="E63" s="335">
        <v>73</v>
      </c>
      <c r="F63" s="335">
        <v>8486068.98770836</v>
      </c>
    </row>
    <row r="64" spans="1:6">
      <c r="A64" s="1286" t="s">
        <v>56</v>
      </c>
      <c r="B64" s="1286" t="s">
        <v>57</v>
      </c>
      <c r="C64" s="335">
        <v>0</v>
      </c>
      <c r="D64" s="335">
        <v>0</v>
      </c>
      <c r="E64" s="335">
        <v>0</v>
      </c>
      <c r="F64" s="335">
        <v>0</v>
      </c>
    </row>
    <row r="65" spans="1:6">
      <c r="A65" s="1286" t="s">
        <v>56</v>
      </c>
      <c r="B65" s="1286" t="s">
        <v>29</v>
      </c>
      <c r="C65" s="335">
        <v>3</v>
      </c>
      <c r="D65" s="335">
        <v>53728.7349905265</v>
      </c>
      <c r="E65" s="335">
        <v>2</v>
      </c>
      <c r="F65" s="335">
        <v>60202.864866990501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19</v>
      </c>
      <c r="D68" s="335">
        <v>1032347.10848466</v>
      </c>
      <c r="E68" s="335">
        <v>50</v>
      </c>
      <c r="F68" s="335">
        <v>1235541.8290175099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131809667</v>
      </c>
      <c r="E73" s="335">
        <v>141712359.61163843</v>
      </c>
    </row>
    <row r="74" spans="1:6">
      <c r="A74" s="1286" t="s">
        <v>64</v>
      </c>
      <c r="B74" s="1286" t="s">
        <v>772</v>
      </c>
      <c r="C74" s="1297" t="s">
        <v>766</v>
      </c>
      <c r="D74" s="335">
        <v>17648142.786561396</v>
      </c>
      <c r="E74" s="335">
        <v>19270686.712025456</v>
      </c>
    </row>
    <row r="75" spans="1:6">
      <c r="A75" s="1286" t="s">
        <v>65</v>
      </c>
      <c r="B75" s="1286" t="s">
        <v>771</v>
      </c>
      <c r="C75" s="1297" t="s">
        <v>767</v>
      </c>
      <c r="D75" s="335">
        <v>62845414</v>
      </c>
      <c r="E75" s="335">
        <v>68446519.715184838</v>
      </c>
    </row>
    <row r="76" spans="1:6">
      <c r="A76" s="1286" t="s">
        <v>65</v>
      </c>
      <c r="B76" s="1286" t="s">
        <v>772</v>
      </c>
      <c r="C76" s="1297" t="s">
        <v>768</v>
      </c>
      <c r="D76" s="335">
        <v>3874881.7865613969</v>
      </c>
      <c r="E76" s="335">
        <v>4352791.949933433</v>
      </c>
    </row>
    <row r="77" spans="1:6">
      <c r="A77" s="1286" t="s">
        <v>66</v>
      </c>
      <c r="B77" s="1286" t="s">
        <v>771</v>
      </c>
      <c r="C77" s="1297" t="s">
        <v>769</v>
      </c>
      <c r="D77" s="335">
        <v>64984301</v>
      </c>
      <c r="E77" s="335">
        <v>75081531.539657161</v>
      </c>
    </row>
    <row r="78" spans="1:6">
      <c r="A78" s="1282" t="s">
        <v>66</v>
      </c>
      <c r="B78" s="1282" t="s">
        <v>772</v>
      </c>
      <c r="C78" s="1282" t="s">
        <v>770</v>
      </c>
      <c r="D78" s="1282">
        <v>11675980</v>
      </c>
      <c r="E78" s="1282">
        <v>12422295.847706595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1499638.4268772064</v>
      </c>
      <c r="C83" s="335">
        <v>1415431.2339749315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9167.2727256194048</v>
      </c>
    </row>
    <row r="92" spans="1:6">
      <c r="A92" s="1282" t="s">
        <v>69</v>
      </c>
      <c r="B92" s="338">
        <v>11044.10981038002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15096</v>
      </c>
    </row>
    <row r="98" spans="1:6">
      <c r="A98" s="1286" t="s">
        <v>72</v>
      </c>
      <c r="B98" s="335">
        <v>2</v>
      </c>
    </row>
    <row r="99" spans="1:6">
      <c r="A99" s="1286" t="s">
        <v>73</v>
      </c>
      <c r="B99" s="335">
        <v>218</v>
      </c>
    </row>
    <row r="100" spans="1:6">
      <c r="A100" s="1286" t="s">
        <v>74</v>
      </c>
      <c r="B100" s="335">
        <v>1605</v>
      </c>
    </row>
    <row r="101" spans="1:6">
      <c r="A101" s="1286" t="s">
        <v>75</v>
      </c>
      <c r="B101" s="335">
        <v>277</v>
      </c>
    </row>
    <row r="102" spans="1:6">
      <c r="A102" s="1286" t="s">
        <v>76</v>
      </c>
      <c r="B102" s="335">
        <v>397</v>
      </c>
    </row>
    <row r="103" spans="1:6">
      <c r="A103" s="1286" t="s">
        <v>77</v>
      </c>
      <c r="B103" s="335">
        <v>430</v>
      </c>
    </row>
    <row r="104" spans="1:6">
      <c r="A104" s="1286" t="s">
        <v>78</v>
      </c>
      <c r="B104" s="335">
        <v>3828</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40</v>
      </c>
    </row>
    <row r="124" spans="1:6">
      <c r="A124" s="1282" t="s">
        <v>89</v>
      </c>
      <c r="B124" s="335">
        <v>3</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215</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502031.36323315458</v>
      </c>
      <c r="C3" s="44" t="s">
        <v>170</v>
      </c>
      <c r="D3" s="44"/>
      <c r="E3" s="157"/>
      <c r="F3" s="44"/>
      <c r="G3" s="44"/>
      <c r="H3" s="44"/>
      <c r="I3" s="44"/>
      <c r="J3" s="44"/>
      <c r="K3" s="97"/>
    </row>
    <row r="4" spans="1:11">
      <c r="A4" s="365" t="s">
        <v>171</v>
      </c>
      <c r="B4" s="50">
        <f>IF(ISERROR('SEAP template'!B78+'SEAP template'!C78),0,'SEAP template'!B78+'SEAP template'!C78)</f>
        <v>67780.882535999423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1610.534117647059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0.19437010812091449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2300.7630252100848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41355.000000000007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5.56344583535264E-2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6056.3459999999995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6056.3459999999995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0.19437010812091449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1177.1726268376678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87868.395318249997</v>
      </c>
      <c r="C5" s="18">
        <f>IF(ISERROR('Eigen informatie GS &amp; warmtenet'!B57),0,'Eigen informatie GS &amp; warmtenet'!B57)</f>
        <v>0</v>
      </c>
      <c r="D5" s="31">
        <f>(SUM(HH_hh_gas_kWh,HH_rest_gas_kWh)/1000)*0.902</f>
        <v>289896.08942123555</v>
      </c>
      <c r="E5" s="18">
        <f>B46*B57</f>
        <v>11426.518570427039</v>
      </c>
      <c r="F5" s="18">
        <f>B51*B62</f>
        <v>0</v>
      </c>
      <c r="G5" s="19"/>
      <c r="H5" s="18"/>
      <c r="I5" s="18"/>
      <c r="J5" s="18">
        <f>B50*B61+C50*C61</f>
        <v>0</v>
      </c>
      <c r="K5" s="18"/>
      <c r="L5" s="18"/>
      <c r="M5" s="18"/>
      <c r="N5" s="18">
        <f>B48*B59+C48*C59</f>
        <v>47151.122885469536</v>
      </c>
      <c r="O5" s="18">
        <f>B69*B70*B71</f>
        <v>398.65000000000003</v>
      </c>
      <c r="P5" s="18">
        <f>B77*B78*B79/1000-B77*B78*B79/1000/B80</f>
        <v>552.93333333333339</v>
      </c>
    </row>
    <row r="6" spans="1:16">
      <c r="A6" s="17" t="s">
        <v>639</v>
      </c>
      <c r="B6" s="780">
        <f>kWh_PV_kleiner_dan_10kW</f>
        <v>9167.2727256194048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97035.668043869402</v>
      </c>
      <c r="C8" s="22">
        <f>C5</f>
        <v>0</v>
      </c>
      <c r="D8" s="22">
        <f>D5</f>
        <v>289896.08942123555</v>
      </c>
      <c r="E8" s="22">
        <f>E5</f>
        <v>11426.518570427039</v>
      </c>
      <c r="F8" s="22">
        <f>F5</f>
        <v>0</v>
      </c>
      <c r="G8" s="22"/>
      <c r="H8" s="22"/>
      <c r="I8" s="22"/>
      <c r="J8" s="22">
        <f>J5</f>
        <v>0</v>
      </c>
      <c r="K8" s="22"/>
      <c r="L8" s="22">
        <f>L5</f>
        <v>0</v>
      </c>
      <c r="M8" s="22">
        <f>M5</f>
        <v>0</v>
      </c>
      <c r="N8" s="22">
        <f>N5</f>
        <v>47151.122885469536</v>
      </c>
      <c r="O8" s="22">
        <f>O5</f>
        <v>398.65000000000003</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0.19437010812091449</v>
      </c>
      <c r="C10" s="26">
        <f ca="1">'EF ele_warmte'!B22</f>
        <v>5.56344583535264E-2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18860.833289272061</v>
      </c>
      <c r="C12" s="24">
        <f ca="1">C10*C8</f>
        <v>0</v>
      </c>
      <c r="D12" s="24">
        <f>D8*D10</f>
        <v>58559.010063089583</v>
      </c>
      <c r="E12" s="24">
        <f>E10*E8</f>
        <v>2593.8197154869381</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15096</v>
      </c>
      <c r="C18" s="169" t="s">
        <v>111</v>
      </c>
      <c r="D18" s="231"/>
      <c r="E18" s="16"/>
    </row>
    <row r="19" spans="1:7">
      <c r="A19" s="174" t="s">
        <v>72</v>
      </c>
      <c r="B19" s="38">
        <f>aantalw2001_ander</f>
        <v>2</v>
      </c>
      <c r="C19" s="169" t="s">
        <v>111</v>
      </c>
      <c r="D19" s="232"/>
      <c r="E19" s="16"/>
    </row>
    <row r="20" spans="1:7">
      <c r="A20" s="174" t="s">
        <v>73</v>
      </c>
      <c r="B20" s="38">
        <f>aantalw2001_propaan</f>
        <v>218</v>
      </c>
      <c r="C20" s="170">
        <f>IF(ISERROR(B20/SUM($B$20,$B$21,$B$22)*100),0,B20/SUM($B$20,$B$21,$B$22)*100)</f>
        <v>10.380952380952381</v>
      </c>
      <c r="D20" s="232"/>
      <c r="E20" s="16"/>
    </row>
    <row r="21" spans="1:7">
      <c r="A21" s="174" t="s">
        <v>74</v>
      </c>
      <c r="B21" s="38">
        <f>aantalw2001_elektriciteit</f>
        <v>1605</v>
      </c>
      <c r="C21" s="170">
        <f>IF(ISERROR(B21/SUM($B$20,$B$21,$B$22)*100),0,B21/SUM($B$20,$B$21,$B$22)*100)</f>
        <v>76.428571428571416</v>
      </c>
      <c r="D21" s="232"/>
      <c r="E21" s="16"/>
    </row>
    <row r="22" spans="1:7">
      <c r="A22" s="174" t="s">
        <v>75</v>
      </c>
      <c r="B22" s="38">
        <f>aantalw2001_hout</f>
        <v>277</v>
      </c>
      <c r="C22" s="170">
        <f>IF(ISERROR(B22/SUM($B$20,$B$21,$B$22)*100),0,B22/SUM($B$20,$B$21,$B$22)*100)</f>
        <v>13.190476190476192</v>
      </c>
      <c r="D22" s="232"/>
      <c r="E22" s="16"/>
    </row>
    <row r="23" spans="1:7">
      <c r="A23" s="174" t="s">
        <v>76</v>
      </c>
      <c r="B23" s="38">
        <f>aantalw2001_niet_gespec</f>
        <v>397</v>
      </c>
      <c r="C23" s="169" t="s">
        <v>111</v>
      </c>
      <c r="D23" s="231"/>
      <c r="E23" s="16"/>
    </row>
    <row r="24" spans="1:7">
      <c r="A24" s="174" t="s">
        <v>77</v>
      </c>
      <c r="B24" s="38">
        <f>aantalw2001_steenkool</f>
        <v>430</v>
      </c>
      <c r="C24" s="169" t="s">
        <v>111</v>
      </c>
      <c r="D24" s="232"/>
      <c r="E24" s="16"/>
    </row>
    <row r="25" spans="1:7">
      <c r="A25" s="174" t="s">
        <v>78</v>
      </c>
      <c r="B25" s="38">
        <f>aantalw2001_stookolie</f>
        <v>3828</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24962</v>
      </c>
      <c r="C28" s="37"/>
      <c r="D28" s="231"/>
    </row>
    <row r="29" spans="1:7" s="16" customFormat="1">
      <c r="A29" s="233" t="s">
        <v>666</v>
      </c>
      <c r="B29" s="38">
        <f>SUM(HH_hh_gas_aantal,HH_rest_gas_aantal)</f>
        <v>19938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19938</v>
      </c>
      <c r="C32" s="170">
        <f>IF(ISERROR(B32/SUM($B$32,$B$34,$B$35,$B$36,$B$38,$B$39)*100),0,B32/SUM($B$32,$B$34,$B$35,$B$36,$B$38,$B$39)*100)</f>
        <v>79.96630971002287</v>
      </c>
      <c r="D32" s="236"/>
      <c r="G32" s="16"/>
    </row>
    <row r="33" spans="1:7">
      <c r="A33" s="174" t="s">
        <v>72</v>
      </c>
      <c r="B33" s="35" t="s">
        <v>111</v>
      </c>
      <c r="C33" s="170"/>
      <c r="D33" s="236"/>
      <c r="G33" s="16"/>
    </row>
    <row r="34" spans="1:7">
      <c r="A34" s="174" t="s">
        <v>73</v>
      </c>
      <c r="B34" s="34">
        <f>IF((($B$28-$B$32-$B$39-$B$77-$B$38)*C20/100)&lt;0,0,($B$28-$B$32-$B$39-$B$77-$B$38)*C20/100)</f>
        <v>518.52857142857147</v>
      </c>
      <c r="C34" s="170">
        <f>IF(ISERROR(B34/SUM($B$32,$B$34,$B$35,$B$36,$B$38,$B$39)*100),0,B34/SUM($B$32,$B$34,$B$35,$B$36,$B$38,$B$39)*100)</f>
        <v>2.0796878491500079</v>
      </c>
      <c r="D34" s="236"/>
      <c r="G34" s="16"/>
    </row>
    <row r="35" spans="1:7">
      <c r="A35" s="174" t="s">
        <v>74</v>
      </c>
      <c r="B35" s="34">
        <f>IF((($B$28-$B$32-$B$39-$B$77-$B$38)*C21/100)&lt;0,0,($B$28-$B$32-$B$39-$B$77-$B$38)*C21/100)</f>
        <v>3817.6071428571422</v>
      </c>
      <c r="C35" s="170">
        <f>IF(ISERROR(B35/SUM($B$32,$B$34,$B$35,$B$36,$B$38,$B$39)*100),0,B35/SUM($B$32,$B$34,$B$35,$B$36,$B$38,$B$39)*100)</f>
        <v>15.311463293053956</v>
      </c>
      <c r="D35" s="236"/>
      <c r="G35" s="16"/>
    </row>
    <row r="36" spans="1:7">
      <c r="A36" s="174" t="s">
        <v>75</v>
      </c>
      <c r="B36" s="34">
        <f>IF((($B$28-$B$32-$B$39-$B$77-$B$38)*C22/100)&lt;0,0,($B$28-$B$32-$B$39-$B$77-$B$38)*C22/100)</f>
        <v>658.86428571428576</v>
      </c>
      <c r="C36" s="170">
        <f>IF(ISERROR(B36/SUM($B$32,$B$34,$B$35,$B$36,$B$38,$B$39)*100),0,B36/SUM($B$32,$B$34,$B$35,$B$36,$B$38,$B$39)*100)</f>
        <v>2.6425391477731757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19938</v>
      </c>
      <c r="C44" s="35" t="s">
        <v>111</v>
      </c>
      <c r="D44" s="177"/>
    </row>
    <row r="45" spans="1:7">
      <c r="A45" s="174" t="s">
        <v>72</v>
      </c>
      <c r="B45" s="34" t="str">
        <f t="shared" si="0"/>
        <v>-</v>
      </c>
      <c r="C45" s="35" t="s">
        <v>111</v>
      </c>
      <c r="D45" s="177"/>
    </row>
    <row r="46" spans="1:7">
      <c r="A46" s="174" t="s">
        <v>73</v>
      </c>
      <c r="B46" s="34">
        <f t="shared" si="0"/>
        <v>518.52857142857147</v>
      </c>
      <c r="C46" s="35" t="s">
        <v>111</v>
      </c>
      <c r="D46" s="177"/>
    </row>
    <row r="47" spans="1:7">
      <c r="A47" s="174" t="s">
        <v>74</v>
      </c>
      <c r="B47" s="34">
        <f t="shared" si="0"/>
        <v>3817.6071428571422</v>
      </c>
      <c r="C47" s="35" t="s">
        <v>111</v>
      </c>
      <c r="D47" s="177"/>
    </row>
    <row r="48" spans="1:7">
      <c r="A48" s="174" t="s">
        <v>75</v>
      </c>
      <c r="B48" s="34">
        <f t="shared" si="0"/>
        <v>658.86428571428576</v>
      </c>
      <c r="C48" s="34">
        <f>B48*10</f>
        <v>6588.6428571428578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255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134037.05119065271</v>
      </c>
      <c r="C5" s="18">
        <f>IF(ISERROR('Eigen informatie GS &amp; warmtenet'!B58),0,'Eigen informatie GS &amp; warmtenet'!B58)</f>
        <v>0</v>
      </c>
      <c r="D5" s="31">
        <f>SUM(D6:D12)</f>
        <v>212986.78343606324</v>
      </c>
      <c r="E5" s="18">
        <f>SUM(E6:E12)</f>
        <v>1171.9081688514423</v>
      </c>
      <c r="F5" s="18">
        <f>SUM(F6:F12)</f>
        <v>29242.484720132928</v>
      </c>
      <c r="G5" s="19"/>
      <c r="H5" s="18"/>
      <c r="I5" s="18"/>
      <c r="J5" s="18">
        <f>SUM(J6:J12)</f>
        <v>0</v>
      </c>
      <c r="K5" s="18"/>
      <c r="L5" s="18"/>
      <c r="M5" s="18"/>
      <c r="N5" s="18">
        <f>SUM(N6:N12)</f>
        <v>3551.3772232056772</v>
      </c>
      <c r="O5" s="18">
        <f>B38*B39*B40</f>
        <v>0</v>
      </c>
      <c r="P5" s="18">
        <f>B46*B47*B48/1000-B46*B47*B48/1000/B49</f>
        <v>0</v>
      </c>
      <c r="R5" s="33"/>
    </row>
    <row r="6" spans="1:18">
      <c r="A6" s="33" t="s">
        <v>54</v>
      </c>
      <c r="B6" s="38">
        <f>B26</f>
        <v>29460.971299456</v>
      </c>
      <c r="C6" s="34"/>
      <c r="D6" s="38">
        <f>IF(ISERROR(TER_kantoor_gas_kWh/1000),0,TER_kantoor_gas_kWh/1000)*0.902</f>
        <v>37555.138259403437</v>
      </c>
      <c r="E6" s="34">
        <f>$C$26*'E Balans VL '!I12/100/3.6*1000000</f>
        <v>48.351424929777174</v>
      </c>
      <c r="F6" s="34">
        <f>$C$26*('E Balans VL '!L12+'E Balans VL '!N12)/100/3.6*1000000</f>
        <v>3472.7553371939571</v>
      </c>
      <c r="G6" s="35"/>
      <c r="H6" s="34"/>
      <c r="I6" s="34"/>
      <c r="J6" s="34">
        <f>$C$26*('E Balans VL '!D12+'E Balans VL '!E12)/100/3.6*1000000</f>
        <v>0</v>
      </c>
      <c r="K6" s="34"/>
      <c r="L6" s="34"/>
      <c r="M6" s="34"/>
      <c r="N6" s="34">
        <f>$C$26*'E Balans VL '!Y12/100/3.6*1000000</f>
        <v>5.9524497419347329</v>
      </c>
      <c r="O6" s="34"/>
      <c r="P6" s="34"/>
      <c r="R6" s="33"/>
    </row>
    <row r="7" spans="1:18">
      <c r="A7" s="33" t="s">
        <v>53</v>
      </c>
      <c r="B7" s="38">
        <f t="shared" ref="B7:B12" si="0">B27</f>
        <v>13608.188227479201</v>
      </c>
      <c r="C7" s="34"/>
      <c r="D7" s="38">
        <f>IF(ISERROR(TER_horeca_gas_kWh/1000),0,TER_horeca_gas_kWh/1000)*0.902</f>
        <v>19952.844785783735</v>
      </c>
      <c r="E7" s="34">
        <f>$C$27*'E Balans VL '!I9/100/3.6*1000000</f>
        <v>706.16649804895656</v>
      </c>
      <c r="F7" s="34">
        <f>$C$27*('E Balans VL '!L9+'E Balans VL '!N9)/100/3.6*1000000</f>
        <v>3105.3984276610699</v>
      </c>
      <c r="G7" s="35"/>
      <c r="H7" s="34"/>
      <c r="I7" s="34"/>
      <c r="J7" s="34">
        <f>$C$27*('E Balans VL '!D9+'E Balans VL '!E9)/100/3.6*1000000</f>
        <v>0</v>
      </c>
      <c r="K7" s="34"/>
      <c r="L7" s="34"/>
      <c r="M7" s="34"/>
      <c r="N7" s="34">
        <f>$C$27*'E Balans VL '!Y9/100/3.6*1000000</f>
        <v>1.4370184405974782</v>
      </c>
      <c r="O7" s="34"/>
      <c r="P7" s="34"/>
      <c r="R7" s="33"/>
    </row>
    <row r="8" spans="1:18">
      <c r="A8" s="6" t="s">
        <v>52</v>
      </c>
      <c r="B8" s="38">
        <f t="shared" si="0"/>
        <v>52870.374169355302</v>
      </c>
      <c r="C8" s="34"/>
      <c r="D8" s="38">
        <f>IF(ISERROR(TER_handel_gas_kWh/1000),0,TER_handel_gas_kWh/1000)*0.902</f>
        <v>30087.370607367895</v>
      </c>
      <c r="E8" s="34">
        <f>$C$28*'E Balans VL '!I13/100/3.6*1000000</f>
        <v>284.71346180745513</v>
      </c>
      <c r="F8" s="34">
        <f>$C$28*('E Balans VL '!L13+'E Balans VL '!N13)/100/3.6*1000000</f>
        <v>10781.840459142022</v>
      </c>
      <c r="G8" s="35"/>
      <c r="H8" s="34"/>
      <c r="I8" s="34"/>
      <c r="J8" s="34">
        <f>$C$28*('E Balans VL '!D13+'E Balans VL '!E13)/100/3.6*1000000</f>
        <v>0</v>
      </c>
      <c r="K8" s="34"/>
      <c r="L8" s="34"/>
      <c r="M8" s="34"/>
      <c r="N8" s="34">
        <f>$C$28*'E Balans VL '!Y13/100/3.6*1000000</f>
        <v>262.89645069953059</v>
      </c>
      <c r="O8" s="34"/>
      <c r="P8" s="34"/>
      <c r="R8" s="33"/>
    </row>
    <row r="9" spans="1:18">
      <c r="A9" s="33" t="s">
        <v>51</v>
      </c>
      <c r="B9" s="38">
        <f t="shared" si="0"/>
        <v>21269.586657587799</v>
      </c>
      <c r="C9" s="34"/>
      <c r="D9" s="38">
        <f>IF(ISERROR(TER_gezond_gas_kWh/1000),0,TER_gezond_gas_kWh/1000)*0.902</f>
        <v>16853.893885586622</v>
      </c>
      <c r="E9" s="34">
        <f>$C$29*'E Balans VL '!I10/100/3.6*1000000</f>
        <v>21.078402254407944</v>
      </c>
      <c r="F9" s="34">
        <f>$C$29*('E Balans VL '!L10+'E Balans VL '!N10)/100/3.6*1000000</f>
        <v>7379.9334978676861</v>
      </c>
      <c r="G9" s="35"/>
      <c r="H9" s="34"/>
      <c r="I9" s="34"/>
      <c r="J9" s="34">
        <f>$C$29*('E Balans VL '!D10+'E Balans VL '!E10)/100/3.6*1000000</f>
        <v>0</v>
      </c>
      <c r="K9" s="34"/>
      <c r="L9" s="34"/>
      <c r="M9" s="34"/>
      <c r="N9" s="34">
        <f>$C$29*'E Balans VL '!Y10/100/3.6*1000000</f>
        <v>183.27818565297582</v>
      </c>
      <c r="O9" s="34"/>
      <c r="P9" s="34"/>
      <c r="R9" s="33"/>
    </row>
    <row r="10" spans="1:18">
      <c r="A10" s="33" t="s">
        <v>50</v>
      </c>
      <c r="B10" s="38">
        <f t="shared" si="0"/>
        <v>4380.1523733092799</v>
      </c>
      <c r="C10" s="34"/>
      <c r="D10" s="38">
        <f>IF(ISERROR(TER_ander_gas_kWh/1000),0,TER_ander_gas_kWh/1000)*0.902</f>
        <v>63596.276431270126</v>
      </c>
      <c r="E10" s="34">
        <f>$C$30*'E Balans VL '!I14/100/3.6*1000000</f>
        <v>35.834024064200229</v>
      </c>
      <c r="F10" s="34">
        <f>$C$30*('E Balans VL '!L14+'E Balans VL '!N14)/100/3.6*1000000</f>
        <v>1280.5782305669854</v>
      </c>
      <c r="G10" s="35"/>
      <c r="H10" s="34"/>
      <c r="I10" s="34"/>
      <c r="J10" s="34">
        <f>$C$30*('E Balans VL '!D14+'E Balans VL '!E14)/100/3.6*1000000</f>
        <v>0</v>
      </c>
      <c r="K10" s="34"/>
      <c r="L10" s="34"/>
      <c r="M10" s="34"/>
      <c r="N10" s="34">
        <f>$C$30*'E Balans VL '!Y14/100/3.6*1000000</f>
        <v>2526.7731948470532</v>
      </c>
      <c r="O10" s="34"/>
      <c r="P10" s="34"/>
      <c r="R10" s="33"/>
    </row>
    <row r="11" spans="1:18">
      <c r="A11" s="33" t="s">
        <v>55</v>
      </c>
      <c r="B11" s="38">
        <f t="shared" si="0"/>
        <v>3961.7094757567702</v>
      </c>
      <c r="C11" s="34"/>
      <c r="D11" s="38">
        <f>IF(ISERROR(TER_onderwijs_gas_kWh/1000),0,TER_onderwijs_gas_kWh/1000)*0.902</f>
        <v>11004.362283353292</v>
      </c>
      <c r="E11" s="34">
        <f>$C$31*'E Balans VL '!I11/100/3.6*1000000</f>
        <v>2.4418305597376313</v>
      </c>
      <c r="F11" s="34">
        <f>$C$31*('E Balans VL '!L11+'E Balans VL '!N11)/100/3.6*1000000</f>
        <v>1531.6610419024487</v>
      </c>
      <c r="G11" s="35"/>
      <c r="H11" s="34"/>
      <c r="I11" s="34"/>
      <c r="J11" s="34">
        <f>$C$31*('E Balans VL '!D11+'E Balans VL '!E11)/100/3.6*1000000</f>
        <v>0</v>
      </c>
      <c r="K11" s="34"/>
      <c r="L11" s="34"/>
      <c r="M11" s="34"/>
      <c r="N11" s="34">
        <f>$C$31*'E Balans VL '!Y11/100/3.6*1000000</f>
        <v>12.886591948422986</v>
      </c>
      <c r="O11" s="34"/>
      <c r="P11" s="34"/>
      <c r="R11" s="33"/>
    </row>
    <row r="12" spans="1:18">
      <c r="A12" s="33" t="s">
        <v>260</v>
      </c>
      <c r="B12" s="38">
        <f t="shared" si="0"/>
        <v>8486.0689877083605</v>
      </c>
      <c r="C12" s="34"/>
      <c r="D12" s="38">
        <f>IF(ISERROR(TER_rest_gas_kWh/1000),0,TER_rest_gas_kWh/1000)*0.902</f>
        <v>33936.89718329817</v>
      </c>
      <c r="E12" s="34">
        <f>$C$32*'E Balans VL '!I8/100/3.6*1000000</f>
        <v>73.322527186907507</v>
      </c>
      <c r="F12" s="34">
        <f>$C$32*('E Balans VL '!L8+'E Balans VL '!N8)/100/3.6*1000000</f>
        <v>1690.3177257987625</v>
      </c>
      <c r="G12" s="35"/>
      <c r="H12" s="34"/>
      <c r="I12" s="34"/>
      <c r="J12" s="34">
        <f>$C$32*('E Balans VL '!D8+'E Balans VL '!E8)/100/3.6*1000000</f>
        <v>0</v>
      </c>
      <c r="K12" s="34"/>
      <c r="L12" s="34"/>
      <c r="M12" s="34"/>
      <c r="N12" s="34">
        <f>$C$32*'E Balans VL '!Y8/100/3.6*1000000</f>
        <v>558.15333187516262</v>
      </c>
      <c r="O12" s="34"/>
      <c r="P12" s="34"/>
      <c r="R12" s="33"/>
    </row>
    <row r="13" spans="1:18">
      <c r="A13" s="17" t="s">
        <v>502</v>
      </c>
      <c r="B13" s="250">
        <f ca="1">'lokale energieproductie'!N91+'lokale energieproductie'!N60</f>
        <v>33921</v>
      </c>
      <c r="C13" s="250">
        <f ca="1">'lokale energieproductie'!O91+'lokale energieproductie'!O60</f>
        <v>41355.000000000007</v>
      </c>
      <c r="D13" s="312">
        <f ca="1">('lokale energieproductie'!P60+'lokale energieproductie'!P91)*(-1)</f>
        <v>-19362.857142857145</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-77554.285714285725</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167958.05119065271</v>
      </c>
      <c r="C16" s="22">
        <f t="shared" ca="1" si="1"/>
        <v>41355.000000000007</v>
      </c>
      <c r="D16" s="22">
        <f t="shared" ca="1" si="1"/>
        <v>193623.92629320611</v>
      </c>
      <c r="E16" s="22">
        <f t="shared" si="1"/>
        <v>1171.9081688514423</v>
      </c>
      <c r="F16" s="22">
        <f t="shared" ca="1" si="1"/>
        <v>29242.484720132928</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0.19437010812091449</v>
      </c>
      <c r="C18" s="26">
        <f ca="1">'EF ele_warmte'!B22</f>
        <v>5.56344583535264E-2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32646.024569705256</v>
      </c>
      <c r="C20" s="24">
        <f t="shared" ref="C20:P20" ca="1" si="2">C16*C18</f>
        <v>2300.7630252100848</v>
      </c>
      <c r="D20" s="24">
        <f t="shared" ca="1" si="2"/>
        <v>39112.03311122764</v>
      </c>
      <c r="E20" s="24">
        <f t="shared" si="2"/>
        <v>266.02315432927742</v>
      </c>
      <c r="F20" s="24">
        <f t="shared" ca="1" si="2"/>
        <v>7807.7434202754921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29460.971299456</v>
      </c>
      <c r="C26" s="40">
        <f>IF(ISERROR(B26*3.6/1000000/'E Balans VL '!Z12*100),0,B26*3.6/1000000/'E Balans VL '!Z12*100)</f>
        <v>0.62602451273634363</v>
      </c>
      <c r="D26" s="240" t="s">
        <v>707</v>
      </c>
      <c r="F26" s="6"/>
    </row>
    <row r="27" spans="1:18">
      <c r="A27" s="234" t="s">
        <v>53</v>
      </c>
      <c r="B27" s="34">
        <f>IF(ISERROR(TER_horeca_ele_kWh/1000),0,TER_horeca_ele_kWh/1000)</f>
        <v>13608.188227479201</v>
      </c>
      <c r="C27" s="40">
        <f>IF(ISERROR(B27*3.6/1000000/'E Balans VL '!Z9*100),0,B27*3.6/1000000/'E Balans VL '!Z9*100)</f>
        <v>1.0710696451658224</v>
      </c>
      <c r="D27" s="240" t="s">
        <v>707</v>
      </c>
      <c r="F27" s="6"/>
    </row>
    <row r="28" spans="1:18">
      <c r="A28" s="174" t="s">
        <v>52</v>
      </c>
      <c r="B28" s="34">
        <f>IF(ISERROR(TER_handel_ele_kWh/1000),0,TER_handel_ele_kWh/1000)</f>
        <v>52870.374169355302</v>
      </c>
      <c r="C28" s="40">
        <f>IF(ISERROR(B28*3.6/1000000/'E Balans VL '!Z13*100),0,B28*3.6/1000000/'E Balans VL '!Z13*100)</f>
        <v>1.4809274755908148</v>
      </c>
      <c r="D28" s="240" t="s">
        <v>707</v>
      </c>
      <c r="F28" s="6"/>
    </row>
    <row r="29" spans="1:18">
      <c r="A29" s="234" t="s">
        <v>51</v>
      </c>
      <c r="B29" s="34">
        <f>IF(ISERROR(TER_gezond_ele_kWh/1000),0,TER_gezond_ele_kWh/1000)</f>
        <v>21269.586657587799</v>
      </c>
      <c r="C29" s="40">
        <f>IF(ISERROR(B29*3.6/1000000/'E Balans VL '!Z10*100),0,B29*3.6/1000000/'E Balans VL '!Z10*100)</f>
        <v>2.7210232999028698</v>
      </c>
      <c r="D29" s="240" t="s">
        <v>707</v>
      </c>
      <c r="F29" s="6"/>
    </row>
    <row r="30" spans="1:18">
      <c r="A30" s="234" t="s">
        <v>50</v>
      </c>
      <c r="B30" s="34">
        <f>IF(ISERROR(TER_ander_ele_kWh/1000),0,TER_ander_ele_kWh/1000)</f>
        <v>4380.1523733092799</v>
      </c>
      <c r="C30" s="40">
        <f>IF(ISERROR(B30*3.6/1000000/'E Balans VL '!Z14*100),0,B30*3.6/1000000/'E Balans VL '!Z14*100)</f>
        <v>0.3275984897148978</v>
      </c>
      <c r="D30" s="240" t="s">
        <v>707</v>
      </c>
      <c r="F30" s="6"/>
    </row>
    <row r="31" spans="1:18">
      <c r="A31" s="234" t="s">
        <v>55</v>
      </c>
      <c r="B31" s="34">
        <f>IF(ISERROR(TER_onderwijs_ele_kWh/1000),0,TER_onderwijs_ele_kWh/1000)</f>
        <v>3961.7094757567702</v>
      </c>
      <c r="C31" s="40">
        <f>IF(ISERROR(B31*3.6/1000000/'E Balans VL '!Z11*100),0,B31*3.6/1000000/'E Balans VL '!Z11*100)</f>
        <v>0.83652008753151486</v>
      </c>
      <c r="D31" s="240" t="s">
        <v>707</v>
      </c>
    </row>
    <row r="32" spans="1:18">
      <c r="A32" s="234" t="s">
        <v>260</v>
      </c>
      <c r="B32" s="34">
        <f>IF(ISERROR(TER_rest_ele_kWh/1000),0,TER_rest_ele_kWh/1000)</f>
        <v>8486.0689877083605</v>
      </c>
      <c r="C32" s="40">
        <f>IF(ISERROR(B32*3.6/1000000/'E Balans VL '!Z8*100),0,B32*3.6/1000000/'E Balans VL '!Z8*100)</f>
        <v>6.9907659823375823E-2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209665.29785189129</v>
      </c>
      <c r="C5" s="18">
        <f>IF(ISERROR('Eigen informatie GS &amp; warmtenet'!B59),0,'Eigen informatie GS &amp; warmtenet'!B59)</f>
        <v>0</v>
      </c>
      <c r="D5" s="31">
        <f>SUM(D6:D15)</f>
        <v>235145.90499515983</v>
      </c>
      <c r="E5" s="18">
        <f>SUM(E6:E15)</f>
        <v>3121.9062230894988</v>
      </c>
      <c r="F5" s="18">
        <f>SUM(F6:F15)</f>
        <v>41991.100447917706</v>
      </c>
      <c r="G5" s="19"/>
      <c r="H5" s="18"/>
      <c r="I5" s="18"/>
      <c r="J5" s="18">
        <f>SUM(J6:J15)</f>
        <v>893.32892224222837</v>
      </c>
      <c r="K5" s="18"/>
      <c r="L5" s="18"/>
      <c r="M5" s="18"/>
      <c r="N5" s="18">
        <f>SUM(N6:N15)</f>
        <v>12738.07802708081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25779.0459768609</v>
      </c>
      <c r="C8" s="34"/>
      <c r="D8" s="38">
        <f>IF( ISERROR(IND_metaal_Gas_kWH/1000),0,IND_metaal_Gas_kWH/1000)*0.902</f>
        <v>20998.506482443005</v>
      </c>
      <c r="E8" s="34">
        <f>C30*'E Balans VL '!I18/100/3.6*1000000</f>
        <v>234.7651260087016</v>
      </c>
      <c r="F8" s="34">
        <f>C30*'E Balans VL '!L18/100/3.6*1000000+C30*'E Balans VL '!N18/100/3.6*1000000</f>
        <v>3400.0603949103579</v>
      </c>
      <c r="G8" s="35"/>
      <c r="H8" s="34"/>
      <c r="I8" s="34"/>
      <c r="J8" s="41">
        <f>C30*'E Balans VL '!D18/100/3.6*1000000+C30*'E Balans VL '!E18/100/3.6*1000000</f>
        <v>422.73892419356798</v>
      </c>
      <c r="K8" s="34"/>
      <c r="L8" s="34"/>
      <c r="M8" s="34"/>
      <c r="N8" s="34">
        <f>C30*'E Balans VL '!Y18/100/3.6*1000000</f>
        <v>88.592340322725974</v>
      </c>
      <c r="O8" s="34"/>
      <c r="P8" s="34"/>
      <c r="R8" s="33"/>
    </row>
    <row r="9" spans="1:18">
      <c r="A9" s="6" t="s">
        <v>33</v>
      </c>
      <c r="B9" s="38">
        <f t="shared" si="0"/>
        <v>10256.954092539099</v>
      </c>
      <c r="C9" s="34"/>
      <c r="D9" s="38">
        <f>IF( ISERROR(IND_andere_gas_kWh/1000),0,IND_andere_gas_kWh/1000)*0.902</f>
        <v>8901.7314786111419</v>
      </c>
      <c r="E9" s="34">
        <f>C31*'E Balans VL '!I19/100/3.6*1000000</f>
        <v>59.286727429884735</v>
      </c>
      <c r="F9" s="34">
        <f>C31*'E Balans VL '!L19/100/3.6*1000000+C31*'E Balans VL '!N19/100/3.6*1000000</f>
        <v>8159.9005257154895</v>
      </c>
      <c r="G9" s="35"/>
      <c r="H9" s="34"/>
      <c r="I9" s="34"/>
      <c r="J9" s="41">
        <f>C31*'E Balans VL '!D19/100/3.6*1000000+C31*'E Balans VL '!E19/100/3.6*1000000</f>
        <v>0.97019392613509803</v>
      </c>
      <c r="K9" s="34"/>
      <c r="L9" s="34"/>
      <c r="M9" s="34"/>
      <c r="N9" s="34">
        <f>C31*'E Balans VL '!Y19/100/3.6*1000000</f>
        <v>777.11949414757316</v>
      </c>
      <c r="O9" s="34"/>
      <c r="P9" s="34"/>
      <c r="R9" s="33"/>
    </row>
    <row r="10" spans="1:18">
      <c r="A10" s="6" t="s">
        <v>41</v>
      </c>
      <c r="B10" s="38">
        <f t="shared" si="0"/>
        <v>63944.283271779997</v>
      </c>
      <c r="C10" s="34"/>
      <c r="D10" s="38">
        <f>IF( ISERROR(IND_voed_gas_kWh/1000),0,IND_voed_gas_kWh/1000)*0.902</f>
        <v>87693.086977396131</v>
      </c>
      <c r="E10" s="34">
        <f>C32*'E Balans VL '!I20/100/3.6*1000000</f>
        <v>628.73959248234701</v>
      </c>
      <c r="F10" s="34">
        <f>C32*'E Balans VL '!L20/100/3.6*1000000+C32*'E Balans VL '!N20/100/3.6*1000000</f>
        <v>7101.8472993215883</v>
      </c>
      <c r="G10" s="35"/>
      <c r="H10" s="34"/>
      <c r="I10" s="34"/>
      <c r="J10" s="41">
        <f>C32*'E Balans VL '!D20/100/3.6*1000000+C32*'E Balans VL '!E20/100/3.6*1000000</f>
        <v>0.2520334493319511</v>
      </c>
      <c r="K10" s="34"/>
      <c r="L10" s="34"/>
      <c r="M10" s="34"/>
      <c r="N10" s="34">
        <f>C32*'E Balans VL '!Y20/100/3.6*1000000</f>
        <v>946.86442244613409</v>
      </c>
      <c r="O10" s="34"/>
      <c r="P10" s="34"/>
      <c r="R10" s="33"/>
    </row>
    <row r="11" spans="1:18">
      <c r="A11" s="6" t="s">
        <v>40</v>
      </c>
      <c r="B11" s="38">
        <f t="shared" si="0"/>
        <v>1713.7366966918098</v>
      </c>
      <c r="C11" s="34"/>
      <c r="D11" s="38">
        <f>IF( ISERROR(IND_textiel_gas_kWh/1000),0,IND_textiel_gas_kWh/1000)*0.902</f>
        <v>624.57292948865381</v>
      </c>
      <c r="E11" s="34">
        <f>C33*'E Balans VL '!I21/100/3.6*1000000</f>
        <v>3.337043289852228</v>
      </c>
      <c r="F11" s="34">
        <f>C33*'E Balans VL '!L21/100/3.6*1000000+C33*'E Balans VL '!N21/100/3.6*1000000</f>
        <v>56.524659890005239</v>
      </c>
      <c r="G11" s="35"/>
      <c r="H11" s="34"/>
      <c r="I11" s="34"/>
      <c r="J11" s="41">
        <f>C33*'E Balans VL '!D21/100/3.6*1000000+C33*'E Balans VL '!E21/100/3.6*1000000</f>
        <v>0</v>
      </c>
      <c r="K11" s="34"/>
      <c r="L11" s="34"/>
      <c r="M11" s="34"/>
      <c r="N11" s="34">
        <f>C33*'E Balans VL '!Y21/100/3.6*1000000</f>
        <v>17.775956976041154</v>
      </c>
      <c r="O11" s="34"/>
      <c r="P11" s="34"/>
      <c r="R11" s="33"/>
    </row>
    <row r="12" spans="1:18">
      <c r="A12" s="6" t="s">
        <v>37</v>
      </c>
      <c r="B12" s="38">
        <f t="shared" si="0"/>
        <v>35447.361103745898</v>
      </c>
      <c r="C12" s="34"/>
      <c r="D12" s="38">
        <f>IF( ISERROR(IND_min_gas_kWh/1000),0,IND_min_gas_kWh/1000)*0.902</f>
        <v>1759.78427413862</v>
      </c>
      <c r="E12" s="34">
        <f>C34*'E Balans VL '!I22/100/3.6*1000000</f>
        <v>898.6536823845662</v>
      </c>
      <c r="F12" s="34">
        <f>C34*'E Balans VL '!L22/100/3.6*1000000+C34*'E Balans VL '!N22/100/3.6*1000000</f>
        <v>9808.4083723836866</v>
      </c>
      <c r="G12" s="35"/>
      <c r="H12" s="34"/>
      <c r="I12" s="34"/>
      <c r="J12" s="41">
        <f>C34*'E Balans VL '!D22/100/3.6*1000000+C34*'E Balans VL '!E22/100/3.6*1000000</f>
        <v>234.10149590924092</v>
      </c>
      <c r="K12" s="34"/>
      <c r="L12" s="34"/>
      <c r="M12" s="34"/>
      <c r="N12" s="34">
        <f>C34*'E Balans VL '!Y22/100/3.6*1000000</f>
        <v>0</v>
      </c>
      <c r="O12" s="34"/>
      <c r="P12" s="34"/>
      <c r="R12" s="33"/>
    </row>
    <row r="13" spans="1:18">
      <c r="A13" s="6" t="s">
        <v>39</v>
      </c>
      <c r="B13" s="38">
        <f t="shared" si="0"/>
        <v>25739.860985913401</v>
      </c>
      <c r="C13" s="34"/>
      <c r="D13" s="38">
        <f>IF( ISERROR(IND_papier_gas_kWh/1000),0,IND_papier_gas_kWh/1000)*0.902</f>
        <v>21322.421634358692</v>
      </c>
      <c r="E13" s="34">
        <f>C35*'E Balans VL '!I23/100/3.6*1000000</f>
        <v>876.73698556578381</v>
      </c>
      <c r="F13" s="34">
        <f>C35*'E Balans VL '!L23/100/3.6*1000000+C35*'E Balans VL '!N23/100/3.6*1000000</f>
        <v>4251.6209333391844</v>
      </c>
      <c r="G13" s="35"/>
      <c r="H13" s="34"/>
      <c r="I13" s="34"/>
      <c r="J13" s="41">
        <f>C35*'E Balans VL '!D23/100/3.6*1000000+C35*'E Balans VL '!E23/100/3.6*1000000</f>
        <v>0</v>
      </c>
      <c r="K13" s="34"/>
      <c r="L13" s="34"/>
      <c r="M13" s="34"/>
      <c r="N13" s="34">
        <f>C35*'E Balans VL '!Y23/100/3.6*1000000</f>
        <v>9471.5785532557729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46784.055724360194</v>
      </c>
      <c r="C15" s="34"/>
      <c r="D15" s="38">
        <f>IF( ISERROR(IND_rest_gas_kWh/1000),0,IND_rest_gas_kWh/1000)*0.902</f>
        <v>93845.801218723602</v>
      </c>
      <c r="E15" s="34">
        <f>C37*'E Balans VL '!I15/100/3.6*1000000</f>
        <v>420.38706592836297</v>
      </c>
      <c r="F15" s="34">
        <f>C37*'E Balans VL '!L15/100/3.6*1000000+C37*'E Balans VL '!N15/100/3.6*1000000</f>
        <v>9212.7382623573994</v>
      </c>
      <c r="G15" s="35"/>
      <c r="H15" s="34"/>
      <c r="I15" s="34"/>
      <c r="J15" s="41">
        <f>C37*'E Balans VL '!D15/100/3.6*1000000+C37*'E Balans VL '!E15/100/3.6*1000000</f>
        <v>235.26627476395245</v>
      </c>
      <c r="K15" s="34"/>
      <c r="L15" s="34"/>
      <c r="M15" s="34"/>
      <c r="N15" s="34">
        <f>C37*'E Balans VL '!Y15/100/3.6*1000000</f>
        <v>1436.147259932563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209665.29785189129</v>
      </c>
      <c r="C18" s="22">
        <f>C5+C16</f>
        <v>0</v>
      </c>
      <c r="D18" s="22">
        <f>MAX((D5+D16),0)</f>
        <v>235145.90499515983</v>
      </c>
      <c r="E18" s="22">
        <f>MAX((E5+E16),0)</f>
        <v>3121.9062230894988</v>
      </c>
      <c r="F18" s="22">
        <f>MAX((F5+F16),0)</f>
        <v>41991.100447917706</v>
      </c>
      <c r="G18" s="22"/>
      <c r="H18" s="22"/>
      <c r="I18" s="22"/>
      <c r="J18" s="22">
        <f>MAX((J5+J16),0)</f>
        <v>893.32892224222837</v>
      </c>
      <c r="K18" s="22"/>
      <c r="L18" s="22">
        <f>MAX((L5+L16),0)</f>
        <v>0</v>
      </c>
      <c r="M18" s="22"/>
      <c r="N18" s="22">
        <f>MAX((N5+N16),0)</f>
        <v>12738.07802708081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0.19437010812091449</v>
      </c>
      <c r="C20" s="26">
        <f ca="1">'EF ele_warmte'!B22</f>
        <v>5.56344583535264E-2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40752.66661267585</v>
      </c>
      <c r="C22" s="24">
        <f ca="1">C18*C20</f>
        <v>0</v>
      </c>
      <c r="D22" s="24">
        <f>D18*D20</f>
        <v>47499.472809022285</v>
      </c>
      <c r="E22" s="24">
        <f>E18*E20</f>
        <v>708.67271264131625</v>
      </c>
      <c r="F22" s="24">
        <f>F18*F20</f>
        <v>11211.623819594028</v>
      </c>
      <c r="G22" s="24"/>
      <c r="H22" s="24"/>
      <c r="I22" s="24"/>
      <c r="J22" s="24">
        <f>J18*J20</f>
        <v>316.23843847374883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25779.0459768609</v>
      </c>
      <c r="C30" s="40">
        <f>IF(ISERROR(B30*3.6/1000000/'E Balans VL '!Z18*100),0,B30*3.6/1000000/'E Balans VL '!Z18*100)</f>
        <v>1.4344315256108628</v>
      </c>
      <c r="D30" s="240" t="s">
        <v>707</v>
      </c>
    </row>
    <row r="31" spans="1:18">
      <c r="A31" s="6" t="s">
        <v>33</v>
      </c>
      <c r="B31" s="38">
        <f>IF( ISERROR(IND_ander_ele_kWh/1000),0,IND_ander_ele_kWh/1000)</f>
        <v>10256.954092539099</v>
      </c>
      <c r="C31" s="40">
        <f>IF(ISERROR(B31*3.6/1000000/'E Balans VL '!Z19*100),0,B31*3.6/1000000/'E Balans VL '!Z19*100)</f>
        <v>0.47681885789574785</v>
      </c>
      <c r="D31" s="240" t="s">
        <v>707</v>
      </c>
    </row>
    <row r="32" spans="1:18">
      <c r="A32" s="174" t="s">
        <v>41</v>
      </c>
      <c r="B32" s="38">
        <f>IF( ISERROR(IND_voed_ele_kWh/1000),0,IND_voed_ele_kWh/1000)</f>
        <v>63944.283271779997</v>
      </c>
      <c r="C32" s="40">
        <f>IF(ISERROR(B32*3.6/1000000/'E Balans VL '!Z20*100),0,B32*3.6/1000000/'E Balans VL '!Z20*100)</f>
        <v>2.2603012727081797</v>
      </c>
      <c r="D32" s="240" t="s">
        <v>707</v>
      </c>
    </row>
    <row r="33" spans="1:5">
      <c r="A33" s="174" t="s">
        <v>40</v>
      </c>
      <c r="B33" s="38">
        <f>IF( ISERROR(IND_textiel_ele_kWh/1000),0,IND_textiel_ele_kWh/1000)</f>
        <v>1713.7366966918098</v>
      </c>
      <c r="C33" s="40">
        <f>IF(ISERROR(B33*3.6/1000000/'E Balans VL '!Z21*100),0,B33*3.6/1000000/'E Balans VL '!Z21*100)</f>
        <v>0.23146614502024868</v>
      </c>
      <c r="D33" s="240" t="s">
        <v>707</v>
      </c>
    </row>
    <row r="34" spans="1:5">
      <c r="A34" s="174" t="s">
        <v>37</v>
      </c>
      <c r="B34" s="38">
        <f>IF( ISERROR(IND_min_ele_kWh/1000),0,IND_min_ele_kWh/1000)</f>
        <v>35447.361103745898</v>
      </c>
      <c r="C34" s="40">
        <f>IF(ISERROR(B34*3.6/1000000/'E Balans VL '!Z22*100),0,B34*3.6/1000000/'E Balans VL '!Z22*100)</f>
        <v>7.1239200000397709</v>
      </c>
      <c r="D34" s="240" t="s">
        <v>707</v>
      </c>
    </row>
    <row r="35" spans="1:5">
      <c r="A35" s="174" t="s">
        <v>39</v>
      </c>
      <c r="B35" s="38">
        <f>IF( ISERROR(IND_papier_ele_kWh/1000),0,IND_papier_ele_kWh/1000)</f>
        <v>25739.860985913401</v>
      </c>
      <c r="C35" s="40">
        <f>IF(ISERROR(B35*3.6/1000000/'E Balans VL '!Z22*100),0,B35*3.6/1000000/'E Balans VL '!Z22*100)</f>
        <v>5.1729862186106281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46784.055724360194</v>
      </c>
      <c r="C37" s="40">
        <f>IF(ISERROR(B37*3.6/1000000/'E Balans VL '!Z15*100),0,B37*3.6/1000000/'E Balans VL '!Z15*100)</f>
        <v>0.35328873121976651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16418.231284187754</v>
      </c>
      <c r="C5" s="18">
        <f>'Eigen informatie GS &amp; warmtenet'!B60</f>
        <v>0</v>
      </c>
      <c r="D5" s="31">
        <f>IF(ISERROR(SUM(LB_lb_gas_kWh,LB_rest_gas_kWh)/1000),0,SUM(LB_lb_gas_kWh,LB_rest_gas_kWh)/1000)*0.902</f>
        <v>2827.053981431211</v>
      </c>
      <c r="E5" s="18">
        <f>B17*'E Balans VL '!I25/3.6*1000000/100</f>
        <v>154.67073927286197</v>
      </c>
      <c r="F5" s="18">
        <f>B17*('E Balans VL '!L25/3.6*1000000+'E Balans VL '!N25/3.6*1000000)/100</f>
        <v>53578.137412742384</v>
      </c>
      <c r="G5" s="19"/>
      <c r="H5" s="18"/>
      <c r="I5" s="18"/>
      <c r="J5" s="18">
        <f>('E Balans VL '!D25+'E Balans VL '!E25)/3.6*1000000*landbouw!B17/100</f>
        <v>2031.0150681156508</v>
      </c>
      <c r="K5" s="18"/>
      <c r="L5" s="18">
        <f>L6*(-1)</f>
        <v>0</v>
      </c>
      <c r="M5" s="18"/>
      <c r="N5" s="18">
        <f>N6*(-1)</f>
        <v>38995.71428571429</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-38995.71428571429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16418.231284187754</v>
      </c>
      <c r="C8" s="22">
        <f>C5+C6</f>
        <v>0</v>
      </c>
      <c r="D8" s="22">
        <f>MAX((D5+D6),0)</f>
        <v>2827.053981431211</v>
      </c>
      <c r="E8" s="22">
        <f>MAX((E5+E6),0)</f>
        <v>154.67073927286197</v>
      </c>
      <c r="F8" s="22">
        <f>MAX((F5+F6),0)</f>
        <v>53578.137412742384</v>
      </c>
      <c r="G8" s="22"/>
      <c r="H8" s="22"/>
      <c r="I8" s="22"/>
      <c r="J8" s="22">
        <f>MAX((J5+J6),0)</f>
        <v>2031.0150681156508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0.19437010812091449</v>
      </c>
      <c r="C10" s="32">
        <f ca="1">'EF ele_warmte'!B22</f>
        <v>5.56344583535264E-2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3191.2133898617544</v>
      </c>
      <c r="C12" s="24">
        <f ca="1">C8*C10</f>
        <v>0</v>
      </c>
      <c r="D12" s="24">
        <f>D8*D10</f>
        <v>571.06490424910464</v>
      </c>
      <c r="E12" s="24">
        <f>E8*E10</f>
        <v>35.110257814939665</v>
      </c>
      <c r="F12" s="24">
        <f>F8*F10</f>
        <v>14305.362689202217</v>
      </c>
      <c r="G12" s="24"/>
      <c r="H12" s="24"/>
      <c r="I12" s="24"/>
      <c r="J12" s="24">
        <f>J8*J10</f>
        <v>718.97933411294036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2.2227661609297926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281.32699367864905</v>
      </c>
      <c r="C26" s="250">
        <f>B26*'GWP N2O_CH4'!B5</f>
        <v>5907.8668672516296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282.85659782642188</v>
      </c>
      <c r="C27" s="250">
        <f>B27*'GWP N2O_CH4'!B5</f>
        <v>5939.9885543548589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4.6754624466491181</v>
      </c>
      <c r="C28" s="250">
        <f>B28*'GWP N2O_CH4'!B4</f>
        <v>1449.3933584612266</v>
      </c>
      <c r="D28" s="51"/>
    </row>
    <row r="29" spans="1:4">
      <c r="A29" s="42" t="s">
        <v>277</v>
      </c>
      <c r="B29" s="250">
        <f>B34*'ha_N2O bodem landbouw'!B4</f>
        <v>13.744289216518043</v>
      </c>
      <c r="C29" s="250">
        <f>B29*'GWP N2O_CH4'!B4</f>
        <v>4260.7296571205934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3.7105254145678324E-3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1.9666152146433477E-5</v>
      </c>
      <c r="C5" s="447" t="s">
        <v>211</v>
      </c>
      <c r="D5" s="432">
        <f>SUM(D6:D11)</f>
        <v>5.7676722990902208E-5</v>
      </c>
      <c r="E5" s="432">
        <f>SUM(E6:E11)</f>
        <v>3.5019387103304741E-3</v>
      </c>
      <c r="F5" s="445" t="s">
        <v>211</v>
      </c>
      <c r="G5" s="432">
        <f>SUM(G6:G11)</f>
        <v>0.80469047947067962</v>
      </c>
      <c r="H5" s="432">
        <f>SUM(H6:H11)</f>
        <v>0.12924144931477413</v>
      </c>
      <c r="I5" s="447" t="s">
        <v>211</v>
      </c>
      <c r="J5" s="447" t="s">
        <v>211</v>
      </c>
      <c r="K5" s="447" t="s">
        <v>211</v>
      </c>
      <c r="L5" s="447" t="s">
        <v>211</v>
      </c>
      <c r="M5" s="432">
        <f>SUM(M6:M11)</f>
        <v>4.1745119210171266E-2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9.9838050207373092E-6</v>
      </c>
      <c r="C6" s="433"/>
      <c r="D6" s="433">
        <f>vkm_2011_GW_PW*SUMIFS(TableVerdeelsleutelVkm[CNG],TableVerdeelsleutelVkm[Voertuigtype],"Lichte voertuigen")*SUMIFS(TableECFTransport[EnergieConsumptieFactor (PJ per km)],TableECFTransport[Index],CONCATENATE($A6,"_CNG_CNG"))</f>
        <v>2.4380619060485949E-5</v>
      </c>
      <c r="E6" s="435">
        <f>vkm_2011_GW_PW*SUMIFS(TableVerdeelsleutelVkm[LPG],TableVerdeelsleutelVkm[Voertuigtype],"Lichte voertuigen")*SUMIFS(TableECFTransport[EnergieConsumptieFactor (PJ per km)],TableECFTransport[Index],CONCATENATE($A6,"_LPG_LPG"))</f>
        <v>1.445157102254669E-3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0.20891445920236107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5.4750477755706767E-2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1.1807401445745571E-2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0.16408432150255595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6.6201626616289535E-5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7.3099057556052669E-3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4.7601695240115787E-6</v>
      </c>
      <c r="C8" s="433"/>
      <c r="D8" s="435">
        <f>vkm_2011_NGW_PW*SUMIFS(TableVerdeelsleutelVkm[CNG],TableVerdeelsleutelVkm[Voertuigtype],"Lichte voertuigen")*SUMIFS(TableECFTransport[EnergieConsumptieFactor (PJ per km)],TableECFTransport[Index],CONCATENATE($A8,"_CNG_CNG"))</f>
        <v>2.0856173172495364E-5</v>
      </c>
      <c r="E8" s="435">
        <f>vkm_2011_NGW_PW*SUMIFS(TableVerdeelsleutelVkm[LPG],TableVerdeelsleutelVkm[Voertuigtype],"Lichte voertuigen")*SUMIFS(TableECFTransport[EnergieConsumptieFactor (PJ per km)],TableECFTransport[Index],CONCATENATE($A8,"_LPG_LPG"))</f>
        <v>1.1341318841151056E-3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0.15488308761494018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4.484981524035915E-2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8.9484802611753747E-3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4.994720737731323E-2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1.7546040790182661E-5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2.2250134549048847E-3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4.9221776016845903E-6</v>
      </c>
      <c r="C10" s="433"/>
      <c r="D10" s="435">
        <f>vkm_2011_SW_PW*SUMIFS(TableVerdeelsleutelVkm[CNG],TableVerdeelsleutelVkm[Voertuigtype],"Lichte voertuigen")*SUMIFS(TableECFTransport[EnergieConsumptieFactor (PJ per km)],TableECFTransport[Index],CONCATENATE($A10,"_CNG_CNG"))</f>
        <v>1.2439930757920902E-5</v>
      </c>
      <c r="E10" s="435">
        <f>vkm_2011_SW_PW*SUMIFS(TableVerdeelsleutelVkm[LPG],TableVerdeelsleutelVkm[Voertuigtype],"Lichte voertuigen")*SUMIFS(TableECFTransport[EnergieConsumptieFactor (PJ per km)],TableECFTransport[Index],CONCATENATE($A10,"_LPG_LPG"))</f>
        <v>9.2264972396069933E-4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0.12155394072110243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2.9512331644875028E-2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6.7627849545611636E-3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0.10530746305240679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4.5077006426721482E-5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4.6915333381790034E-3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5.4628200406759655</v>
      </c>
      <c r="C14" s="22"/>
      <c r="D14" s="22">
        <f t="shared" ref="D14:M14" si="0">((D5)*10^9/3600)+D12</f>
        <v>16.021311941917279</v>
      </c>
      <c r="E14" s="22">
        <f t="shared" si="0"/>
        <v>972.76075286957621</v>
      </c>
      <c r="F14" s="22"/>
      <c r="G14" s="22">
        <f t="shared" si="0"/>
        <v>223525.13318629991</v>
      </c>
      <c r="H14" s="22">
        <f t="shared" si="0"/>
        <v>35900.40258743726</v>
      </c>
      <c r="I14" s="22"/>
      <c r="J14" s="22"/>
      <c r="K14" s="22"/>
      <c r="L14" s="22"/>
      <c r="M14" s="22">
        <f t="shared" si="0"/>
        <v>11595.866447269796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0.19437010812091449</v>
      </c>
      <c r="C16" s="57">
        <f ca="1">'EF ele_warmte'!B22</f>
        <v>5.56344583535264E-2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1.0618089219512858</v>
      </c>
      <c r="C18" s="24"/>
      <c r="D18" s="24">
        <f t="shared" ref="D18:M18" si="1">D14*D16</f>
        <v>3.2363050122672905</v>
      </c>
      <c r="E18" s="24">
        <f t="shared" si="1"/>
        <v>220.8166909013938</v>
      </c>
      <c r="F18" s="24"/>
      <c r="G18" s="24">
        <f t="shared" si="1"/>
        <v>59681.210560742082</v>
      </c>
      <c r="H18" s="24">
        <f t="shared" si="1"/>
        <v>8939.2002442718785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1.9656163349699256E-2</v>
      </c>
      <c r="H50" s="323">
        <f t="shared" si="2"/>
        <v>0</v>
      </c>
      <c r="I50" s="323">
        <f t="shared" si="2"/>
        <v>0</v>
      </c>
      <c r="J50" s="323">
        <f t="shared" si="2"/>
        <v>0</v>
      </c>
      <c r="K50" s="323">
        <f t="shared" si="2"/>
        <v>0</v>
      </c>
      <c r="L50" s="323">
        <f t="shared" si="2"/>
        <v>0</v>
      </c>
      <c r="M50" s="323">
        <f t="shared" si="2"/>
        <v>8.6313455755495066E-4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1.9656163349699256E-2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8.6313455755495066E-4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5460.0453749164599</v>
      </c>
      <c r="H54" s="22">
        <f t="shared" si="3"/>
        <v>0</v>
      </c>
      <c r="I54" s="22">
        <f t="shared" si="3"/>
        <v>0</v>
      </c>
      <c r="J54" s="22">
        <f t="shared" si="3"/>
        <v>0</v>
      </c>
      <c r="K54" s="22">
        <f t="shared" si="3"/>
        <v>0</v>
      </c>
      <c r="L54" s="22">
        <f t="shared" si="3"/>
        <v>0</v>
      </c>
      <c r="M54" s="22">
        <f t="shared" si="3"/>
        <v>239.75959932081963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0.19437010812091449</v>
      </c>
      <c r="C56" s="57">
        <f ca="1">'EF ele_warmte'!B22</f>
        <v>5.56344583535264E-2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1457.8321151026948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174014.3971906527</v>
      </c>
      <c r="D10" s="688">
        <f ca="1">tertiair!C16</f>
        <v>41355.000000000007</v>
      </c>
      <c r="E10" s="688">
        <f ca="1">tertiair!D16</f>
        <v>193623.92629320611</v>
      </c>
      <c r="F10" s="688">
        <f>tertiair!E16</f>
        <v>1171.9081688514423</v>
      </c>
      <c r="G10" s="688">
        <f ca="1">tertiair!F16</f>
        <v>29242.484720132928</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439407.71637284325</v>
      </c>
      <c r="S10" s="68"/>
    </row>
    <row r="11" spans="1:19" s="457" customFormat="1">
      <c r="A11" s="803" t="s">
        <v>225</v>
      </c>
      <c r="B11" s="808"/>
      <c r="C11" s="688">
        <f>huishoudens!B8</f>
        <v>97035.668043869402</v>
      </c>
      <c r="D11" s="688">
        <f>huishoudens!C8</f>
        <v>0</v>
      </c>
      <c r="E11" s="688">
        <f>huishoudens!D8</f>
        <v>289896.08942123555</v>
      </c>
      <c r="F11" s="688">
        <f>huishoudens!E8</f>
        <v>11426.518570427039</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47151.122885469536</v>
      </c>
      <c r="P11" s="688">
        <f>huishoudens!O8</f>
        <v>398.65000000000003</v>
      </c>
      <c r="Q11" s="689">
        <f>huishoudens!P8</f>
        <v>552.93333333333339</v>
      </c>
      <c r="R11" s="691">
        <f>SUM(C11:Q11)</f>
        <v>446460.98225433484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209665.29785189129</v>
      </c>
      <c r="D13" s="688">
        <f>industrie!C18</f>
        <v>0</v>
      </c>
      <c r="E13" s="688">
        <f>industrie!D18</f>
        <v>235145.90499515983</v>
      </c>
      <c r="F13" s="688">
        <f>industrie!E18</f>
        <v>3121.9062230894988</v>
      </c>
      <c r="G13" s="688">
        <f>industrie!F18</f>
        <v>41991.100447917706</v>
      </c>
      <c r="H13" s="688">
        <f>industrie!G18</f>
        <v>0</v>
      </c>
      <c r="I13" s="688">
        <f>industrie!H18</f>
        <v>0</v>
      </c>
      <c r="J13" s="688">
        <f>industrie!I18</f>
        <v>0</v>
      </c>
      <c r="K13" s="688">
        <f>industrie!J18</f>
        <v>893.32892224222837</v>
      </c>
      <c r="L13" s="688">
        <f>industrie!K18</f>
        <v>0</v>
      </c>
      <c r="M13" s="688">
        <f>industrie!L18</f>
        <v>0</v>
      </c>
      <c r="N13" s="688">
        <f>industrie!M18</f>
        <v>0</v>
      </c>
      <c r="O13" s="688">
        <f>industrie!N18</f>
        <v>12738.07802708081</v>
      </c>
      <c r="P13" s="688">
        <f>industrie!O18</f>
        <v>0</v>
      </c>
      <c r="Q13" s="689">
        <f>industrie!P18</f>
        <v>0</v>
      </c>
      <c r="R13" s="691">
        <f>SUM(C13:Q13)</f>
        <v>503555.6164673813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480715.36308641336</v>
      </c>
      <c r="D16" s="721">
        <f t="shared" ref="D16:R16" ca="1" si="0">SUM(D9:D15)</f>
        <v>41355.000000000007</v>
      </c>
      <c r="E16" s="721">
        <f t="shared" ca="1" si="0"/>
        <v>718665.92070960149</v>
      </c>
      <c r="F16" s="721">
        <f t="shared" si="0"/>
        <v>15720.332962367978</v>
      </c>
      <c r="G16" s="721">
        <f t="shared" ca="1" si="0"/>
        <v>71233.585168050631</v>
      </c>
      <c r="H16" s="721">
        <f t="shared" si="0"/>
        <v>0</v>
      </c>
      <c r="I16" s="721">
        <f t="shared" si="0"/>
        <v>0</v>
      </c>
      <c r="J16" s="721">
        <f t="shared" si="0"/>
        <v>0</v>
      </c>
      <c r="K16" s="721">
        <f t="shared" si="0"/>
        <v>893.32892224222837</v>
      </c>
      <c r="L16" s="721">
        <f t="shared" si="0"/>
        <v>0</v>
      </c>
      <c r="M16" s="721">
        <f t="shared" ca="1" si="0"/>
        <v>0</v>
      </c>
      <c r="N16" s="721">
        <f t="shared" si="0"/>
        <v>0</v>
      </c>
      <c r="O16" s="721">
        <f t="shared" ca="1" si="0"/>
        <v>59889.200912550346</v>
      </c>
      <c r="P16" s="721">
        <f t="shared" si="0"/>
        <v>398.65000000000003</v>
      </c>
      <c r="Q16" s="721">
        <f t="shared" si="0"/>
        <v>552.93333333333339</v>
      </c>
      <c r="R16" s="721">
        <f t="shared" ca="1" si="0"/>
        <v>1389424.3150945595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5460.0453749164599</v>
      </c>
      <c r="I19" s="688">
        <f>transport!H54</f>
        <v>0</v>
      </c>
      <c r="J19" s="688">
        <f>transport!I54</f>
        <v>0</v>
      </c>
      <c r="K19" s="688">
        <f>transport!J54</f>
        <v>0</v>
      </c>
      <c r="L19" s="688">
        <f>transport!K54</f>
        <v>0</v>
      </c>
      <c r="M19" s="688">
        <f>transport!L54</f>
        <v>0</v>
      </c>
      <c r="N19" s="688">
        <f>transport!M54</f>
        <v>239.75959932081963</v>
      </c>
      <c r="O19" s="688">
        <f>transport!N54</f>
        <v>0</v>
      </c>
      <c r="P19" s="688">
        <f>transport!O54</f>
        <v>0</v>
      </c>
      <c r="Q19" s="689">
        <f>transport!P54</f>
        <v>0</v>
      </c>
      <c r="R19" s="691">
        <f>SUM(C19:Q19)</f>
        <v>5699.8049742372796</v>
      </c>
      <c r="S19" s="68"/>
    </row>
    <row r="20" spans="1:19" s="457" customFormat="1">
      <c r="A20" s="803" t="s">
        <v>307</v>
      </c>
      <c r="B20" s="808"/>
      <c r="C20" s="688">
        <f>transport!B14</f>
        <v>5.4628200406759655</v>
      </c>
      <c r="D20" s="688">
        <f>transport!C14</f>
        <v>0</v>
      </c>
      <c r="E20" s="688">
        <f>transport!D14</f>
        <v>16.021311941917279</v>
      </c>
      <c r="F20" s="688">
        <f>transport!E14</f>
        <v>972.76075286957621</v>
      </c>
      <c r="G20" s="688">
        <f>transport!F14</f>
        <v>0</v>
      </c>
      <c r="H20" s="688">
        <f>transport!G14</f>
        <v>223525.13318629991</v>
      </c>
      <c r="I20" s="688">
        <f>transport!H14</f>
        <v>35900.40258743726</v>
      </c>
      <c r="J20" s="688">
        <f>transport!I14</f>
        <v>0</v>
      </c>
      <c r="K20" s="688">
        <f>transport!J14</f>
        <v>0</v>
      </c>
      <c r="L20" s="688">
        <f>transport!K14</f>
        <v>0</v>
      </c>
      <c r="M20" s="688">
        <f>transport!L14</f>
        <v>0</v>
      </c>
      <c r="N20" s="688">
        <f>transport!M14</f>
        <v>11595.866447269796</v>
      </c>
      <c r="O20" s="688">
        <f>transport!N14</f>
        <v>0</v>
      </c>
      <c r="P20" s="688">
        <f>transport!O14</f>
        <v>0</v>
      </c>
      <c r="Q20" s="689">
        <f>transport!P14</f>
        <v>0</v>
      </c>
      <c r="R20" s="691">
        <f>SUM(C20:Q20)</f>
        <v>272015.64710585913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5.4628200406759655</v>
      </c>
      <c r="D22" s="806">
        <f t="shared" ref="D22:R22" si="1">SUM(D18:D21)</f>
        <v>0</v>
      </c>
      <c r="E22" s="806">
        <f t="shared" si="1"/>
        <v>16.021311941917279</v>
      </c>
      <c r="F22" s="806">
        <f t="shared" si="1"/>
        <v>972.76075286957621</v>
      </c>
      <c r="G22" s="806">
        <f t="shared" si="1"/>
        <v>0</v>
      </c>
      <c r="H22" s="806">
        <f t="shared" si="1"/>
        <v>228985.17856121637</v>
      </c>
      <c r="I22" s="806">
        <f t="shared" si="1"/>
        <v>35900.40258743726</v>
      </c>
      <c r="J22" s="806">
        <f t="shared" si="1"/>
        <v>0</v>
      </c>
      <c r="K22" s="806">
        <f t="shared" si="1"/>
        <v>0</v>
      </c>
      <c r="L22" s="806">
        <f t="shared" si="1"/>
        <v>0</v>
      </c>
      <c r="M22" s="806">
        <f t="shared" si="1"/>
        <v>0</v>
      </c>
      <c r="N22" s="806">
        <f t="shared" si="1"/>
        <v>11835.626046590616</v>
      </c>
      <c r="O22" s="806">
        <f t="shared" si="1"/>
        <v>0</v>
      </c>
      <c r="P22" s="806">
        <f t="shared" si="1"/>
        <v>0</v>
      </c>
      <c r="Q22" s="806">
        <f t="shared" si="1"/>
        <v>0</v>
      </c>
      <c r="R22" s="806">
        <f t="shared" si="1"/>
        <v>277715.45208009641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16418.231284187754</v>
      </c>
      <c r="D24" s="688">
        <f>+landbouw!C8</f>
        <v>0</v>
      </c>
      <c r="E24" s="688">
        <f>+landbouw!D8</f>
        <v>2827.053981431211</v>
      </c>
      <c r="F24" s="688">
        <f>+landbouw!E8</f>
        <v>154.67073927286197</v>
      </c>
      <c r="G24" s="688">
        <f>+landbouw!F8</f>
        <v>53578.137412742384</v>
      </c>
      <c r="H24" s="688">
        <f>+landbouw!G8</f>
        <v>0</v>
      </c>
      <c r="I24" s="688">
        <f>+landbouw!H8</f>
        <v>0</v>
      </c>
      <c r="J24" s="688">
        <f>+landbouw!I8</f>
        <v>0</v>
      </c>
      <c r="K24" s="688">
        <f>+landbouw!J8</f>
        <v>2031.0150681156508</v>
      </c>
      <c r="L24" s="688">
        <f>+landbouw!K8</f>
        <v>0</v>
      </c>
      <c r="M24" s="688">
        <f>+landbouw!L8</f>
        <v>0</v>
      </c>
      <c r="N24" s="688">
        <f>+landbouw!M8</f>
        <v>0</v>
      </c>
      <c r="O24" s="688">
        <f>+landbouw!N8</f>
        <v>0</v>
      </c>
      <c r="P24" s="688">
        <f>+landbouw!O8</f>
        <v>0</v>
      </c>
      <c r="Q24" s="689">
        <f>+landbouw!P8</f>
        <v>0</v>
      </c>
      <c r="R24" s="691">
        <f>SUM(C24:Q24)</f>
        <v>75009.108485749864</v>
      </c>
      <c r="S24" s="68"/>
    </row>
    <row r="25" spans="1:19" s="457" customFormat="1" ht="15" thickBot="1">
      <c r="A25" s="825" t="s">
        <v>912</v>
      </c>
      <c r="B25" s="1001"/>
      <c r="C25" s="1002">
        <f>IF(Onbekend_ele_kWh="---",0,Onbekend_ele_kWh)/1000+IF(REST_rest_ele_kWh="---",0,REST_rest_ele_kWh)/1000</f>
        <v>4892.3060425127596</v>
      </c>
      <c r="D25" s="1002"/>
      <c r="E25" s="1002">
        <f>IF(onbekend_gas_kWh="---",0,onbekend_gas_kWh)/1000+IF(REST_rest_gas_kWh="---",0,REST_rest_gas_kWh)/1000</f>
        <v>15433.852277283899</v>
      </c>
      <c r="F25" s="1002"/>
      <c r="G25" s="1002"/>
      <c r="H25" s="1002"/>
      <c r="I25" s="1002"/>
      <c r="J25" s="1002"/>
      <c r="K25" s="1002"/>
      <c r="L25" s="1002"/>
      <c r="M25" s="1002"/>
      <c r="N25" s="1002"/>
      <c r="O25" s="1002"/>
      <c r="P25" s="1002"/>
      <c r="Q25" s="1003"/>
      <c r="R25" s="691">
        <f>SUM(C25:Q25)</f>
        <v>20326.158319796657</v>
      </c>
      <c r="S25" s="68"/>
    </row>
    <row r="26" spans="1:19" s="457" customFormat="1" ht="15.75" thickBot="1">
      <c r="A26" s="694" t="s">
        <v>913</v>
      </c>
      <c r="B26" s="811"/>
      <c r="C26" s="806">
        <f>SUM(C24:C25)</f>
        <v>21310.537326700512</v>
      </c>
      <c r="D26" s="806">
        <f t="shared" ref="D26:R26" si="2">SUM(D24:D25)</f>
        <v>0</v>
      </c>
      <c r="E26" s="806">
        <f t="shared" si="2"/>
        <v>18260.906258715109</v>
      </c>
      <c r="F26" s="806">
        <f t="shared" si="2"/>
        <v>154.67073927286197</v>
      </c>
      <c r="G26" s="806">
        <f t="shared" si="2"/>
        <v>53578.137412742384</v>
      </c>
      <c r="H26" s="806">
        <f t="shared" si="2"/>
        <v>0</v>
      </c>
      <c r="I26" s="806">
        <f t="shared" si="2"/>
        <v>0</v>
      </c>
      <c r="J26" s="806">
        <f t="shared" si="2"/>
        <v>0</v>
      </c>
      <c r="K26" s="806">
        <f t="shared" si="2"/>
        <v>2031.0150681156508</v>
      </c>
      <c r="L26" s="806">
        <f t="shared" si="2"/>
        <v>0</v>
      </c>
      <c r="M26" s="806">
        <f t="shared" si="2"/>
        <v>0</v>
      </c>
      <c r="N26" s="806">
        <f t="shared" si="2"/>
        <v>0</v>
      </c>
      <c r="O26" s="806">
        <f t="shared" si="2"/>
        <v>0</v>
      </c>
      <c r="P26" s="806">
        <f t="shared" si="2"/>
        <v>0</v>
      </c>
      <c r="Q26" s="806">
        <f t="shared" si="2"/>
        <v>0</v>
      </c>
      <c r="R26" s="806">
        <f t="shared" si="2"/>
        <v>95335.266805546518</v>
      </c>
      <c r="S26" s="68"/>
    </row>
    <row r="27" spans="1:19" s="457" customFormat="1" ht="17.25" thickTop="1" thickBot="1">
      <c r="A27" s="695" t="s">
        <v>116</v>
      </c>
      <c r="B27" s="798"/>
      <c r="C27" s="696">
        <f ca="1">C22+C16+C26</f>
        <v>502031.36323315458</v>
      </c>
      <c r="D27" s="696">
        <f t="shared" ref="D27:R27" ca="1" si="3">D22+D16+D26</f>
        <v>41355.000000000007</v>
      </c>
      <c r="E27" s="696">
        <f t="shared" ca="1" si="3"/>
        <v>736942.84828025848</v>
      </c>
      <c r="F27" s="696">
        <f t="shared" si="3"/>
        <v>16847.764454510416</v>
      </c>
      <c r="G27" s="696">
        <f t="shared" ca="1" si="3"/>
        <v>124811.72258079302</v>
      </c>
      <c r="H27" s="696">
        <f t="shared" si="3"/>
        <v>228985.17856121637</v>
      </c>
      <c r="I27" s="696">
        <f t="shared" si="3"/>
        <v>35900.40258743726</v>
      </c>
      <c r="J27" s="696">
        <f t="shared" si="3"/>
        <v>0</v>
      </c>
      <c r="K27" s="696">
        <f t="shared" si="3"/>
        <v>2924.3439903578792</v>
      </c>
      <c r="L27" s="696">
        <f t="shared" si="3"/>
        <v>0</v>
      </c>
      <c r="M27" s="696">
        <f t="shared" ca="1" si="3"/>
        <v>0</v>
      </c>
      <c r="N27" s="696">
        <f t="shared" si="3"/>
        <v>11835.626046590616</v>
      </c>
      <c r="O27" s="696">
        <f t="shared" ca="1" si="3"/>
        <v>59889.200912550346</v>
      </c>
      <c r="P27" s="696">
        <f t="shared" si="3"/>
        <v>398.65000000000003</v>
      </c>
      <c r="Q27" s="696">
        <f t="shared" si="3"/>
        <v>552.93333333333339</v>
      </c>
      <c r="R27" s="696">
        <f t="shared" ca="1" si="3"/>
        <v>1762475.0339802024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33823.197196542926</v>
      </c>
      <c r="D40" s="688">
        <f ca="1">tertiair!C20</f>
        <v>2300.7630252100848</v>
      </c>
      <c r="E40" s="688">
        <f ca="1">tertiair!D20</f>
        <v>39112.03311122764</v>
      </c>
      <c r="F40" s="688">
        <f>tertiair!E20</f>
        <v>266.02315432927742</v>
      </c>
      <c r="G40" s="688">
        <f ca="1">tertiair!F20</f>
        <v>7807.7434202754921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83309.759907585423</v>
      </c>
    </row>
    <row r="41" spans="1:18">
      <c r="A41" s="816" t="s">
        <v>225</v>
      </c>
      <c r="B41" s="823"/>
      <c r="C41" s="688">
        <f ca="1">huishoudens!B12</f>
        <v>18860.833289272061</v>
      </c>
      <c r="D41" s="688">
        <f ca="1">huishoudens!C12</f>
        <v>0</v>
      </c>
      <c r="E41" s="688">
        <f>huishoudens!D12</f>
        <v>58559.010063089583</v>
      </c>
      <c r="F41" s="688">
        <f>huishoudens!E12</f>
        <v>2593.8197154869381</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80013.663067848582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40752.66661267585</v>
      </c>
      <c r="D43" s="688">
        <f ca="1">industrie!C22</f>
        <v>0</v>
      </c>
      <c r="E43" s="688">
        <f>industrie!D22</f>
        <v>47499.472809022285</v>
      </c>
      <c r="F43" s="688">
        <f>industrie!E22</f>
        <v>708.67271264131625</v>
      </c>
      <c r="G43" s="688">
        <f>industrie!F22</f>
        <v>11211.623819594028</v>
      </c>
      <c r="H43" s="688">
        <f>industrie!G22</f>
        <v>0</v>
      </c>
      <c r="I43" s="688">
        <f>industrie!H22</f>
        <v>0</v>
      </c>
      <c r="J43" s="688">
        <f>industrie!I22</f>
        <v>0</v>
      </c>
      <c r="K43" s="688">
        <f>industrie!J22</f>
        <v>316.23843847374883</v>
      </c>
      <c r="L43" s="688">
        <f>industrie!K22</f>
        <v>0</v>
      </c>
      <c r="M43" s="688">
        <f>industrie!L22</f>
        <v>0</v>
      </c>
      <c r="N43" s="688">
        <f>industrie!M22</f>
        <v>0</v>
      </c>
      <c r="O43" s="688">
        <f>industrie!N22</f>
        <v>0</v>
      </c>
      <c r="P43" s="688">
        <f>industrie!O22</f>
        <v>0</v>
      </c>
      <c r="Q43" s="763">
        <f>industrie!P22</f>
        <v>0</v>
      </c>
      <c r="R43" s="843">
        <f t="shared" ca="1" si="4"/>
        <v>100488.67439240724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93436.69709849084</v>
      </c>
      <c r="D46" s="721">
        <f t="shared" ref="D46:Q46" ca="1" si="5">SUM(D39:D45)</f>
        <v>2300.7630252100848</v>
      </c>
      <c r="E46" s="721">
        <f t="shared" ca="1" si="5"/>
        <v>145170.51598333952</v>
      </c>
      <c r="F46" s="721">
        <f t="shared" si="5"/>
        <v>3568.5155824575318</v>
      </c>
      <c r="G46" s="721">
        <f t="shared" ca="1" si="5"/>
        <v>19019.36723986952</v>
      </c>
      <c r="H46" s="721">
        <f t="shared" si="5"/>
        <v>0</v>
      </c>
      <c r="I46" s="721">
        <f t="shared" si="5"/>
        <v>0</v>
      </c>
      <c r="J46" s="721">
        <f t="shared" si="5"/>
        <v>0</v>
      </c>
      <c r="K46" s="721">
        <f t="shared" si="5"/>
        <v>316.23843847374883</v>
      </c>
      <c r="L46" s="721">
        <f t="shared" si="5"/>
        <v>0</v>
      </c>
      <c r="M46" s="721">
        <f t="shared" ca="1" si="5"/>
        <v>0</v>
      </c>
      <c r="N46" s="721">
        <f t="shared" si="5"/>
        <v>0</v>
      </c>
      <c r="O46" s="721">
        <f t="shared" ca="1" si="5"/>
        <v>0</v>
      </c>
      <c r="P46" s="721">
        <f t="shared" si="5"/>
        <v>0</v>
      </c>
      <c r="Q46" s="721">
        <f t="shared" si="5"/>
        <v>0</v>
      </c>
      <c r="R46" s="721">
        <f ca="1">SUM(R39:R45)</f>
        <v>263812.09736784123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1457.8321151026948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1457.8321151026948</v>
      </c>
    </row>
    <row r="50" spans="1:18">
      <c r="A50" s="819" t="s">
        <v>307</v>
      </c>
      <c r="B50" s="829"/>
      <c r="C50" s="1008">
        <f ca="1">transport!B18</f>
        <v>1.0618089219512858</v>
      </c>
      <c r="D50" s="1008">
        <f>transport!C18</f>
        <v>0</v>
      </c>
      <c r="E50" s="1008">
        <f>transport!D18</f>
        <v>3.2363050122672905</v>
      </c>
      <c r="F50" s="1008">
        <f>transport!E18</f>
        <v>220.8166909013938</v>
      </c>
      <c r="G50" s="1008">
        <f>transport!F18</f>
        <v>0</v>
      </c>
      <c r="H50" s="1008">
        <f>transport!G18</f>
        <v>59681.210560742082</v>
      </c>
      <c r="I50" s="1008">
        <f>transport!H18</f>
        <v>8939.2002442718785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68845.525609849574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1.0618089219512858</v>
      </c>
      <c r="D52" s="721">
        <f t="shared" ref="D52:Q52" ca="1" si="6">SUM(D48:D51)</f>
        <v>0</v>
      </c>
      <c r="E52" s="721">
        <f t="shared" si="6"/>
        <v>3.2363050122672905</v>
      </c>
      <c r="F52" s="721">
        <f t="shared" si="6"/>
        <v>220.8166909013938</v>
      </c>
      <c r="G52" s="721">
        <f t="shared" si="6"/>
        <v>0</v>
      </c>
      <c r="H52" s="721">
        <f t="shared" si="6"/>
        <v>61139.042675844779</v>
      </c>
      <c r="I52" s="721">
        <f t="shared" si="6"/>
        <v>8939.2002442718785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70303.357724952264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3191.2133898617544</v>
      </c>
      <c r="D54" s="1008">
        <f ca="1">+landbouw!C12</f>
        <v>0</v>
      </c>
      <c r="E54" s="1008">
        <f>+landbouw!D12</f>
        <v>571.06490424910464</v>
      </c>
      <c r="F54" s="1008">
        <f>+landbouw!E12</f>
        <v>35.110257814939665</v>
      </c>
      <c r="G54" s="1008">
        <f>+landbouw!F12</f>
        <v>14305.362689202217</v>
      </c>
      <c r="H54" s="1008">
        <f>+landbouw!G12</f>
        <v>0</v>
      </c>
      <c r="I54" s="1008">
        <f>+landbouw!H12</f>
        <v>0</v>
      </c>
      <c r="J54" s="1008">
        <f>+landbouw!I12</f>
        <v>0</v>
      </c>
      <c r="K54" s="1008">
        <f>+landbouw!J12</f>
        <v>718.97933411294036</v>
      </c>
      <c r="L54" s="1008">
        <f>+landbouw!K12</f>
        <v>0</v>
      </c>
      <c r="M54" s="1008">
        <f>+landbouw!L12</f>
        <v>0</v>
      </c>
      <c r="N54" s="1008">
        <f>+landbouw!M12</f>
        <v>0</v>
      </c>
      <c r="O54" s="1008">
        <f>+landbouw!N12</f>
        <v>0</v>
      </c>
      <c r="P54" s="1008">
        <f>+landbouw!O12</f>
        <v>0</v>
      </c>
      <c r="Q54" s="1009">
        <f>+landbouw!P12</f>
        <v>0</v>
      </c>
      <c r="R54" s="720">
        <f ca="1">SUM(C54:Q54)</f>
        <v>18821.730575240956</v>
      </c>
    </row>
    <row r="55" spans="1:18" ht="15" thickBot="1">
      <c r="A55" s="819" t="s">
        <v>912</v>
      </c>
      <c r="B55" s="829"/>
      <c r="C55" s="1008">
        <f ca="1">C25*'EF ele_warmte'!B12</f>
        <v>950.91805444380839</v>
      </c>
      <c r="D55" s="1008"/>
      <c r="E55" s="1008">
        <f>E25*EF_CO2_aardgas</f>
        <v>3117.6381600113477</v>
      </c>
      <c r="F55" s="1008"/>
      <c r="G55" s="1008"/>
      <c r="H55" s="1008"/>
      <c r="I55" s="1008"/>
      <c r="J55" s="1008"/>
      <c r="K55" s="1008"/>
      <c r="L55" s="1008"/>
      <c r="M55" s="1008"/>
      <c r="N55" s="1008"/>
      <c r="O55" s="1008"/>
      <c r="P55" s="1008"/>
      <c r="Q55" s="1009"/>
      <c r="R55" s="720">
        <f ca="1">SUM(C55:Q55)</f>
        <v>4068.5562144551559</v>
      </c>
    </row>
    <row r="56" spans="1:18" ht="15.75" thickBot="1">
      <c r="A56" s="817" t="s">
        <v>913</v>
      </c>
      <c r="B56" s="830"/>
      <c r="C56" s="721">
        <f ca="1">SUM(C54:C55)</f>
        <v>4142.1314443055626</v>
      </c>
      <c r="D56" s="721">
        <f t="shared" ref="D56:Q56" ca="1" si="7">SUM(D54:D55)</f>
        <v>0</v>
      </c>
      <c r="E56" s="721">
        <f t="shared" si="7"/>
        <v>3688.7030642604523</v>
      </c>
      <c r="F56" s="721">
        <f t="shared" si="7"/>
        <v>35.110257814939665</v>
      </c>
      <c r="G56" s="721">
        <f t="shared" si="7"/>
        <v>14305.362689202217</v>
      </c>
      <c r="H56" s="721">
        <f t="shared" si="7"/>
        <v>0</v>
      </c>
      <c r="I56" s="721">
        <f t="shared" si="7"/>
        <v>0</v>
      </c>
      <c r="J56" s="721">
        <f t="shared" si="7"/>
        <v>0</v>
      </c>
      <c r="K56" s="721">
        <f t="shared" si="7"/>
        <v>718.97933411294036</v>
      </c>
      <c r="L56" s="721">
        <f t="shared" si="7"/>
        <v>0</v>
      </c>
      <c r="M56" s="721">
        <f t="shared" si="7"/>
        <v>0</v>
      </c>
      <c r="N56" s="721">
        <f t="shared" si="7"/>
        <v>0</v>
      </c>
      <c r="O56" s="721">
        <f t="shared" si="7"/>
        <v>0</v>
      </c>
      <c r="P56" s="721">
        <f t="shared" si="7"/>
        <v>0</v>
      </c>
      <c r="Q56" s="722">
        <f t="shared" si="7"/>
        <v>0</v>
      </c>
      <c r="R56" s="723">
        <f ca="1">SUM(R54:R55)</f>
        <v>22890.286789696111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97579.89035171835</v>
      </c>
      <c r="D61" s="729">
        <f t="shared" ref="D61:Q61" ca="1" si="8">D46+D52+D56</f>
        <v>2300.7630252100848</v>
      </c>
      <c r="E61" s="729">
        <f t="shared" ca="1" si="8"/>
        <v>148862.45535261225</v>
      </c>
      <c r="F61" s="729">
        <f t="shared" si="8"/>
        <v>3824.4425311738655</v>
      </c>
      <c r="G61" s="729">
        <f t="shared" ca="1" si="8"/>
        <v>33324.729929071735</v>
      </c>
      <c r="H61" s="729">
        <f t="shared" si="8"/>
        <v>61139.042675844779</v>
      </c>
      <c r="I61" s="729">
        <f t="shared" si="8"/>
        <v>8939.2002442718785</v>
      </c>
      <c r="J61" s="729">
        <f t="shared" si="8"/>
        <v>0</v>
      </c>
      <c r="K61" s="729">
        <f t="shared" si="8"/>
        <v>1035.2177725866891</v>
      </c>
      <c r="L61" s="729">
        <f t="shared" si="8"/>
        <v>0</v>
      </c>
      <c r="M61" s="729">
        <f t="shared" ca="1" si="8"/>
        <v>0</v>
      </c>
      <c r="N61" s="729">
        <f t="shared" si="8"/>
        <v>0</v>
      </c>
      <c r="O61" s="729">
        <f t="shared" ca="1" si="8"/>
        <v>0</v>
      </c>
      <c r="P61" s="729">
        <f t="shared" si="8"/>
        <v>0</v>
      </c>
      <c r="Q61" s="729">
        <f t="shared" si="8"/>
        <v>0</v>
      </c>
      <c r="R61" s="729">
        <f ca="1">R46+R52+R56</f>
        <v>357005.74188248964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0.19437010812091449</v>
      </c>
      <c r="D63" s="773">
        <f t="shared" ca="1" si="9"/>
        <v>5.56344583535264E-2</v>
      </c>
      <c r="E63" s="1010">
        <f t="shared" ca="1" si="9"/>
        <v>0.20200000000000004</v>
      </c>
      <c r="F63" s="773">
        <f t="shared" si="9"/>
        <v>0.22700000000000006</v>
      </c>
      <c r="G63" s="773">
        <f t="shared" ca="1" si="9"/>
        <v>0.26699999999999996</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20211.382535999423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22171.5</v>
      </c>
      <c r="C76" s="739">
        <f>'lokale energieproductie'!B8*IFERROR(SUM(D76:H76)/SUM(D76:O76),0)</f>
        <v>6777</v>
      </c>
      <c r="D76" s="1020">
        <f>'lokale energieproductie'!C8</f>
        <v>7972.9411764705883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26084.117647058825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1610.534117647059</v>
      </c>
      <c r="R76" s="846">
        <v>0</v>
      </c>
    </row>
    <row r="77" spans="1:18" ht="30.75" thickBot="1">
      <c r="A77" s="742" t="s">
        <v>353</v>
      </c>
      <c r="B77" s="739">
        <f>'lokale energieproductie'!B9*IFERROR(SUM(I77:O77)/SUM(D77:O77),0)</f>
        <v>18621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53202.857142857145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61003.882535999423</v>
      </c>
      <c r="C78" s="744">
        <f>SUM(C72:C77)</f>
        <v>6777</v>
      </c>
      <c r="D78" s="745">
        <f t="shared" ref="D78:H78" si="10">SUM(D76:D77)</f>
        <v>7972.9411764705883</v>
      </c>
      <c r="E78" s="745">
        <f t="shared" si="10"/>
        <v>0</v>
      </c>
      <c r="F78" s="745">
        <f t="shared" si="10"/>
        <v>0</v>
      </c>
      <c r="G78" s="745">
        <f t="shared" si="10"/>
        <v>0</v>
      </c>
      <c r="H78" s="745">
        <f t="shared" si="10"/>
        <v>0</v>
      </c>
      <c r="I78" s="745">
        <f>SUM(I76:I77)</f>
        <v>0</v>
      </c>
      <c r="J78" s="745">
        <f>SUM(J76:J77)</f>
        <v>79286.97478991597</v>
      </c>
      <c r="K78" s="745">
        <f t="shared" ref="K78:L78" si="11">SUM(K76:K77)</f>
        <v>0</v>
      </c>
      <c r="L78" s="745">
        <f t="shared" si="11"/>
        <v>0</v>
      </c>
      <c r="M78" s="745">
        <f>SUM(M76:M77)</f>
        <v>0</v>
      </c>
      <c r="N78" s="745">
        <f>SUM(N76:N77)</f>
        <v>0</v>
      </c>
      <c r="O78" s="854">
        <f>SUM(O76:O77)</f>
        <v>0</v>
      </c>
      <c r="P78" s="746">
        <v>0</v>
      </c>
      <c r="Q78" s="746">
        <f>SUM(Q76:Q77)</f>
        <v>1610.534117647059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31673.571428571435</v>
      </c>
      <c r="C87" s="755">
        <f>'lokale energieproductie'!B17*IFERROR(SUM(D87:H87)/SUM(D87:O87),0)</f>
        <v>9681.4285714285725</v>
      </c>
      <c r="D87" s="766">
        <f>'lokale energieproductie'!C17</f>
        <v>11389.915966386558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37263.025210084044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2300.7630252100848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31673.571428571435</v>
      </c>
      <c r="C90" s="744">
        <f>SUM(C87:C89)</f>
        <v>9681.4285714285725</v>
      </c>
      <c r="D90" s="744">
        <f t="shared" ref="D90:H90" si="12">SUM(D87:D89)</f>
        <v>11389.915966386558</v>
      </c>
      <c r="E90" s="744">
        <f t="shared" si="12"/>
        <v>0</v>
      </c>
      <c r="F90" s="744">
        <f t="shared" si="12"/>
        <v>0</v>
      </c>
      <c r="G90" s="744">
        <f t="shared" si="12"/>
        <v>0</v>
      </c>
      <c r="H90" s="744">
        <f t="shared" si="12"/>
        <v>0</v>
      </c>
      <c r="I90" s="744">
        <f>SUM(I87:I89)</f>
        <v>0</v>
      </c>
      <c r="J90" s="744">
        <f>SUM(J87:J89)</f>
        <v>37263.025210084044</v>
      </c>
      <c r="K90" s="744">
        <f t="shared" ref="K90:L90" si="13">SUM(K87:K89)</f>
        <v>0</v>
      </c>
      <c r="L90" s="744">
        <f t="shared" si="13"/>
        <v>0</v>
      </c>
      <c r="M90" s="744">
        <f>SUM(M87:M89)</f>
        <v>0</v>
      </c>
      <c r="N90" s="744">
        <f>SUM(N87:N89)</f>
        <v>0</v>
      </c>
      <c r="O90" s="744">
        <f>SUM(O87:O89)</f>
        <v>0</v>
      </c>
      <c r="P90" s="744">
        <v>0</v>
      </c>
      <c r="Q90" s="744">
        <f>SUM(Q87:Q89)</f>
        <v>2300.7630252100848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6"/>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20211.382535999423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28948.5</v>
      </c>
      <c r="C8" s="558">
        <f>B101</f>
        <v>7972.9411764705883</v>
      </c>
      <c r="D8" s="991"/>
      <c r="E8" s="991">
        <f>E101</f>
        <v>0</v>
      </c>
      <c r="F8" s="992"/>
      <c r="G8" s="559"/>
      <c r="H8" s="991">
        <f>I101</f>
        <v>0</v>
      </c>
      <c r="I8" s="991">
        <f>G101+F101</f>
        <v>0</v>
      </c>
      <c r="J8" s="991">
        <f>H101+D101+C101</f>
        <v>26084.117647058825</v>
      </c>
      <c r="K8" s="991"/>
      <c r="L8" s="991"/>
      <c r="M8" s="991"/>
      <c r="N8" s="560"/>
      <c r="O8" s="561">
        <f>C8*$C$12+D8*$D$12+E8*$E$12+F8*$F$12+G8*$G$12+H8*$H$12+I8*$I$12+J8*$J$12</f>
        <v>1610.534117647059</v>
      </c>
      <c r="P8" s="1245"/>
      <c r="Q8" s="1246"/>
      <c r="S8" s="1028"/>
      <c r="T8" s="1220"/>
      <c r="U8" s="1220"/>
    </row>
    <row r="9" spans="1:21" s="546" customFormat="1" ht="17.45" customHeight="1" thickBot="1">
      <c r="A9" s="562" t="s">
        <v>248</v>
      </c>
      <c r="B9" s="993">
        <f>N89+'Eigen informatie GS &amp; warmtenet'!B12</f>
        <v>18621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53202.857142857145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67780.882535999423</v>
      </c>
      <c r="C10" s="570">
        <f t="shared" ref="C10:L10" si="0">SUM(C8:C9)</f>
        <v>7972.9411764705883</v>
      </c>
      <c r="D10" s="570">
        <f t="shared" si="0"/>
        <v>0</v>
      </c>
      <c r="E10" s="570">
        <f t="shared" si="0"/>
        <v>0</v>
      </c>
      <c r="F10" s="570">
        <f t="shared" si="0"/>
        <v>0</v>
      </c>
      <c r="G10" s="570">
        <f t="shared" si="0"/>
        <v>0</v>
      </c>
      <c r="H10" s="570">
        <f t="shared" si="0"/>
        <v>0</v>
      </c>
      <c r="I10" s="570">
        <f t="shared" si="0"/>
        <v>0</v>
      </c>
      <c r="J10" s="570">
        <f t="shared" si="0"/>
        <v>79286.97478991597</v>
      </c>
      <c r="K10" s="570">
        <f t="shared" si="0"/>
        <v>0</v>
      </c>
      <c r="L10" s="570">
        <f t="shared" si="0"/>
        <v>0</v>
      </c>
      <c r="M10" s="995"/>
      <c r="N10" s="995"/>
      <c r="O10" s="571">
        <f>SUM(O4:O9)</f>
        <v>1610.534117647059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41355.000000000007</v>
      </c>
      <c r="C17" s="582">
        <f>B102</f>
        <v>11389.915966386558</v>
      </c>
      <c r="D17" s="583"/>
      <c r="E17" s="583">
        <f>E102</f>
        <v>0</v>
      </c>
      <c r="F17" s="584"/>
      <c r="G17" s="585"/>
      <c r="H17" s="582">
        <f>I102</f>
        <v>0</v>
      </c>
      <c r="I17" s="583">
        <f>G102+F102</f>
        <v>0</v>
      </c>
      <c r="J17" s="583">
        <f>H102+D102+C102</f>
        <v>37263.025210084044</v>
      </c>
      <c r="K17" s="583"/>
      <c r="L17" s="583"/>
      <c r="M17" s="583"/>
      <c r="N17" s="998"/>
      <c r="O17" s="586">
        <f>C17*$C$22+E17*$E$22+H17*$H$22+I17*$I$22+J17*$J$22+D17*$D$22+F17*$F$22+G17*$G$22+K17*$K$22+L17*$L$22</f>
        <v>2300.7630252100848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41355.000000000007</v>
      </c>
      <c r="C20" s="569">
        <f>SUM(C17:C19)</f>
        <v>11389.915966386558</v>
      </c>
      <c r="D20" s="569">
        <f t="shared" ref="D20:L20" si="1">SUM(D17:D19)</f>
        <v>0</v>
      </c>
      <c r="E20" s="569">
        <f t="shared" si="1"/>
        <v>0</v>
      </c>
      <c r="F20" s="569">
        <f t="shared" si="1"/>
        <v>0</v>
      </c>
      <c r="G20" s="569">
        <f t="shared" si="1"/>
        <v>0</v>
      </c>
      <c r="H20" s="569">
        <f t="shared" si="1"/>
        <v>0</v>
      </c>
      <c r="I20" s="569">
        <f t="shared" si="1"/>
        <v>0</v>
      </c>
      <c r="J20" s="569">
        <f t="shared" si="1"/>
        <v>37263.025210084044</v>
      </c>
      <c r="K20" s="569">
        <f t="shared" si="1"/>
        <v>0</v>
      </c>
      <c r="L20" s="569">
        <f t="shared" si="1"/>
        <v>0</v>
      </c>
      <c r="M20" s="569"/>
      <c r="N20" s="569"/>
      <c r="O20" s="590">
        <f>SUM(O17:O19)</f>
        <v>2300.7630252100848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36015</v>
      </c>
      <c r="C28" s="789">
        <v>8800</v>
      </c>
      <c r="D28" s="642" t="s">
        <v>948</v>
      </c>
      <c r="E28" s="641" t="s">
        <v>949</v>
      </c>
      <c r="F28" s="641" t="s">
        <v>950</v>
      </c>
      <c r="G28" s="641" t="s">
        <v>951</v>
      </c>
      <c r="H28" s="641" t="s">
        <v>952</v>
      </c>
      <c r="I28" s="641" t="s">
        <v>953</v>
      </c>
      <c r="J28" s="788">
        <v>39667</v>
      </c>
      <c r="K28" s="788">
        <v>39692</v>
      </c>
      <c r="L28" s="641" t="s">
        <v>954</v>
      </c>
      <c r="M28" s="641">
        <v>835</v>
      </c>
      <c r="N28" s="641">
        <v>3757.5</v>
      </c>
      <c r="O28" s="641">
        <v>5367.8571428571431</v>
      </c>
      <c r="P28" s="641">
        <v>0</v>
      </c>
      <c r="Q28" s="641">
        <v>10735.714285714286</v>
      </c>
      <c r="R28" s="641">
        <v>0</v>
      </c>
      <c r="S28" s="641">
        <v>0</v>
      </c>
      <c r="T28" s="641">
        <v>0</v>
      </c>
      <c r="U28" s="641">
        <v>0</v>
      </c>
      <c r="V28" s="641">
        <v>0</v>
      </c>
      <c r="W28" s="641"/>
      <c r="X28" s="641">
        <v>1600</v>
      </c>
      <c r="Y28" s="641" t="s">
        <v>50</v>
      </c>
      <c r="Z28" s="643" t="s">
        <v>156</v>
      </c>
    </row>
    <row r="29" spans="1:26" s="595" customFormat="1" ht="63.75">
      <c r="A29" s="594"/>
      <c r="B29" s="789">
        <v>36015</v>
      </c>
      <c r="C29" s="789">
        <v>8800</v>
      </c>
      <c r="D29" s="642" t="s">
        <v>955</v>
      </c>
      <c r="E29" s="641" t="s">
        <v>956</v>
      </c>
      <c r="F29" s="641" t="s">
        <v>957</v>
      </c>
      <c r="G29" s="641" t="s">
        <v>951</v>
      </c>
      <c r="H29" s="641" t="s">
        <v>952</v>
      </c>
      <c r="I29" s="641" t="s">
        <v>956</v>
      </c>
      <c r="J29" s="788">
        <v>39925</v>
      </c>
      <c r="K29" s="788">
        <v>39925</v>
      </c>
      <c r="L29" s="641" t="s">
        <v>954</v>
      </c>
      <c r="M29" s="641">
        <v>4024</v>
      </c>
      <c r="N29" s="641">
        <v>18108</v>
      </c>
      <c r="O29" s="641">
        <v>25868.571428571428</v>
      </c>
      <c r="P29" s="641">
        <v>12934.285714285716</v>
      </c>
      <c r="Q29" s="641">
        <v>38802.857142857145</v>
      </c>
      <c r="R29" s="641">
        <v>0</v>
      </c>
      <c r="S29" s="641">
        <v>0</v>
      </c>
      <c r="T29" s="641">
        <v>0</v>
      </c>
      <c r="U29" s="641">
        <v>0</v>
      </c>
      <c r="V29" s="641">
        <v>0</v>
      </c>
      <c r="W29" s="641"/>
      <c r="X29" s="641">
        <v>1600</v>
      </c>
      <c r="Y29" s="641" t="s">
        <v>50</v>
      </c>
      <c r="Z29" s="643" t="s">
        <v>156</v>
      </c>
    </row>
    <row r="30" spans="1:26" s="595" customFormat="1" ht="63.75">
      <c r="A30" s="594"/>
      <c r="B30" s="789">
        <v>36015</v>
      </c>
      <c r="C30" s="789">
        <v>8800</v>
      </c>
      <c r="D30" s="642" t="s">
        <v>958</v>
      </c>
      <c r="E30" s="641" t="s">
        <v>959</v>
      </c>
      <c r="F30" s="641" t="s">
        <v>960</v>
      </c>
      <c r="G30" s="641" t="s">
        <v>951</v>
      </c>
      <c r="H30" s="641" t="s">
        <v>952</v>
      </c>
      <c r="I30" s="641" t="s">
        <v>959</v>
      </c>
      <c r="J30" s="788">
        <v>40105</v>
      </c>
      <c r="K30" s="788">
        <v>40105</v>
      </c>
      <c r="L30" s="641" t="s">
        <v>954</v>
      </c>
      <c r="M30" s="641">
        <v>1074</v>
      </c>
      <c r="N30" s="641">
        <v>4833</v>
      </c>
      <c r="O30" s="641">
        <v>6904.2857142857147</v>
      </c>
      <c r="P30" s="641">
        <v>0</v>
      </c>
      <c r="Q30" s="641">
        <v>0</v>
      </c>
      <c r="R30" s="641">
        <v>13808.571428571429</v>
      </c>
      <c r="S30" s="641">
        <v>0</v>
      </c>
      <c r="T30" s="641">
        <v>0</v>
      </c>
      <c r="U30" s="641">
        <v>0</v>
      </c>
      <c r="V30" s="641">
        <v>0</v>
      </c>
      <c r="W30" s="641"/>
      <c r="X30" s="641">
        <v>1600</v>
      </c>
      <c r="Y30" s="641" t="s">
        <v>50</v>
      </c>
      <c r="Z30" s="643" t="s">
        <v>156</v>
      </c>
    </row>
    <row r="31" spans="1:26" s="595" customFormat="1" ht="25.5">
      <c r="A31" s="594"/>
      <c r="B31" s="789">
        <v>36015</v>
      </c>
      <c r="C31" s="789">
        <v>8800</v>
      </c>
      <c r="D31" s="642" t="s">
        <v>961</v>
      </c>
      <c r="E31" s="641" t="s">
        <v>962</v>
      </c>
      <c r="F31" s="641" t="s">
        <v>963</v>
      </c>
      <c r="G31" s="641" t="s">
        <v>951</v>
      </c>
      <c r="H31" s="641" t="s">
        <v>952</v>
      </c>
      <c r="I31" s="641" t="s">
        <v>962</v>
      </c>
      <c r="J31" s="788">
        <v>40269</v>
      </c>
      <c r="K31" s="788">
        <v>40275</v>
      </c>
      <c r="L31" s="641" t="s">
        <v>954</v>
      </c>
      <c r="M31" s="641">
        <v>500</v>
      </c>
      <c r="N31" s="641">
        <v>2250</v>
      </c>
      <c r="O31" s="641">
        <v>3214.2857142857142</v>
      </c>
      <c r="P31" s="641">
        <v>6428.5714285714294</v>
      </c>
      <c r="Q31" s="641">
        <v>0</v>
      </c>
      <c r="R31" s="641">
        <v>0</v>
      </c>
      <c r="S31" s="641">
        <v>0</v>
      </c>
      <c r="T31" s="641">
        <v>0</v>
      </c>
      <c r="U31" s="641">
        <v>0</v>
      </c>
      <c r="V31" s="641">
        <v>0</v>
      </c>
      <c r="W31" s="641"/>
      <c r="X31" s="641">
        <v>1100</v>
      </c>
      <c r="Y31" s="641" t="s">
        <v>52</v>
      </c>
      <c r="Z31" s="643" t="s">
        <v>156</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6433</v>
      </c>
      <c r="N58" s="599">
        <f>SUM(N28:N57)</f>
        <v>28948.5</v>
      </c>
      <c r="O58" s="599">
        <f t="shared" ref="O58:W58" si="2">SUM(O28:O57)</f>
        <v>41355.000000000007</v>
      </c>
      <c r="P58" s="599">
        <f t="shared" si="2"/>
        <v>19362.857142857145</v>
      </c>
      <c r="Q58" s="599">
        <f t="shared" si="2"/>
        <v>49538.571428571435</v>
      </c>
      <c r="R58" s="599">
        <f t="shared" si="2"/>
        <v>13808.571428571429</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6433</v>
      </c>
      <c r="N60" s="599">
        <f ca="1">SUMIF($Z$28:AD57,"tertiair",N28:N57)</f>
        <v>28948.5</v>
      </c>
      <c r="O60" s="599">
        <f ca="1">SUMIF($Z$28:AE57,"tertiair",O28:O57)</f>
        <v>41355.000000000007</v>
      </c>
      <c r="P60" s="599">
        <f ca="1">SUMIF($Z$28:AF57,"tertiair",P28:P57)</f>
        <v>19362.857142857145</v>
      </c>
      <c r="Q60" s="599">
        <f ca="1">SUMIF($Z$28:AG57,"tertiair",Q28:Q57)</f>
        <v>49538.571428571435</v>
      </c>
      <c r="R60" s="599">
        <f ca="1">SUMIF($Z$28:AH57,"tertiair",R28:R57)</f>
        <v>13808.571428571429</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36015</v>
      </c>
      <c r="C64" s="789">
        <v>8800</v>
      </c>
      <c r="D64" s="644" t="s">
        <v>964</v>
      </c>
      <c r="E64" s="644" t="s">
        <v>965</v>
      </c>
      <c r="F64" s="644" t="s">
        <v>966</v>
      </c>
      <c r="G64" s="644" t="s">
        <v>967</v>
      </c>
      <c r="H64" s="644" t="s">
        <v>968</v>
      </c>
      <c r="I64" s="644" t="s">
        <v>969</v>
      </c>
      <c r="J64" s="788">
        <v>39114</v>
      </c>
      <c r="K64" s="788">
        <v>39192</v>
      </c>
      <c r="L64" s="644" t="s">
        <v>970</v>
      </c>
      <c r="M64" s="644">
        <v>31</v>
      </c>
      <c r="N64" s="644">
        <v>139.5</v>
      </c>
      <c r="O64" s="644">
        <v>0</v>
      </c>
      <c r="P64" s="644">
        <v>0</v>
      </c>
      <c r="Q64" s="644">
        <v>398.57142857142861</v>
      </c>
      <c r="R64" s="644">
        <v>0</v>
      </c>
      <c r="S64" s="644">
        <v>0</v>
      </c>
      <c r="T64" s="644">
        <v>0</v>
      </c>
      <c r="U64" s="644">
        <v>0</v>
      </c>
      <c r="V64" s="644">
        <v>0</v>
      </c>
      <c r="W64" s="644"/>
      <c r="X64" s="644">
        <v>1300</v>
      </c>
      <c r="Y64" s="644" t="s">
        <v>54</v>
      </c>
      <c r="Z64" s="645" t="s">
        <v>156</v>
      </c>
    </row>
    <row r="65" spans="1:26" s="610" customFormat="1" ht="25.5">
      <c r="A65" s="596"/>
      <c r="B65" s="789">
        <v>36015</v>
      </c>
      <c r="C65" s="789">
        <v>8800</v>
      </c>
      <c r="D65" s="644" t="s">
        <v>971</v>
      </c>
      <c r="E65" s="644" t="s">
        <v>972</v>
      </c>
      <c r="F65" s="644" t="s">
        <v>973</v>
      </c>
      <c r="G65" s="644" t="s">
        <v>974</v>
      </c>
      <c r="H65" s="644" t="s">
        <v>968</v>
      </c>
      <c r="I65" s="644" t="s">
        <v>975</v>
      </c>
      <c r="J65" s="788">
        <v>39896</v>
      </c>
      <c r="K65" s="788">
        <v>39896</v>
      </c>
      <c r="L65" s="644" t="s">
        <v>970</v>
      </c>
      <c r="M65" s="644">
        <v>3033</v>
      </c>
      <c r="N65" s="644">
        <v>13648.5</v>
      </c>
      <c r="O65" s="644">
        <v>0</v>
      </c>
      <c r="P65" s="644">
        <v>0</v>
      </c>
      <c r="Q65" s="644">
        <v>38995.71428571429</v>
      </c>
      <c r="R65" s="644">
        <v>0</v>
      </c>
      <c r="S65" s="644">
        <v>0</v>
      </c>
      <c r="T65" s="644">
        <v>0</v>
      </c>
      <c r="U65" s="644">
        <v>0</v>
      </c>
      <c r="V65" s="644">
        <v>0</v>
      </c>
      <c r="W65" s="644"/>
      <c r="X65" s="644">
        <v>10</v>
      </c>
      <c r="Y65" s="644" t="s">
        <v>112</v>
      </c>
      <c r="Z65" s="645" t="s">
        <v>112</v>
      </c>
    </row>
    <row r="66" spans="1:26" s="610" customFormat="1" ht="63.75">
      <c r="A66" s="596"/>
      <c r="B66" s="789">
        <v>36015</v>
      </c>
      <c r="C66" s="789">
        <v>8800</v>
      </c>
      <c r="D66" s="644" t="s">
        <v>976</v>
      </c>
      <c r="E66" s="644" t="s">
        <v>977</v>
      </c>
      <c r="F66" s="644" t="s">
        <v>978</v>
      </c>
      <c r="G66" s="644" t="s">
        <v>979</v>
      </c>
      <c r="H66" s="644" t="s">
        <v>968</v>
      </c>
      <c r="I66" s="644" t="s">
        <v>980</v>
      </c>
      <c r="J66" s="788">
        <v>39940</v>
      </c>
      <c r="K66" s="788">
        <v>39940</v>
      </c>
      <c r="L66" s="644" t="s">
        <v>970</v>
      </c>
      <c r="M66" s="644">
        <v>1074</v>
      </c>
      <c r="N66" s="644">
        <v>4833</v>
      </c>
      <c r="O66" s="644">
        <v>0</v>
      </c>
      <c r="P66" s="644">
        <v>0</v>
      </c>
      <c r="Q66" s="644">
        <v>0</v>
      </c>
      <c r="R66" s="644">
        <v>13808.571428571429</v>
      </c>
      <c r="S66" s="644">
        <v>0</v>
      </c>
      <c r="T66" s="644">
        <v>0</v>
      </c>
      <c r="U66" s="644">
        <v>0</v>
      </c>
      <c r="V66" s="644">
        <v>0</v>
      </c>
      <c r="W66" s="644"/>
      <c r="X66" s="644">
        <v>1600</v>
      </c>
      <c r="Y66" s="644" t="s">
        <v>50</v>
      </c>
      <c r="Z66" s="645" t="s">
        <v>156</v>
      </c>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4138</v>
      </c>
      <c r="N89" s="599">
        <f t="shared" ref="N89:W89" si="5">SUM(N64:N88)</f>
        <v>18621</v>
      </c>
      <c r="O89" s="599">
        <f t="shared" si="5"/>
        <v>0</v>
      </c>
      <c r="P89" s="599">
        <f t="shared" si="5"/>
        <v>0</v>
      </c>
      <c r="Q89" s="599">
        <f t="shared" si="5"/>
        <v>39394.285714285717</v>
      </c>
      <c r="R89" s="599">
        <f t="shared" si="5"/>
        <v>13808.571428571429</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1105</v>
      </c>
      <c r="N91" s="599">
        <f t="shared" si="7"/>
        <v>4972.5</v>
      </c>
      <c r="O91" s="599">
        <f t="shared" si="7"/>
        <v>0</v>
      </c>
      <c r="P91" s="599">
        <f t="shared" si="7"/>
        <v>0</v>
      </c>
      <c r="Q91" s="599">
        <f t="shared" si="7"/>
        <v>398.57142857142861</v>
      </c>
      <c r="R91" s="599">
        <f t="shared" si="7"/>
        <v>13808.571428571429</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3033</v>
      </c>
      <c r="N92" s="604">
        <f t="shared" si="8"/>
        <v>13648.5</v>
      </c>
      <c r="O92" s="604">
        <f t="shared" si="8"/>
        <v>0</v>
      </c>
      <c r="P92" s="604">
        <f t="shared" si="8"/>
        <v>0</v>
      </c>
      <c r="Q92" s="604">
        <f t="shared" si="8"/>
        <v>38995.71428571429</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0.58823529411764719</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7972.9411764705883</v>
      </c>
      <c r="C101" s="633">
        <f t="shared" si="9"/>
        <v>20398.235294117647</v>
      </c>
      <c r="D101" s="633">
        <f t="shared" si="9"/>
        <v>5685.8823529411766</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11389.915966386558</v>
      </c>
      <c r="C102" s="636">
        <f t="shared" si="10"/>
        <v>29140.336134453792</v>
      </c>
      <c r="D102" s="636">
        <f t="shared" si="10"/>
        <v>8122.6890756302546</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97035.668043869402</v>
      </c>
      <c r="C4" s="461">
        <f>huishoudens!C8</f>
        <v>0</v>
      </c>
      <c r="D4" s="461">
        <f>huishoudens!D8</f>
        <v>289896.08942123555</v>
      </c>
      <c r="E4" s="461">
        <f>huishoudens!E8</f>
        <v>11426.518570427039</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47151.122885469536</v>
      </c>
      <c r="O4" s="461">
        <f>huishoudens!O8</f>
        <v>398.65000000000003</v>
      </c>
      <c r="P4" s="462">
        <f>huishoudens!P8</f>
        <v>552.93333333333339</v>
      </c>
      <c r="Q4" s="463">
        <f>SUM(B4:P4)</f>
        <v>446460.98225433484</v>
      </c>
    </row>
    <row r="5" spans="1:17">
      <c r="A5" s="460" t="s">
        <v>156</v>
      </c>
      <c r="B5" s="461">
        <f ca="1">tertiair!B16</f>
        <v>167958.05119065271</v>
      </c>
      <c r="C5" s="461">
        <f ca="1">tertiair!C16</f>
        <v>41355.000000000007</v>
      </c>
      <c r="D5" s="461">
        <f ca="1">tertiair!D16</f>
        <v>193623.92629320611</v>
      </c>
      <c r="E5" s="461">
        <f>tertiair!E16</f>
        <v>1171.9081688514423</v>
      </c>
      <c r="F5" s="461">
        <f ca="1">tertiair!F16</f>
        <v>29242.484720132928</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433351.37037284323</v>
      </c>
    </row>
    <row r="6" spans="1:17">
      <c r="A6" s="460" t="s">
        <v>194</v>
      </c>
      <c r="B6" s="461">
        <f>'openbare verlichting'!B8</f>
        <v>6056.3459999999995</v>
      </c>
      <c r="C6" s="461"/>
      <c r="D6" s="461"/>
      <c r="E6" s="461"/>
      <c r="F6" s="461"/>
      <c r="G6" s="461"/>
      <c r="H6" s="461"/>
      <c r="I6" s="461"/>
      <c r="J6" s="461"/>
      <c r="K6" s="461"/>
      <c r="L6" s="461"/>
      <c r="M6" s="461"/>
      <c r="N6" s="461"/>
      <c r="O6" s="461"/>
      <c r="P6" s="462"/>
      <c r="Q6" s="460">
        <f t="shared" si="0"/>
        <v>6056.3459999999995</v>
      </c>
    </row>
    <row r="7" spans="1:17">
      <c r="A7" s="460" t="s">
        <v>112</v>
      </c>
      <c r="B7" s="461">
        <f>landbouw!B8</f>
        <v>16418.231284187754</v>
      </c>
      <c r="C7" s="461">
        <f>landbouw!C8</f>
        <v>0</v>
      </c>
      <c r="D7" s="461">
        <f>landbouw!D8</f>
        <v>2827.053981431211</v>
      </c>
      <c r="E7" s="461">
        <f>landbouw!E8</f>
        <v>154.67073927286197</v>
      </c>
      <c r="F7" s="461">
        <f>landbouw!F8</f>
        <v>53578.137412742384</v>
      </c>
      <c r="G7" s="461">
        <f>landbouw!G8</f>
        <v>0</v>
      </c>
      <c r="H7" s="461">
        <f>landbouw!H8</f>
        <v>0</v>
      </c>
      <c r="I7" s="461">
        <f>landbouw!I8</f>
        <v>0</v>
      </c>
      <c r="J7" s="461">
        <f>landbouw!J8</f>
        <v>2031.0150681156508</v>
      </c>
      <c r="K7" s="461">
        <f>landbouw!K8</f>
        <v>0</v>
      </c>
      <c r="L7" s="461">
        <f>landbouw!L8</f>
        <v>0</v>
      </c>
      <c r="M7" s="461">
        <f>landbouw!M8</f>
        <v>0</v>
      </c>
      <c r="N7" s="461">
        <f>landbouw!N8</f>
        <v>0</v>
      </c>
      <c r="O7" s="461">
        <f>landbouw!O8</f>
        <v>0</v>
      </c>
      <c r="P7" s="462">
        <f>landbouw!P8</f>
        <v>0</v>
      </c>
      <c r="Q7" s="460">
        <f t="shared" si="0"/>
        <v>75009.108485749864</v>
      </c>
    </row>
    <row r="8" spans="1:17">
      <c r="A8" s="460" t="s">
        <v>685</v>
      </c>
      <c r="B8" s="461">
        <f>industrie!B18</f>
        <v>209665.29785189129</v>
      </c>
      <c r="C8" s="461">
        <f>industrie!C18</f>
        <v>0</v>
      </c>
      <c r="D8" s="461">
        <f>industrie!D18</f>
        <v>235145.90499515983</v>
      </c>
      <c r="E8" s="461">
        <f>industrie!E18</f>
        <v>3121.9062230894988</v>
      </c>
      <c r="F8" s="461">
        <f>industrie!F18</f>
        <v>41991.100447917706</v>
      </c>
      <c r="G8" s="461">
        <f>industrie!G18</f>
        <v>0</v>
      </c>
      <c r="H8" s="461">
        <f>industrie!H18</f>
        <v>0</v>
      </c>
      <c r="I8" s="461">
        <f>industrie!I18</f>
        <v>0</v>
      </c>
      <c r="J8" s="461">
        <f>industrie!J18</f>
        <v>893.32892224222837</v>
      </c>
      <c r="K8" s="461">
        <f>industrie!K18</f>
        <v>0</v>
      </c>
      <c r="L8" s="461">
        <f>industrie!L18</f>
        <v>0</v>
      </c>
      <c r="M8" s="461">
        <f>industrie!M18</f>
        <v>0</v>
      </c>
      <c r="N8" s="461">
        <f>industrie!N18</f>
        <v>12738.07802708081</v>
      </c>
      <c r="O8" s="461">
        <f>industrie!O18</f>
        <v>0</v>
      </c>
      <c r="P8" s="462">
        <f>industrie!P18</f>
        <v>0</v>
      </c>
      <c r="Q8" s="460">
        <f t="shared" si="0"/>
        <v>503555.6164673813</v>
      </c>
    </row>
    <row r="9" spans="1:17" s="466" customFormat="1">
      <c r="A9" s="464" t="s">
        <v>579</v>
      </c>
      <c r="B9" s="465">
        <f>transport!B14</f>
        <v>5.4628200406759655</v>
      </c>
      <c r="C9" s="465">
        <f>transport!C14</f>
        <v>0</v>
      </c>
      <c r="D9" s="465">
        <f>transport!D14</f>
        <v>16.021311941917279</v>
      </c>
      <c r="E9" s="465">
        <f>transport!E14</f>
        <v>972.76075286957621</v>
      </c>
      <c r="F9" s="465">
        <f>transport!F14</f>
        <v>0</v>
      </c>
      <c r="G9" s="465">
        <f>transport!G14</f>
        <v>223525.13318629991</v>
      </c>
      <c r="H9" s="465">
        <f>transport!H14</f>
        <v>35900.40258743726</v>
      </c>
      <c r="I9" s="465">
        <f>transport!I14</f>
        <v>0</v>
      </c>
      <c r="J9" s="465">
        <f>transport!J14</f>
        <v>0</v>
      </c>
      <c r="K9" s="465">
        <f>transport!K14</f>
        <v>0</v>
      </c>
      <c r="L9" s="465">
        <f>transport!L14</f>
        <v>0</v>
      </c>
      <c r="M9" s="465">
        <f>transport!M14</f>
        <v>11595.866447269796</v>
      </c>
      <c r="N9" s="465">
        <f>transport!N14</f>
        <v>0</v>
      </c>
      <c r="O9" s="465">
        <f>transport!O14</f>
        <v>0</v>
      </c>
      <c r="P9" s="465">
        <f>transport!P14</f>
        <v>0</v>
      </c>
      <c r="Q9" s="464">
        <f>SUM(B9:P9)</f>
        <v>272015.64710585913</v>
      </c>
    </row>
    <row r="10" spans="1:17">
      <c r="A10" s="460" t="s">
        <v>569</v>
      </c>
      <c r="B10" s="461">
        <f>transport!B54</f>
        <v>0</v>
      </c>
      <c r="C10" s="461">
        <f>transport!C54</f>
        <v>0</v>
      </c>
      <c r="D10" s="461">
        <f>transport!D54</f>
        <v>0</v>
      </c>
      <c r="E10" s="461">
        <f>transport!E54</f>
        <v>0</v>
      </c>
      <c r="F10" s="461">
        <f>transport!F54</f>
        <v>0</v>
      </c>
      <c r="G10" s="461">
        <f>transport!G54</f>
        <v>5460.0453749164599</v>
      </c>
      <c r="H10" s="461">
        <f>transport!H54</f>
        <v>0</v>
      </c>
      <c r="I10" s="461">
        <f>transport!I54</f>
        <v>0</v>
      </c>
      <c r="J10" s="461">
        <f>transport!J54</f>
        <v>0</v>
      </c>
      <c r="K10" s="461">
        <f>transport!K54</f>
        <v>0</v>
      </c>
      <c r="L10" s="461">
        <f>transport!L54</f>
        <v>0</v>
      </c>
      <c r="M10" s="461">
        <f>transport!M54</f>
        <v>239.75959932081963</v>
      </c>
      <c r="N10" s="461">
        <f>transport!N54</f>
        <v>0</v>
      </c>
      <c r="O10" s="461">
        <f>transport!O54</f>
        <v>0</v>
      </c>
      <c r="P10" s="462">
        <f>transport!P54</f>
        <v>0</v>
      </c>
      <c r="Q10" s="460">
        <f t="shared" si="0"/>
        <v>5699.8049742372796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4892.3060425127596</v>
      </c>
      <c r="C14" s="468"/>
      <c r="D14" s="468">
        <f>'SEAP template'!E25</f>
        <v>15433.852277283899</v>
      </c>
      <c r="E14" s="468"/>
      <c r="F14" s="468"/>
      <c r="G14" s="468"/>
      <c r="H14" s="468"/>
      <c r="I14" s="468"/>
      <c r="J14" s="468"/>
      <c r="K14" s="468"/>
      <c r="L14" s="468"/>
      <c r="M14" s="468"/>
      <c r="N14" s="468"/>
      <c r="O14" s="468"/>
      <c r="P14" s="469"/>
      <c r="Q14" s="460">
        <f t="shared" si="0"/>
        <v>20326.158319796657</v>
      </c>
    </row>
    <row r="15" spans="1:17" s="473" customFormat="1">
      <c r="A15" s="470" t="s">
        <v>573</v>
      </c>
      <c r="B15" s="471">
        <f ca="1">SUM(B4:B14)</f>
        <v>502031.36323315458</v>
      </c>
      <c r="C15" s="471">
        <f t="shared" ref="C15:Q15" ca="1" si="1">SUM(C4:C14)</f>
        <v>41355.000000000007</v>
      </c>
      <c r="D15" s="471">
        <f t="shared" ca="1" si="1"/>
        <v>736942.84828025848</v>
      </c>
      <c r="E15" s="471">
        <f t="shared" si="1"/>
        <v>16847.764454510419</v>
      </c>
      <c r="F15" s="471">
        <f t="shared" ca="1" si="1"/>
        <v>124811.72258079302</v>
      </c>
      <c r="G15" s="471">
        <f t="shared" si="1"/>
        <v>228985.17856121637</v>
      </c>
      <c r="H15" s="471">
        <f t="shared" si="1"/>
        <v>35900.40258743726</v>
      </c>
      <c r="I15" s="471">
        <f t="shared" si="1"/>
        <v>0</v>
      </c>
      <c r="J15" s="471">
        <f t="shared" si="1"/>
        <v>2924.3439903578792</v>
      </c>
      <c r="K15" s="471">
        <f t="shared" si="1"/>
        <v>0</v>
      </c>
      <c r="L15" s="471">
        <f t="shared" ca="1" si="1"/>
        <v>0</v>
      </c>
      <c r="M15" s="471">
        <f t="shared" si="1"/>
        <v>11835.626046590616</v>
      </c>
      <c r="N15" s="471">
        <f t="shared" ca="1" si="1"/>
        <v>59889.200912550346</v>
      </c>
      <c r="O15" s="471">
        <f t="shared" si="1"/>
        <v>398.65000000000003</v>
      </c>
      <c r="P15" s="471">
        <f t="shared" si="1"/>
        <v>552.93333333333339</v>
      </c>
      <c r="Q15" s="471">
        <f t="shared" ca="1" si="1"/>
        <v>1762475.0339802024</v>
      </c>
    </row>
    <row r="17" spans="1:17">
      <c r="A17" s="474" t="s">
        <v>574</v>
      </c>
      <c r="B17" s="778">
        <f ca="1">huishoudens!B10</f>
        <v>0.19437010812091449</v>
      </c>
      <c r="C17" s="778">
        <f ca="1">huishoudens!C10</f>
        <v>5.56344583535264E-2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18860.833289272061</v>
      </c>
      <c r="C22" s="461">
        <f t="shared" ref="C22:C32" ca="1" si="3">C4*$C$17</f>
        <v>0</v>
      </c>
      <c r="D22" s="461">
        <f t="shared" ref="D22:D32" si="4">D4*$D$17</f>
        <v>58559.010063089583</v>
      </c>
      <c r="E22" s="461">
        <f t="shared" ref="E22:E32" si="5">E4*$E$17</f>
        <v>2593.8197154869381</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80013.663067848582</v>
      </c>
    </row>
    <row r="23" spans="1:17">
      <c r="A23" s="460" t="s">
        <v>156</v>
      </c>
      <c r="B23" s="461">
        <f t="shared" ca="1" si="2"/>
        <v>32646.024569705256</v>
      </c>
      <c r="C23" s="461">
        <f t="shared" ca="1" si="3"/>
        <v>2300.7630252100848</v>
      </c>
      <c r="D23" s="461">
        <f t="shared" ca="1" si="4"/>
        <v>39112.03311122764</v>
      </c>
      <c r="E23" s="461">
        <f t="shared" si="5"/>
        <v>266.02315432927742</v>
      </c>
      <c r="F23" s="461">
        <f t="shared" ca="1" si="6"/>
        <v>7807.7434202754921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82132.587280747757</v>
      </c>
    </row>
    <row r="24" spans="1:17">
      <c r="A24" s="460" t="s">
        <v>194</v>
      </c>
      <c r="B24" s="461">
        <f t="shared" ca="1" si="2"/>
        <v>1177.1726268376678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1177.1726268376678</v>
      </c>
    </row>
    <row r="25" spans="1:17">
      <c r="A25" s="460" t="s">
        <v>112</v>
      </c>
      <c r="B25" s="461">
        <f t="shared" ca="1" si="2"/>
        <v>3191.2133898617544</v>
      </c>
      <c r="C25" s="461">
        <f t="shared" ca="1" si="3"/>
        <v>0</v>
      </c>
      <c r="D25" s="461">
        <f t="shared" si="4"/>
        <v>571.06490424910464</v>
      </c>
      <c r="E25" s="461">
        <f t="shared" si="5"/>
        <v>35.110257814939665</v>
      </c>
      <c r="F25" s="461">
        <f t="shared" si="6"/>
        <v>14305.362689202217</v>
      </c>
      <c r="G25" s="461">
        <f t="shared" si="7"/>
        <v>0</v>
      </c>
      <c r="H25" s="461">
        <f t="shared" si="8"/>
        <v>0</v>
      </c>
      <c r="I25" s="461">
        <f t="shared" si="9"/>
        <v>0</v>
      </c>
      <c r="J25" s="461">
        <f t="shared" si="10"/>
        <v>718.97933411294036</v>
      </c>
      <c r="K25" s="461">
        <f t="shared" si="11"/>
        <v>0</v>
      </c>
      <c r="L25" s="461">
        <f t="shared" si="12"/>
        <v>0</v>
      </c>
      <c r="M25" s="461">
        <f t="shared" si="13"/>
        <v>0</v>
      </c>
      <c r="N25" s="461">
        <f t="shared" si="14"/>
        <v>0</v>
      </c>
      <c r="O25" s="461">
        <f t="shared" si="15"/>
        <v>0</v>
      </c>
      <c r="P25" s="462">
        <f t="shared" si="16"/>
        <v>0</v>
      </c>
      <c r="Q25" s="460">
        <f t="shared" ca="1" si="17"/>
        <v>18821.730575240956</v>
      </c>
    </row>
    <row r="26" spans="1:17">
      <c r="A26" s="460" t="s">
        <v>685</v>
      </c>
      <c r="B26" s="461">
        <f t="shared" ca="1" si="2"/>
        <v>40752.66661267585</v>
      </c>
      <c r="C26" s="461">
        <f t="shared" ca="1" si="3"/>
        <v>0</v>
      </c>
      <c r="D26" s="461">
        <f t="shared" si="4"/>
        <v>47499.472809022285</v>
      </c>
      <c r="E26" s="461">
        <f t="shared" si="5"/>
        <v>708.67271264131625</v>
      </c>
      <c r="F26" s="461">
        <f t="shared" si="6"/>
        <v>11211.623819594028</v>
      </c>
      <c r="G26" s="461">
        <f t="shared" si="7"/>
        <v>0</v>
      </c>
      <c r="H26" s="461">
        <f t="shared" si="8"/>
        <v>0</v>
      </c>
      <c r="I26" s="461">
        <f t="shared" si="9"/>
        <v>0</v>
      </c>
      <c r="J26" s="461">
        <f t="shared" si="10"/>
        <v>316.23843847374883</v>
      </c>
      <c r="K26" s="461">
        <f t="shared" si="11"/>
        <v>0</v>
      </c>
      <c r="L26" s="461">
        <f t="shared" si="12"/>
        <v>0</v>
      </c>
      <c r="M26" s="461">
        <f t="shared" si="13"/>
        <v>0</v>
      </c>
      <c r="N26" s="461">
        <f t="shared" si="14"/>
        <v>0</v>
      </c>
      <c r="O26" s="461">
        <f t="shared" si="15"/>
        <v>0</v>
      </c>
      <c r="P26" s="462">
        <f t="shared" si="16"/>
        <v>0</v>
      </c>
      <c r="Q26" s="460">
        <f t="shared" ca="1" si="17"/>
        <v>100488.67439240724</v>
      </c>
    </row>
    <row r="27" spans="1:17" s="466" customFormat="1">
      <c r="A27" s="464" t="s">
        <v>579</v>
      </c>
      <c r="B27" s="772">
        <f t="shared" ca="1" si="2"/>
        <v>1.0618089219512858</v>
      </c>
      <c r="C27" s="465">
        <f t="shared" ca="1" si="3"/>
        <v>0</v>
      </c>
      <c r="D27" s="465">
        <f t="shared" si="4"/>
        <v>3.2363050122672905</v>
      </c>
      <c r="E27" s="465">
        <f t="shared" si="5"/>
        <v>220.8166909013938</v>
      </c>
      <c r="F27" s="465">
        <f t="shared" si="6"/>
        <v>0</v>
      </c>
      <c r="G27" s="465">
        <f t="shared" si="7"/>
        <v>59681.210560742082</v>
      </c>
      <c r="H27" s="465">
        <f t="shared" si="8"/>
        <v>8939.2002442718785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68845.525609849574</v>
      </c>
    </row>
    <row r="28" spans="1:17">
      <c r="A28" s="460" t="s">
        <v>569</v>
      </c>
      <c r="B28" s="461">
        <f t="shared" ca="1" si="2"/>
        <v>0</v>
      </c>
      <c r="C28" s="461">
        <f t="shared" ca="1" si="3"/>
        <v>0</v>
      </c>
      <c r="D28" s="461">
        <f t="shared" si="4"/>
        <v>0</v>
      </c>
      <c r="E28" s="461">
        <f t="shared" si="5"/>
        <v>0</v>
      </c>
      <c r="F28" s="461">
        <f t="shared" si="6"/>
        <v>0</v>
      </c>
      <c r="G28" s="461">
        <f t="shared" si="7"/>
        <v>1457.8321151026948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1457.8321151026948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950.91805444380839</v>
      </c>
      <c r="C32" s="461">
        <f t="shared" ca="1" si="3"/>
        <v>0</v>
      </c>
      <c r="D32" s="461">
        <f t="shared" si="4"/>
        <v>3117.6381600113477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4068.5562144551559</v>
      </c>
    </row>
    <row r="33" spans="1:17" s="473" customFormat="1">
      <c r="A33" s="470" t="s">
        <v>573</v>
      </c>
      <c r="B33" s="471">
        <f ca="1">SUM(B22:B32)</f>
        <v>97579.89035171835</v>
      </c>
      <c r="C33" s="471">
        <f t="shared" ref="C33:Q33" ca="1" si="18">SUM(C22:C32)</f>
        <v>2300.7630252100848</v>
      </c>
      <c r="D33" s="471">
        <f t="shared" ca="1" si="18"/>
        <v>148862.45535261225</v>
      </c>
      <c r="E33" s="471">
        <f t="shared" si="18"/>
        <v>3824.4425311738655</v>
      </c>
      <c r="F33" s="471">
        <f t="shared" ca="1" si="18"/>
        <v>33324.729929071735</v>
      </c>
      <c r="G33" s="471">
        <f t="shared" si="18"/>
        <v>61139.042675844779</v>
      </c>
      <c r="H33" s="471">
        <f t="shared" si="18"/>
        <v>8939.2002442718785</v>
      </c>
      <c r="I33" s="471">
        <f t="shared" si="18"/>
        <v>0</v>
      </c>
      <c r="J33" s="471">
        <f t="shared" si="18"/>
        <v>1035.2177725866891</v>
      </c>
      <c r="K33" s="471">
        <f t="shared" si="18"/>
        <v>0</v>
      </c>
      <c r="L33" s="471">
        <f t="shared" ca="1" si="18"/>
        <v>0</v>
      </c>
      <c r="M33" s="471">
        <f t="shared" si="18"/>
        <v>0</v>
      </c>
      <c r="N33" s="471">
        <f t="shared" ca="1" si="18"/>
        <v>0</v>
      </c>
      <c r="O33" s="471">
        <f t="shared" si="18"/>
        <v>0</v>
      </c>
      <c r="P33" s="471">
        <f t="shared" si="18"/>
        <v>0</v>
      </c>
      <c r="Q33" s="471">
        <f t="shared" ca="1" si="18"/>
        <v>357005.74188248964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20211.382535999423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22171.5</v>
      </c>
      <c r="C8" s="1037">
        <f>'SEAP template'!C76</f>
        <v>6777</v>
      </c>
      <c r="D8" s="1037">
        <f>'SEAP template'!D76</f>
        <v>7972.9411764705883</v>
      </c>
      <c r="E8" s="1037">
        <f>'SEAP template'!E76</f>
        <v>0</v>
      </c>
      <c r="F8" s="1037">
        <f>'SEAP template'!F76</f>
        <v>0</v>
      </c>
      <c r="G8" s="1037">
        <f>'SEAP template'!G76</f>
        <v>0</v>
      </c>
      <c r="H8" s="1037">
        <f>'SEAP template'!H76</f>
        <v>0</v>
      </c>
      <c r="I8" s="1037">
        <f>'SEAP template'!I76</f>
        <v>0</v>
      </c>
      <c r="J8" s="1037">
        <f>'SEAP template'!J76</f>
        <v>26084.117647058825</v>
      </c>
      <c r="K8" s="1037">
        <f>'SEAP template'!K76</f>
        <v>0</v>
      </c>
      <c r="L8" s="1037">
        <f>'SEAP template'!L76</f>
        <v>0</v>
      </c>
      <c r="M8" s="1037">
        <f>'SEAP template'!M76</f>
        <v>0</v>
      </c>
      <c r="N8" s="1037">
        <f>'SEAP template'!N76</f>
        <v>0</v>
      </c>
      <c r="O8" s="1037">
        <f>'SEAP template'!O76</f>
        <v>0</v>
      </c>
      <c r="P8" s="1038">
        <f>'SEAP template'!Q76</f>
        <v>1610.534117647059</v>
      </c>
    </row>
    <row r="9" spans="1:16">
      <c r="A9" s="1040" t="s">
        <v>924</v>
      </c>
      <c r="B9" s="1037">
        <f>'SEAP template'!B77</f>
        <v>18621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53202.857142857145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61003.882535999423</v>
      </c>
      <c r="C10" s="1041">
        <f>SUM(C4:C9)</f>
        <v>6777</v>
      </c>
      <c r="D10" s="1041">
        <f t="shared" ref="D10:H10" si="0">SUM(D8:D9)</f>
        <v>7972.9411764705883</v>
      </c>
      <c r="E10" s="1041">
        <f t="shared" si="0"/>
        <v>0</v>
      </c>
      <c r="F10" s="1041">
        <f t="shared" si="0"/>
        <v>0</v>
      </c>
      <c r="G10" s="1041">
        <f t="shared" si="0"/>
        <v>0</v>
      </c>
      <c r="H10" s="1041">
        <f t="shared" si="0"/>
        <v>0</v>
      </c>
      <c r="I10" s="1041">
        <f>SUM(I8:I9)</f>
        <v>0</v>
      </c>
      <c r="J10" s="1041">
        <f>SUM(J8:J9)</f>
        <v>79286.97478991597</v>
      </c>
      <c r="K10" s="1041">
        <f t="shared" ref="K10:L10" si="1">SUM(K8:K9)</f>
        <v>0</v>
      </c>
      <c r="L10" s="1041">
        <f t="shared" si="1"/>
        <v>0</v>
      </c>
      <c r="M10" s="1041">
        <f>SUM(M8:M9)</f>
        <v>0</v>
      </c>
      <c r="N10" s="1041">
        <f>SUM(N8:N9)</f>
        <v>0</v>
      </c>
      <c r="O10" s="1041">
        <f>SUM(O8:O9)</f>
        <v>0</v>
      </c>
      <c r="P10" s="1041">
        <f>SUM(P8:P9)</f>
        <v>1610.534117647059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0.19437010812091449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31673.571428571435</v>
      </c>
      <c r="C17" s="1044">
        <f>'SEAP template'!C87</f>
        <v>9681.4285714285725</v>
      </c>
      <c r="D17" s="1038">
        <f>'SEAP template'!D87</f>
        <v>11389.915966386558</v>
      </c>
      <c r="E17" s="1038">
        <f>'SEAP template'!E87</f>
        <v>0</v>
      </c>
      <c r="F17" s="1038">
        <f>'SEAP template'!F87</f>
        <v>0</v>
      </c>
      <c r="G17" s="1038">
        <f>'SEAP template'!G87</f>
        <v>0</v>
      </c>
      <c r="H17" s="1038">
        <f>'SEAP template'!H87</f>
        <v>0</v>
      </c>
      <c r="I17" s="1038">
        <f>'SEAP template'!I87</f>
        <v>0</v>
      </c>
      <c r="J17" s="1038">
        <f>'SEAP template'!J87</f>
        <v>37263.025210084044</v>
      </c>
      <c r="K17" s="1038">
        <f>'SEAP template'!K87</f>
        <v>0</v>
      </c>
      <c r="L17" s="1038">
        <f>'SEAP template'!L87</f>
        <v>0</v>
      </c>
      <c r="M17" s="1038">
        <f>'SEAP template'!M87</f>
        <v>0</v>
      </c>
      <c r="N17" s="1038">
        <f>'SEAP template'!N87</f>
        <v>0</v>
      </c>
      <c r="O17" s="1038">
        <f>'SEAP template'!O87</f>
        <v>0</v>
      </c>
      <c r="P17" s="1038">
        <f>'SEAP template'!Q87</f>
        <v>2300.7630252100848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31673.571428571435</v>
      </c>
      <c r="C20" s="1041">
        <f>SUM(C17:C19)</f>
        <v>9681.4285714285725</v>
      </c>
      <c r="D20" s="1041">
        <f t="shared" ref="D20:H20" si="2">SUM(D17:D19)</f>
        <v>11389.915966386558</v>
      </c>
      <c r="E20" s="1041">
        <f t="shared" si="2"/>
        <v>0</v>
      </c>
      <c r="F20" s="1041">
        <f t="shared" si="2"/>
        <v>0</v>
      </c>
      <c r="G20" s="1041">
        <f t="shared" si="2"/>
        <v>0</v>
      </c>
      <c r="H20" s="1041">
        <f t="shared" si="2"/>
        <v>0</v>
      </c>
      <c r="I20" s="1041">
        <f>SUM(I17:I19)</f>
        <v>0</v>
      </c>
      <c r="J20" s="1041">
        <f>SUM(J17:J19)</f>
        <v>37263.025210084044</v>
      </c>
      <c r="K20" s="1041">
        <f t="shared" ref="K20:L20" si="3">SUM(K17:K19)</f>
        <v>0</v>
      </c>
      <c r="L20" s="1041">
        <f t="shared" si="3"/>
        <v>0</v>
      </c>
      <c r="M20" s="1041">
        <f>SUM(M17:M19)</f>
        <v>0</v>
      </c>
      <c r="N20" s="1041">
        <f>SUM(N17:N19)</f>
        <v>0</v>
      </c>
      <c r="O20" s="1041">
        <f>SUM(O17:O19)</f>
        <v>0</v>
      </c>
      <c r="P20" s="1041">
        <f>SUM(P17:P19)</f>
        <v>2300.7630252100848</v>
      </c>
    </row>
    <row r="22" spans="1:16">
      <c r="A22" s="474" t="s">
        <v>932</v>
      </c>
      <c r="B22" s="778" t="s">
        <v>926</v>
      </c>
      <c r="C22" s="778">
        <f ca="1">'EF ele_warmte'!B22</f>
        <v>5.56344583535264E-2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0.19437010812091449</v>
      </c>
      <c r="C17" s="510">
        <f ca="1">'EF ele_warmte'!B22</f>
        <v>5.56344583535264E-2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2019-08-12T07:54:53Z</dcterms:modified>
</cp:coreProperties>
</file>