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O18"/>
  <c r="B20"/>
  <c r="B98"/>
  <c r="D102" s="1"/>
  <c r="B8"/>
  <c r="B10" s="1"/>
  <c r="O19"/>
  <c r="I102"/>
  <c r="H17" s="1"/>
  <c r="H20" s="1"/>
  <c r="E102"/>
  <c r="E17" s="1"/>
  <c r="E20" s="1"/>
  <c r="G102"/>
  <c r="C102"/>
  <c r="H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J76"/>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K22"/>
  <c r="D22"/>
  <c r="R12"/>
  <c r="F13" i="15"/>
  <c r="D13"/>
  <c r="C13"/>
  <c r="J8" i="56" l="1"/>
  <c r="J10" s="1"/>
  <c r="J78" i="14"/>
  <c r="G90"/>
  <c r="G18" i="56"/>
  <c r="G20" s="1"/>
  <c r="O90" i="14"/>
  <c r="O18" i="56"/>
  <c r="Q11" i="48"/>
  <c r="F9" i="56"/>
  <c r="F10" s="1"/>
  <c r="F78" i="14"/>
  <c r="N18" i="56"/>
  <c r="N20" s="1"/>
  <c r="N90" i="14"/>
  <c r="K78"/>
  <c r="K8" i="56"/>
  <c r="K10" s="1"/>
  <c r="G9"/>
  <c r="G78" i="14"/>
  <c r="O78"/>
  <c r="O9" i="56"/>
  <c r="L90" i="14"/>
  <c r="L17" i="56"/>
  <c r="L20" s="1"/>
  <c r="K20"/>
  <c r="J22" i="14"/>
  <c r="C77"/>
  <c r="C9" i="56" s="1"/>
  <c r="D9"/>
  <c r="D10" s="1"/>
  <c r="Q88" i="14"/>
  <c r="P18" i="56" s="1"/>
  <c r="D18"/>
  <c r="K90" i="14"/>
  <c r="K18" i="56"/>
  <c r="N78" i="14"/>
  <c r="N8" i="56"/>
  <c r="N10" s="1"/>
  <c r="C76" i="14"/>
  <c r="C8" i="56" s="1"/>
  <c r="E8"/>
  <c r="E10" s="1"/>
  <c r="M78" i="14"/>
  <c r="M8" i="56"/>
  <c r="M10" s="1"/>
  <c r="H78" i="14"/>
  <c r="H9" i="56"/>
  <c r="H10" s="1"/>
  <c r="Q87" i="14"/>
  <c r="P17" i="56" s="1"/>
  <c r="D17"/>
  <c r="D20" s="1"/>
  <c r="B10"/>
  <c r="G10"/>
  <c r="O10"/>
  <c r="C88" i="14"/>
  <c r="C18" i="56" s="1"/>
  <c r="O20"/>
  <c r="F20"/>
  <c r="F90" i="14"/>
  <c r="E20" i="56"/>
  <c r="H90" i="14"/>
  <c r="M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78" l="1"/>
  <c r="B9" i="6" s="1"/>
  <c r="P9" i="56"/>
  <c r="P10" s="1"/>
  <c r="Q90" i="14"/>
  <c r="B17" i="6" s="1"/>
  <c r="J90" i="14"/>
  <c r="J17" i="56"/>
  <c r="J20" s="1"/>
  <c r="C10"/>
  <c r="B4" i="6"/>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28"/>
  <c r="E24"/>
  <c r="E31"/>
  <c r="M12" i="13"/>
  <c r="N41" i="14" s="1"/>
  <c r="M17" i="48"/>
  <c r="K5"/>
  <c r="L10" i="14"/>
  <c r="L16" s="1"/>
  <c r="L27" s="1"/>
  <c r="D30" i="48"/>
  <c r="D28"/>
  <c r="D29"/>
  <c r="D31"/>
  <c r="D32"/>
  <c r="D24"/>
  <c r="L32"/>
  <c r="L28"/>
  <c r="L30"/>
  <c r="L24"/>
  <c r="L27"/>
  <c r="L31"/>
  <c r="L22"/>
  <c r="L29"/>
  <c r="Q10" i="14"/>
  <c r="P5" i="48"/>
  <c r="P23" s="1"/>
  <c r="K32"/>
  <c r="K26"/>
  <c r="K28"/>
  <c r="K27"/>
  <c r="K30"/>
  <c r="K31"/>
  <c r="K24"/>
  <c r="K29"/>
  <c r="K22"/>
  <c r="K25"/>
  <c r="J10" i="14"/>
  <c r="J16" s="1"/>
  <c r="J27" s="1"/>
  <c r="I5" i="48"/>
  <c r="J24"/>
  <c r="J32"/>
  <c r="J30"/>
  <c r="J28"/>
  <c r="J27"/>
  <c r="J29"/>
  <c r="J31"/>
  <c r="Q11" i="14"/>
  <c r="P4" i="48"/>
  <c r="B7"/>
  <c r="C24" i="14"/>
  <c r="C26" s="1"/>
  <c r="P11"/>
  <c r="O4" i="48"/>
  <c r="I28"/>
  <c r="I22"/>
  <c r="I32"/>
  <c r="I27"/>
  <c r="I26"/>
  <c r="I30"/>
  <c r="I29"/>
  <c r="I25"/>
  <c r="I31"/>
  <c r="I24"/>
  <c r="D4"/>
  <c r="D22" s="1"/>
  <c r="E11" i="14"/>
  <c r="H28" i="48"/>
  <c r="H32"/>
  <c r="H22"/>
  <c r="H24"/>
  <c r="H25"/>
  <c r="H29"/>
  <c r="H30"/>
  <c r="H26"/>
  <c r="H23"/>
  <c r="D11" i="14"/>
  <c r="C4" i="48"/>
  <c r="G32"/>
  <c r="G25"/>
  <c r="G30"/>
  <c r="G29"/>
  <c r="G26"/>
  <c r="G24"/>
  <c r="G22"/>
  <c r="G23"/>
  <c r="C11" i="14"/>
  <c r="B4" i="48"/>
  <c r="F24"/>
  <c r="F32"/>
  <c r="F30"/>
  <c r="F31"/>
  <c r="F29"/>
  <c r="F28"/>
  <c r="F27"/>
  <c r="N31"/>
  <c r="N24"/>
  <c r="N32"/>
  <c r="N30"/>
  <c r="N29"/>
  <c r="N28"/>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29"/>
  <c r="M24"/>
  <c r="M30"/>
  <c r="M23"/>
  <c r="K23"/>
  <c r="K33" s="1"/>
  <c r="K15"/>
  <c r="P10" i="14"/>
  <c r="O5" i="48"/>
  <c r="O23" s="1"/>
  <c r="O22"/>
  <c r="G11" i="14"/>
  <c r="F4" i="48"/>
  <c r="F22" s="1"/>
  <c r="I18" i="14"/>
  <c r="H13" i="48"/>
  <c r="H31" s="1"/>
  <c r="Q13" i="14"/>
  <c r="Q16" s="1"/>
  <c r="Q27" s="1"/>
  <c r="P8" i="48"/>
  <c r="P26" s="1"/>
  <c r="H18" i="14"/>
  <c r="G13" i="48"/>
  <c r="M13"/>
  <c r="M31" s="1"/>
  <c r="N18" i="14"/>
  <c r="I23" i="48"/>
  <c r="I15"/>
  <c r="J12" i="17"/>
  <c r="K54" i="14" s="1"/>
  <c r="K56" s="1"/>
  <c r="J7" i="48"/>
  <c r="J25" s="1"/>
  <c r="K24" i="14"/>
  <c r="K26" s="1"/>
  <c r="P15" i="48"/>
  <c r="P22"/>
  <c r="P33" s="1"/>
  <c r="J46" i="14"/>
  <c r="J61"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G31"/>
  <c r="Q13"/>
  <c r="K11" i="14"/>
  <c r="J4" i="48"/>
  <c r="N20" i="14"/>
  <c r="M9" i="48"/>
  <c r="E7"/>
  <c r="E25" s="1"/>
  <c r="F24" i="14"/>
  <c r="F26" s="1"/>
  <c r="F20"/>
  <c r="F22" s="1"/>
  <c r="E9" i="48"/>
  <c r="E27" s="1"/>
  <c r="H9"/>
  <c r="I20" i="14"/>
  <c r="P13"/>
  <c r="O8" i="48"/>
  <c r="O26" s="1"/>
  <c r="O33" s="1"/>
  <c r="N19" i="14"/>
  <c r="M10" i="48"/>
  <c r="M28" s="1"/>
  <c r="E20" i="14"/>
  <c r="E22" s="1"/>
  <c r="D9" i="48"/>
  <c r="D27" s="1"/>
  <c r="B9"/>
  <c r="C20" i="14"/>
  <c r="R18"/>
  <c r="E12" i="17"/>
  <c r="F54" i="14" s="1"/>
  <c r="F56" s="1"/>
  <c r="N22"/>
  <c r="N27" s="1"/>
  <c r="N63" s="1"/>
  <c r="I22"/>
  <c r="I27" s="1"/>
  <c r="P16"/>
  <c r="P27" s="1"/>
  <c r="D16"/>
  <c r="D27" s="1"/>
  <c r="B20" i="6" s="1"/>
  <c r="B22" s="1"/>
  <c r="C22" i="56" s="1"/>
  <c r="D18" i="22"/>
  <c r="E50" i="14" s="1"/>
  <c r="E52" s="1"/>
  <c r="Q46"/>
  <c r="Q61" s="1"/>
  <c r="Q63" s="1"/>
  <c r="I52"/>
  <c r="I61" s="1"/>
  <c r="I63"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E22"/>
  <c r="Q4"/>
  <c r="C22" i="14"/>
  <c r="J22" i="48"/>
  <c r="G9"/>
  <c r="H20" i="14"/>
  <c r="H22" s="1"/>
  <c r="H27" s="1"/>
  <c r="J5" i="48"/>
  <c r="J23" s="1"/>
  <c r="K10" i="14"/>
  <c r="M27" i="48"/>
  <c r="M33" s="1"/>
  <c r="M15"/>
  <c r="F10" i="14"/>
  <c r="E5" i="48"/>
  <c r="E23" s="1"/>
  <c r="G28"/>
  <c r="Q10"/>
  <c r="R11" i="14"/>
  <c r="R19"/>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F13" i="14"/>
  <c r="E8" i="48"/>
  <c r="E26" s="1"/>
  <c r="C27" i="14"/>
  <c r="B3" i="6" s="1"/>
  <c r="B12" s="1"/>
  <c r="C12" i="56" s="1"/>
  <c r="F16" i="14"/>
  <c r="F27" s="1"/>
  <c r="Q5" i="48"/>
  <c r="E63" i="14"/>
  <c r="E15" i="48"/>
  <c r="E33"/>
  <c r="Q9"/>
  <c r="K16" i="14"/>
  <c r="K27" s="1"/>
  <c r="R20"/>
  <c r="R22"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<sst xmlns="http://schemas.openxmlformats.org/spreadsheetml/2006/main" count="2504" uniqueCount="962">
  <si>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</si>
  <si>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</si>
  <si>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</si>
  <si>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</si>
  <si>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</si>
  <si>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</si>
  <si>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</si>
  <si>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</si>
  <si>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</si>
  <si>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</si>
  <si>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</si>
  <si>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</si>
  <si>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</si>
  <si>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</si>
  <si>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</si>
  <si>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</si>
  <si>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</si>
  <si>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</si>
  <si>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</si>
  <si>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</si>
  <si>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</si>
  <si>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</si>
  <si>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</si>
  <si>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</si>
  <si>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</si>
  <si>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</si>
  <si>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</si>
  <si>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</si>
  <si>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</si>
  <si>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</si>
  <si>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</si>
  <si>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</si>
  <si>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</si>
  <si>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</si>
  <si>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</si>
  <si>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</si>
  <si>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</si>
  <si>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</si>
  <si>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</si>
  <si>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</si>
  <si>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</si>
  <si>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</si>
  <si>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</si>
  <si>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</si>
  <si>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</si>
  <si>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</si>
  <si>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</si>
  <si>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</si>
  <si>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</si>
  <si>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</si>
  <si>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</si>
  <si>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</si>
  <si>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</si>
  <si>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</si>
  <si>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</si>
  <si>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</si>
  <si>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</si>
  <si>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</si>
  <si>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</si>
  <si>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</si>
  <si>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</si>
  <si>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</si>
  <si>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</si>
  <si>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</si>
  <si>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</si>
  <si>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</si>
  <si>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</si>
  <si>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</si>
  <si>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</si>
  <si>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</si>
  <si>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</si>
  <si>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</si>
  <si>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</si>
  <si>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</si>
  <si>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</si>
  <si>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</si>
  <si>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</si>
  <si>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</si>
  <si>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</si>
  <si>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</si>
  <si>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</si>
  <si>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</si>
  <si>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</si>
  <si>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</si>
  <si>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</si>
  <si>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</si>
  <si>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</si>
  <si>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</si>
  <si>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</si>
  <si>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</si>
  <si>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</si>
  <si>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</si>
  <si>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</si>
  <si>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</si>
  <si>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</si>
  <si>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</si>
  <si>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</si>
  <si>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</si>
  <si>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</si>
  <si>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</si>
  <si>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</si>
  <si>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</si>
  <si>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</si>
  <si>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</si>
  <si>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</si>
  <si>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</si>
  <si>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</si>
  <si>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</si>
  <si>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</si>
  <si>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</si>
  <si>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</si>
  <si>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</si>
  <si>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</si>
  <si>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</si>
  <si>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</si>
  <si>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</si>
  <si>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</si>
  <si>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</si>
  <si>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</si>
  <si>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</si>
  <si>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</si>
  <si>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</si>
  <si>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</si>
  <si>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</si>
  <si>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</si>
  <si>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</si>
  <si>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</si>
  <si>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</si>
  <si>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</si>
  <si>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</si>
  <si>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</si>
  <si>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</si>
  <si>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</si>
  <si>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</si>
  <si>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</si>
  <si>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</si>
  <si>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</si>
  <si>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</si>
  <si>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</si>
  <si>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</si>
  <si>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</si>
  <si>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</si>
  <si>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</si>
  <si>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</si>
  <si>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</si>
  <si>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</si>
  <si>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</si>
  <si>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</si>
  <si>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</si>
  <si>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</si>
  <si>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</si>
  <si>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</si>
  <si>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</si>
  <si>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</si>
  <si>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</si>
  <si>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</si>
  <si>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</si>
  <si>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</si>
  <si>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</si>
  <si>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</si>
  <si>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</si>
  <si>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</si>
  <si>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</si>
  <si>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</si>
  <si>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</si>
  <si>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</si>
  <si>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</si>
  <si>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</si>
  <si>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</si>
  <si>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</si>
  <si>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</si>
  <si>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</si>
  <si>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</si>
  <si>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</si>
  <si>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</si>
  <si>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</si>
  <si>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</si>
  <si>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</si>
  <si>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</si>
  <si>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</si>
  <si>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</si>
  <si>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</si>
  <si>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</si>
  <si>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</si>
  <si>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</si>
  <si>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</si>
  <si>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</si>
  <si>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</si>
  <si>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</si>
  <si>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</si>
  <si>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</si>
  <si>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</si>
  <si>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</si>
  <si>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</si>
  <si>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</si>
  <si>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</si>
  <si>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</si>
  <si>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</si>
  <si>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</si>
  <si>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</si>
  <si>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</si>
  <si>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</si>
  <si>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</si>
  <si>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</si>
  <si>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</si>
  <si>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</si>
  <si>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</si>
  <si>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</si>
  <si>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</si>
  <si>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</si>
  <si>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</si>
  <si>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</si>
  <si>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</si>
  <si>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</si>
  <si>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</si>
  <si>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</si>
  <si>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</si>
  <si>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</si>
  <si>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</si>
  <si>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</si>
  <si>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</si>
  <si>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</si>
  <si>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</si>
  <si>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</si>
  <si>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</si>
  <si>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</si>
  <si>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</si>
  <si>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</si>
  <si>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</si>
  <si>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</si>
  <si>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</si>
  <si>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</si>
  <si>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</si>
  <si>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</si>
  <si>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</si>
  <si>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</si>
  <si>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</si>
  <si>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</si>
  <si>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</si>
  <si>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</si>
  <si>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</si>
  <si>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</si>
  <si>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</si>
  <si>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</si>
  <si>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</si>
  <si>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</si>
  <si>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</si>
  <si>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</si>
  <si>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</si>
  <si>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</si>
  <si>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</si>
  <si>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</si>
  <si>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</si>
  <si>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</si>
  <si>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</si>
  <si>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</si>
  <si>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</si>
  <si>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</si>
  <si>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</si>
  <si>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</si>
  <si>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</si>
  <si>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</si>
  <si>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</si>
  <si>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</si>
  <si>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</si>
  <si>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</si>
  <si>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</si>
  <si>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</si>
  <si>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</si>
  <si>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</si>
  <si>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</si>
  <si>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</si>
  <si>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</si>
  <si>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</si>
  <si>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</si>
  <si>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</si>
  <si>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</si>
  <si>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</si>
  <si>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</si>
  <si>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</si>
  <si>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</si>
  <si>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</si>
  <si>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</si>
  <si>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</si>
  <si>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</si>
  <si>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</si>
  <si>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</si>
  <si>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</si>
  <si>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</si>
  <si>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</si>
  <si>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</si>
  <si>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</si>
  <si>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</si>
  <si>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</si>
  <si>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</si>
  <si>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</si>
  <si>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</si>
  <si>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</si>
  <si>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</si>
  <si>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</si>
  <si>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</si>
  <si>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</si>
  <si>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</si>
  <si>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</si>
  <si>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</si>
  <si>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</si>
  <si>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</si>
  <si>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</si>
  <si>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</si>
  <si>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</si>
  <si>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</si>
  <si>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</si>
  <si>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</si>
  <si>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</si>
  <si>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</si>
  <si>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</si>
  <si>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</si>
  <si>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</si>
  <si>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</si>
  <si>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</si>
  <si>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</si>
  <si>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</si>
  <si>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</si>
  <si>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</si>
  <si>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</si>
  <si>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</si>
  <si>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</si>
  <si>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</si>
  <si>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</si>
  <si>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</si>
  <si>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</si>
  <si>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</si>
  <si>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</si>
  <si>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</si>
  <si>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</si>
  <si>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</si>
  <si>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</si>
  <si>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</si>
  <si>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</si>
  <si>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</si>
  <si>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</si>
  <si>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</si>
  <si>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</si>
  <si>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</si>
  <si>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</si>
  <si>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</si>
  <si>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</si>
  <si>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</si>
  <si>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</si>
  <si>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</si>
  <si>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</si>
  <si>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</si>
  <si>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</si>
  <si>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</si>
  <si>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</si>
  <si>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</si>
  <si>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</si>
  <si>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</si>
  <si>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</si>
  <si>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</si>
  <si>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</si>
  <si>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</si>
  <si>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</si>
  <si>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</si>
  <si>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</si>
  <si>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</si>
  <si>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</si>
  <si>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</si>
  <si>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</si>
  <si>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</si>
  <si>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</si>
  <si>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</si>
  <si>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</si>
  <si>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</si>
  <si>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</si>
  <si>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</si>
  <si>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</si>
  <si>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</si>
  <si>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</si>
  <si>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</si>
  <si>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</si>
  <si>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</si>
  <si>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</si>
  <si>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</si>
  <si>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</si>
  <si>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</si>
  <si>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</si>
  <si>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</si>
  <si>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</si>
  <si>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</si>
  <si>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</si>
  <si>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</si>
  <si>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</si>
  <si>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</si>
  <si>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</si>
  <si>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</si>
  <si>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</si>
  <si>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</si>
  <si>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</si>
  <si>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</si>
  <si>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</si>
  <si>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</si>
  <si>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</si>
  <si>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</si>
  <si>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</si>
  <si>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</si>
  <si>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</si>
  <si>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</si>
  <si>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</si>
  <si>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</si>
  <si>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</si>
  <si>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</si>
  <si>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</si>
  <si>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</si>
  <si>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</si>
  <si>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</si>
  <si>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</si>
  <si>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</si>
  <si>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</si>
  <si>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</si>
  <si>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</si>
  <si>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</si>
  <si>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</si>
  <si>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</si>
  <si>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</si>
  <si>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</si>
  <si>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</si>
  <si>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</si>
  <si>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</si>
  <si>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</si>
  <si>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</si>
  <si>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</si>
  <si>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</si>
  <si>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</si>
  <si>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</si>
  <si>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</si>
  <si>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</si>
  <si>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</si>
  <si>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</si>
  <si>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</si>
  <si>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</si>
  <si>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</si>
  <si>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</si>
  <si>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</si>
  <si>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</si>
  <si>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</si>
  <si>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</si>
  <si>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</si>
  <si>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</si>
  <si>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</si>
  <si>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</si>
  <si>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</si>
  <si>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</si>
  <si>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</si>
  <si>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</si>
  <si>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</si>
  <si>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</si>
  <si>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</si>
  <si>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</si>
  <si>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</si>
  <si>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</si>
  <si>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</si>
  <si>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</si>
  <si>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</si>
  <si>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</si>
  <si>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</si>
  <si>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</si>
  <si>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</si>
  <si>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</si>
  <si>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</si>
  <si>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</si>
  <si>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</si>
  <si>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</si>
  <si>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</si>
  <si>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</si>
  <si>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</si>
  <si>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</si>
  <si>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</si>
  <si>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</si>
  <si>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</si>
  <si>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</si>
  <si>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</si>
  <si>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</si>
  <si>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</si>
  <si>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</si>
  <si>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</si>
  <si>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</si>
  <si>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</si>
  <si>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</si>
  <si>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</si>
  <si>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</si>
  <si>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</si>
  <si>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</si>
  <si>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</si>
  <si>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</si>
  <si>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</si>
  <si>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</si>
  <si>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</si>
  <si>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</si>
  <si>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</si>
  <si>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</si>
  <si>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</si>
  <si>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</si>
  <si>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</si>
  <si>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</si>
  <si>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</si>
  <si>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</si>
  <si>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</si>
  <si>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</si>
  <si>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</si>
  <si>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</si>
  <si>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</si>
  <si>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</si>
  <si>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</si>
  <si>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</si>
  <si>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</si>
  <si>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</si>
  <si>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</si>
  <si>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</si>
  <si>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</si>
  <si>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</si>
  <si>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</si>
  <si>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</si>
  <si>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</si>
  <si>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</si>
  <si>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</si>
  <si>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</si>
  <si>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</si>
  <si>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</si>
  <si>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</si>
  <si>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</si>
  <si>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</si>
  <si>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</si>
  <si>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</si>
  <si>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</si>
  <si>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</si>
  <si>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</si>
  <si>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</si>
  <si>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</si>
  <si>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</si>
  <si>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</si>
  <si>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</si>
  <si>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</si>
  <si>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</si>
  <si>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</si>
  <si>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</si>
  <si>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</si>
  <si>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</si>
  <si>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</si>
  <si>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</si>
  <si>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</si>
  <si>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</si>
  <si>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</si>
  <si>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</si>
  <si>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</si>
  <si>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</si>
  <si>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</si>
  <si>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</si>
  <si>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</si>
  <si>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</si>
  <si>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</si>
  <si>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</si>
  <si>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</si>
  <si>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</si>
  <si>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</si>
  <si>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</si>
  <si>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</si>
  <si>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</si>
  <si>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</si>
  <si>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</si>
  <si>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</si>
  <si>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</si>
  <si>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</si>
  <si>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</si>
  <si>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</si>
  <si>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</si>
  <si>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</si>
  <si>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</si>
  <si>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</si>
  <si>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</si>
  <si>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</si>
  <si>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</si>
  <si>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</si>
  <si>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</si>
  <si>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</si>
  <si>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</si>
  <si>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</si>
  <si>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</si>
  <si>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</si>
  <si>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</si>
  <si>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</si>
  <si>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</si>
  <si>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</si>
  <si>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</si>
  <si>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</si>
  <si>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</si>
  <si>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</si>
  <si>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</si>
  <si>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</si>
  <si>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</si>
  <si>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</si>
  <si>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</si>
  <si>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</si>
  <si>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</si>
  <si>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</si>
  <si>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</si>
  <si>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</si>
  <si>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</si>
  <si>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</si>
  <si>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</si>
  <si>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</si>
  <si>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</si>
  <si>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</si>
  <si>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</si>
  <si>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</si>
  <si>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</si>
  <si>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</si>
  <si>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</si>
  <si>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</si>
  <si>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</si>
  <si>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</si>
  <si>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</si>
  <si>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</si>
  <si>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</si>
  <si>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</si>
  <si>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</si>
  <si>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</si>
  <si>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</si>
  <si>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</si>
  <si>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</si>
  <si>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</si>
  <si>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</si>
  <si>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</si>
  <si>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</si>
  <si>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</si>
  <si>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</si>
  <si>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</si>
  <si>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</si>
  <si>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</si>
  <si>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</si>
  <si>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</si>
  <si>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</si>
  <si>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</si>
  <si>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</si>
  <si>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</si>
  <si>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</si>
  <si>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</si>
  <si>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</si>
  <si>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</si>
  <si>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</si>
  <si>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</si>
  <si>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</si>
  <si>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</si>
  <si>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</si>
  <si>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</si>
  <si>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</si>
  <si>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</si>
  <si>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</si>
  <si>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</si>
  <si>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</si>
  <si>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</si>
  <si>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</si>
  <si>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</si>
  <si>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</si>
  <si>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</si>
  <si>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</si>
  <si>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</si>
  <si>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</si>
  <si>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</si>
  <si>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</si>
  <si>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</si>
  <si>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</si>
  <si>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</si>
  <si>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</si>
  <si>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</si>
  <si>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</si>
  <si>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</si>
  <si>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</si>
  <si>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</si>
  <si>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</si>
  <si>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</si>
  <si>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</si>
  <si>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</si>
  <si>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</si>
  <si>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</si>
  <si>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</si>
  <si>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</si>
  <si>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</si>
  <si>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</si>
  <si>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</si>
  <si>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</si>
  <si>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</si>
  <si>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</si>
  <si>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</si>
  <si>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</si>
  <si>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</si>
  <si>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</si>
  <si>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</si>
  <si>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</si>
  <si>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</si>
  <si>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</si>
  <si>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</si>
  <si>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</si>
  <si>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</si>
  <si>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</si>
  <si>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</si>
  <si>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</si>
  <si>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</si>
  <si>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</si>
  <si>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</si>
  <si>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</si>
  <si>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</si>
  <si>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</si>
  <si>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</si>
  <si>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</si>
  <si>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</si>
  <si>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</si>
  <si>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</si>
  <si>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</si>
  <si>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</si>
  <si>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</si>
  <si>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</si>
  <si>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</si>
  <si>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</si>
  <si>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</si>
  <si>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</si>
  <si>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</si>
  <si>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</si>
  <si>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</si>
  <si>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</si>
  <si>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</si>
  <si>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</si>
  <si>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</si>
  <si>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</si>
  <si>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</si>
  <si>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</si>
  <si>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</si>
  <si>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</si>
  <si>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</si>
  <si>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</si>
  <si>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</si>
  <si>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</si>
  <si>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</si>
  <si>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</si>
  <si>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</si>
  <si>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</si>
  <si>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</si>
  <si>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</si>
  <si>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</si>
  <si>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</si>
  <si>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</si>
  <si>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</si>
  <si>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</si>
  <si>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</si>
  <si>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</si>
  <si>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</si>
  <si>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</si>
  <si>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</si>
  <si>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</si>
  <si>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</si>
  <si>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</si>
  <si>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</si>
  <si>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</si>
  <si>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</si>
  <si>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</si>
  <si>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</si>
  <si>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</si>
  <si>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</si>
  <si>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</si>
  <si>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</si>
  <si>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</si>
  <si>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</si>
  <si>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</si>
  <si>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</si>
  <si>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</si>
  <si>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</si>
  <si>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</si>
  <si>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</si>
  <si>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</si>
  <si>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</si>
  <si>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</si>
  <si>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</si>
  <si>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</si>
  <si>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</si>
  <si>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</si>
  <si>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</si>
  <si>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</si>
  <si>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</si>
  <si>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</si>
  <si>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</si>
  <si>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</si>
  <si>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</si>
  <si>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</si>
  <si>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</si>
  <si>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</si>
  <si>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</si>
  <si>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</si>
  <si>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</si>
  <si>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</si>
  <si>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</si>
  <si>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</si>
  <si>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</si>
  <si>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</si>
  <si>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</si>
  <si>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</si>
  <si>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</si>
  <si>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</si>
  <si>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</si>
  <si>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</si>
  <si>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</si>
  <si>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</si>
  <si>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</si>
  <si>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</si>
  <si>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</si>
  <si>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</si>
  <si>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</si>
  <si>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</si>
  <si>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</si>
  <si>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</si>
  <si>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</si>
  <si>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</si>
  <si>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</si>
  <si>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</si>
  <si>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</si>
  <si>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</si>
  <si>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</si>
  <si>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</si>
  <si>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</si>
  <si>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</si>
  <si>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</si>
  <si>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</si>
  <si>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</si>
  <si>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</si>
  <si>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</si>
  <si>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</si>
  <si>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</si>
  <si>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</si>
  <si>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</si>
  <si>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</si>
  <si>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</si>
  <si>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</si>
  <si>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</si>
  <si>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</si>
  <si>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</si>
  <si>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</si>
  <si>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</si>
  <si>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</si>
  <si>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</si>
  <si>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</si>
  <si>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</si>
  <si>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</si>
  <si>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</si>
  <si>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</si>
  <si>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</si>
  <si>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</si>
  <si>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</si>
  <si>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</si>
  <si>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</si>
  <si>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</si>
  <si>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</si>
  <si>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</si>
  <si>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</si>
  <si>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</si>
  <si>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</si>
  <si>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</si>
  <si>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</si>
  <si>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</si>
  <si>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</si>
  <si>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</si>
  <si>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</si>
  <si>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</si>
  <si>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</si>
  <si>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</si>
  <si>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</si>
  <si>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</si>
  <si>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</si>
  <si>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</si>
  <si>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</si>
  <si>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</si>
  <si>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</si>
  <si>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</si>
  <si>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</si>
  <si>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</si>
  <si>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</si>
  <si>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</si>
  <si>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</si>
  <si>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</si>
  <si>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</si>
  <si>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</si>
  <si>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</si>
  <si>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</si>
  <si>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</si>
  <si>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</si>
  <si>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</si>
  <si>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</si>
  <si>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</si>
  <si>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</si>
  <si>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</si>
  <si>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</si>
  <si>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</si>
  <si>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</si>
  <si>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</si>
  <si>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</si>
  <si>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</si>
  <si>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</si>
  <si>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</si>
  <si>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</si>
  <si>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</si>
  <si>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</si>
  <si>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</si>
  <si>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</si>
  <si>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</si>
  <si>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</si>
  <si>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</si>
  <si>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</si>
  <si>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</si>
  <si>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</si>
  <si>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</si>
  <si>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</si>
  <si>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</si>
  <si>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</si>
  <si>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</si>
  <si>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</si>
  <si>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</si>
  <si>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</si>
  <si>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</si>
  <si>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</si>
  <si>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</si>
  <si>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</si>
  <si>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</si>
  <si>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</si>
  <si>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</si>
  <si>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</si>
  <si>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</si>
  <si>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</si>
  <si>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</si>
  <si>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</si>
  <si>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</si>
  <si>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</si>
  <si>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</si>
  <si>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</si>
  <si>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</si>
  <si>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35013</t>
  </si>
  <si>
    <t>OOSTENDE</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</si>
  <si>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</si>
  <si>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</si>
  <si>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</si>
  <si>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</si>
  <si>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</si>
  <si>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</si>
  <si>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</si>
  <si>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</si>
  <si>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</si>
  <si>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</si>
  <si>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</si>
  <si>
    <t>Bio-N.R.GY nv</t>
  </si>
  <si>
    <t>Northlaan 15 B7.01, 8400 Oostende</t>
  </si>
  <si>
    <t>BGS-0095 Bio-N.R.GY-agr.verg</t>
  </si>
  <si>
    <t>biogas - hoofdzakelijk agrarische stromen</t>
  </si>
  <si>
    <t>niet WKK interne verbrandingsmotor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</si>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</sst>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35013</v>
      </c>
      <c r="B6" s="397"/>
      <c r="C6" s="398"/>
    </row>
    <row r="7" spans="1:7" s="395" customFormat="1" ht="15.75" customHeight="1">
      <c r="A7" s="399" t="str">
        <f>txtMunicipality</f>
        <v>OOSTENDE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0.2122912456182289</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0.2122912456182289</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35841</v>
      </c>
      <c r="C9" s="338">
        <v>37787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831</v>
      </c>
    </row>
    <row r="15" spans="1:6">
      <c r="A15" s="1286" t="s">
        <v>184</v>
      </c>
      <c r="B15" s="335">
        <v>7</v>
      </c>
    </row>
    <row r="16" spans="1:6">
      <c r="A16" s="1286" t="s">
        <v>6</v>
      </c>
      <c r="B16" s="335">
        <v>220</v>
      </c>
    </row>
    <row r="17" spans="1:6">
      <c r="A17" s="1286" t="s">
        <v>7</v>
      </c>
      <c r="B17" s="335">
        <v>305</v>
      </c>
    </row>
    <row r="18" spans="1:6">
      <c r="A18" s="1286" t="s">
        <v>8</v>
      </c>
      <c r="B18" s="335">
        <v>376</v>
      </c>
    </row>
    <row r="19" spans="1:6">
      <c r="A19" s="1286" t="s">
        <v>9</v>
      </c>
      <c r="B19" s="335">
        <v>318</v>
      </c>
    </row>
    <row r="20" spans="1:6">
      <c r="A20" s="1286" t="s">
        <v>10</v>
      </c>
      <c r="B20" s="335">
        <v>195</v>
      </c>
    </row>
    <row r="21" spans="1:6">
      <c r="A21" s="1286" t="s">
        <v>11</v>
      </c>
      <c r="B21" s="335">
        <v>353</v>
      </c>
    </row>
    <row r="22" spans="1:6">
      <c r="A22" s="1286" t="s">
        <v>12</v>
      </c>
      <c r="B22" s="335">
        <v>1263</v>
      </c>
    </row>
    <row r="23" spans="1:6">
      <c r="A23" s="1286" t="s">
        <v>13</v>
      </c>
      <c r="B23" s="335">
        <v>12</v>
      </c>
    </row>
    <row r="24" spans="1:6">
      <c r="A24" s="1286" t="s">
        <v>14</v>
      </c>
      <c r="B24" s="335">
        <v>1</v>
      </c>
    </row>
    <row r="25" spans="1:6">
      <c r="A25" s="1286" t="s">
        <v>15</v>
      </c>
      <c r="B25" s="335">
        <v>110</v>
      </c>
    </row>
    <row r="26" spans="1:6">
      <c r="A26" s="1286" t="s">
        <v>16</v>
      </c>
      <c r="B26" s="335">
        <v>154</v>
      </c>
    </row>
    <row r="27" spans="1:6">
      <c r="A27" s="1286" t="s">
        <v>17</v>
      </c>
      <c r="B27" s="335">
        <v>5</v>
      </c>
    </row>
    <row r="28" spans="1:6" s="341" customFormat="1">
      <c r="A28" s="1287" t="s">
        <v>18</v>
      </c>
      <c r="B28" s="1287">
        <v>2</v>
      </c>
    </row>
    <row r="29" spans="1:6">
      <c r="A29" s="1287" t="s">
        <v>944</v>
      </c>
      <c r="B29" s="1287">
        <v>66</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11369894.3420256</v>
      </c>
      <c r="E36" s="335">
        <v>25</v>
      </c>
      <c r="F36" s="335">
        <v>239735.752166652</v>
      </c>
    </row>
    <row r="37" spans="1:6">
      <c r="A37" s="1286" t="s">
        <v>25</v>
      </c>
      <c r="B37" s="1286" t="s">
        <v>28</v>
      </c>
      <c r="C37" s="335">
        <v>0</v>
      </c>
      <c r="D37" s="335">
        <v>0</v>
      </c>
      <c r="E37" s="335">
        <v>0</v>
      </c>
      <c r="F37" s="335">
        <v>0</v>
      </c>
    </row>
    <row r="38" spans="1:6">
      <c r="A38" s="1286" t="s">
        <v>25</v>
      </c>
      <c r="B38" s="1286" t="s">
        <v>29</v>
      </c>
      <c r="C38" s="335">
        <v>4</v>
      </c>
      <c r="D38" s="335">
        <v>281669.17106449598</v>
      </c>
      <c r="E38" s="335">
        <v>3</v>
      </c>
      <c r="F38" s="335">
        <v>40715.075314317997</v>
      </c>
    </row>
    <row r="39" spans="1:6">
      <c r="A39" s="1286" t="s">
        <v>30</v>
      </c>
      <c r="B39" s="1286" t="s">
        <v>31</v>
      </c>
      <c r="C39" s="335">
        <v>25835</v>
      </c>
      <c r="D39" s="335">
        <v>319065387.90813899</v>
      </c>
      <c r="E39" s="335">
        <v>44765</v>
      </c>
      <c r="F39" s="335">
        <v>143619615.565541</v>
      </c>
    </row>
    <row r="40" spans="1:6">
      <c r="A40" s="1286" t="s">
        <v>30</v>
      </c>
      <c r="B40" s="1286" t="s">
        <v>29</v>
      </c>
      <c r="C40" s="335">
        <v>0</v>
      </c>
      <c r="D40" s="335">
        <v>0</v>
      </c>
      <c r="E40" s="335">
        <v>0</v>
      </c>
      <c r="F40" s="335">
        <v>0</v>
      </c>
    </row>
    <row r="41" spans="1:6">
      <c r="A41" s="1286" t="s">
        <v>32</v>
      </c>
      <c r="B41" s="1286" t="s">
        <v>33</v>
      </c>
      <c r="C41" s="335">
        <v>237</v>
      </c>
      <c r="D41" s="335">
        <v>3893763.4160670298</v>
      </c>
      <c r="E41" s="335">
        <v>552</v>
      </c>
      <c r="F41" s="335">
        <v>8577804.0543655008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11396823.761308899</v>
      </c>
      <c r="E44" s="335">
        <v>58</v>
      </c>
      <c r="F44" s="335">
        <v>14230796.624279501</v>
      </c>
    </row>
    <row r="45" spans="1:6">
      <c r="A45" s="1286" t="s">
        <v>32</v>
      </c>
      <c r="B45" s="1286" t="s">
        <v>37</v>
      </c>
      <c r="C45" s="335">
        <v>0</v>
      </c>
      <c r="D45" s="335">
        <v>0</v>
      </c>
      <c r="E45" s="335">
        <v>3</v>
      </c>
      <c r="F45" s="335">
        <v>991471.69792483503</v>
      </c>
    </row>
    <row r="46" spans="1:6">
      <c r="A46" s="1286" t="s">
        <v>32</v>
      </c>
      <c r="B46" s="1286" t="s">
        <v>38</v>
      </c>
      <c r="C46" s="335">
        <v>0</v>
      </c>
      <c r="D46" s="335">
        <v>0</v>
      </c>
      <c r="E46" s="335">
        <v>0</v>
      </c>
      <c r="F46" s="335">
        <v>0</v>
      </c>
    </row>
    <row r="47" spans="1:6">
      <c r="A47" s="1286" t="s">
        <v>32</v>
      </c>
      <c r="B47" s="1286" t="s">
        <v>39</v>
      </c>
      <c r="C47" s="335">
        <v>11</v>
      </c>
      <c r="D47" s="335">
        <v>655442.405081223</v>
      </c>
      <c r="E47" s="335">
        <v>16</v>
      </c>
      <c r="F47" s="335">
        <v>1404744.55075282</v>
      </c>
    </row>
    <row r="48" spans="1:6">
      <c r="A48" s="1286" t="s">
        <v>32</v>
      </c>
      <c r="B48" s="1286" t="s">
        <v>29</v>
      </c>
      <c r="C48" s="335">
        <v>41</v>
      </c>
      <c r="D48" s="335">
        <v>46782856.125413701</v>
      </c>
      <c r="E48" s="335">
        <v>59</v>
      </c>
      <c r="F48" s="335">
        <v>20246725.120513499</v>
      </c>
    </row>
    <row r="49" spans="1:6">
      <c r="A49" s="1286" t="s">
        <v>32</v>
      </c>
      <c r="B49" s="1286" t="s">
        <v>40</v>
      </c>
      <c r="C49" s="335">
        <v>3</v>
      </c>
      <c r="D49" s="335">
        <v>299328.88667512703</v>
      </c>
      <c r="E49" s="335">
        <v>7</v>
      </c>
      <c r="F49" s="335">
        <v>93669.152821270007</v>
      </c>
    </row>
    <row r="50" spans="1:6">
      <c r="A50" s="1286" t="s">
        <v>32</v>
      </c>
      <c r="B50" s="1286" t="s">
        <v>41</v>
      </c>
      <c r="C50" s="335">
        <v>50</v>
      </c>
      <c r="D50" s="335">
        <v>14468802.4964983</v>
      </c>
      <c r="E50" s="335">
        <v>86</v>
      </c>
      <c r="F50" s="335">
        <v>14705355.971772</v>
      </c>
    </row>
    <row r="51" spans="1:6">
      <c r="A51" s="1286" t="s">
        <v>42</v>
      </c>
      <c r="B51" s="1286" t="s">
        <v>43</v>
      </c>
      <c r="C51" s="335">
        <v>6</v>
      </c>
      <c r="D51" s="335">
        <v>89762.583936630093</v>
      </c>
      <c r="E51" s="335">
        <v>56</v>
      </c>
      <c r="F51" s="335">
        <v>287406.01820107602</v>
      </c>
    </row>
    <row r="52" spans="1:6">
      <c r="A52" s="1286" t="s">
        <v>42</v>
      </c>
      <c r="B52" s="1286" t="s">
        <v>29</v>
      </c>
      <c r="C52" s="335">
        <v>13</v>
      </c>
      <c r="D52" s="335">
        <v>182409.11591533601</v>
      </c>
      <c r="E52" s="335">
        <v>10</v>
      </c>
      <c r="F52" s="335">
        <v>293422.39238920202</v>
      </c>
    </row>
    <row r="53" spans="1:6">
      <c r="A53" s="1286" t="s">
        <v>44</v>
      </c>
      <c r="B53" s="1286" t="s">
        <v>45</v>
      </c>
      <c r="C53" s="335">
        <v>627</v>
      </c>
      <c r="D53" s="335">
        <v>23759949.334028799</v>
      </c>
      <c r="E53" s="335">
        <v>1522</v>
      </c>
      <c r="F53" s="335">
        <v>7593644.6317803599</v>
      </c>
    </row>
    <row r="54" spans="1:6">
      <c r="A54" s="1286" t="s">
        <v>46</v>
      </c>
      <c r="B54" s="1286" t="s">
        <v>47</v>
      </c>
      <c r="C54" s="335">
        <v>0</v>
      </c>
      <c r="D54" s="335">
        <v>0</v>
      </c>
      <c r="E54" s="335">
        <v>149</v>
      </c>
      <c r="F54" s="335">
        <v>3961516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205</v>
      </c>
      <c r="D57" s="335">
        <v>14313814.9383791</v>
      </c>
      <c r="E57" s="335">
        <v>689</v>
      </c>
      <c r="F57" s="335">
        <v>26349827.6506611</v>
      </c>
    </row>
    <row r="58" spans="1:6">
      <c r="A58" s="1286" t="s">
        <v>49</v>
      </c>
      <c r="B58" s="1286" t="s">
        <v>51</v>
      </c>
      <c r="C58" s="335">
        <v>136</v>
      </c>
      <c r="D58" s="335">
        <v>29635832.928749502</v>
      </c>
      <c r="E58" s="335">
        <v>208</v>
      </c>
      <c r="F58" s="335">
        <v>12368124.928270999</v>
      </c>
    </row>
    <row r="59" spans="1:6">
      <c r="A59" s="1286" t="s">
        <v>49</v>
      </c>
      <c r="B59" s="1286" t="s">
        <v>52</v>
      </c>
      <c r="C59" s="335">
        <v>629</v>
      </c>
      <c r="D59" s="335">
        <v>22838962.873743799</v>
      </c>
      <c r="E59" s="335">
        <v>1386</v>
      </c>
      <c r="F59" s="335">
        <v>42972628.507098101</v>
      </c>
    </row>
    <row r="60" spans="1:6">
      <c r="A60" s="1286" t="s">
        <v>49</v>
      </c>
      <c r="B60" s="1286" t="s">
        <v>53</v>
      </c>
      <c r="C60" s="335">
        <v>461</v>
      </c>
      <c r="D60" s="335">
        <v>29775228.794919401</v>
      </c>
      <c r="E60" s="335">
        <v>647</v>
      </c>
      <c r="F60" s="335">
        <v>23787673.266829301</v>
      </c>
    </row>
    <row r="61" spans="1:6">
      <c r="A61" s="1286" t="s">
        <v>49</v>
      </c>
      <c r="B61" s="1286" t="s">
        <v>54</v>
      </c>
      <c r="C61" s="335">
        <v>1020</v>
      </c>
      <c r="D61" s="335">
        <v>85557055.239697501</v>
      </c>
      <c r="E61" s="335">
        <v>2989</v>
      </c>
      <c r="F61" s="335">
        <v>42904543.602755703</v>
      </c>
    </row>
    <row r="62" spans="1:6">
      <c r="A62" s="1286" t="s">
        <v>49</v>
      </c>
      <c r="B62" s="1286" t="s">
        <v>55</v>
      </c>
      <c r="C62" s="335">
        <v>41</v>
      </c>
      <c r="D62" s="335">
        <v>8942939.5861704797</v>
      </c>
      <c r="E62" s="335">
        <v>64</v>
      </c>
      <c r="F62" s="335">
        <v>4333536.9887315603</v>
      </c>
    </row>
    <row r="63" spans="1:6">
      <c r="A63" s="1286" t="s">
        <v>49</v>
      </c>
      <c r="B63" s="1286" t="s">
        <v>29</v>
      </c>
      <c r="C63" s="335">
        <v>106</v>
      </c>
      <c r="D63" s="335">
        <v>14213896.3473101</v>
      </c>
      <c r="E63" s="335">
        <v>79</v>
      </c>
      <c r="F63" s="335">
        <v>3068260.5565309701</v>
      </c>
    </row>
    <row r="64" spans="1:6">
      <c r="A64" s="1286" t="s">
        <v>56</v>
      </c>
      <c r="B64" s="1286" t="s">
        <v>57</v>
      </c>
      <c r="C64" s="335">
        <v>0</v>
      </c>
      <c r="D64" s="335">
        <v>0</v>
      </c>
      <c r="E64" s="335">
        <v>0</v>
      </c>
      <c r="F64" s="335">
        <v>0</v>
      </c>
    </row>
    <row r="65" spans="1:6">
      <c r="A65" s="1286" t="s">
        <v>56</v>
      </c>
      <c r="B65" s="1286" t="s">
        <v>29</v>
      </c>
      <c r="C65" s="335">
        <v>5</v>
      </c>
      <c r="D65" s="335">
        <v>215573.72533676299</v>
      </c>
      <c r="E65" s="335">
        <v>8</v>
      </c>
      <c r="F65" s="335">
        <v>172521.566891447</v>
      </c>
    </row>
    <row r="66" spans="1:6">
      <c r="A66" s="1286" t="s">
        <v>56</v>
      </c>
      <c r="B66" s="1286" t="s">
        <v>58</v>
      </c>
      <c r="C66" s="335">
        <v>0</v>
      </c>
      <c r="D66" s="335">
        <v>0</v>
      </c>
      <c r="E66" s="335">
        <v>4</v>
      </c>
      <c r="F66" s="335">
        <v>37145.791246906898</v>
      </c>
    </row>
    <row r="67" spans="1:6">
      <c r="A67" s="1287" t="s">
        <v>56</v>
      </c>
      <c r="B67" s="1287" t="s">
        <v>59</v>
      </c>
      <c r="C67" s="335">
        <v>0</v>
      </c>
      <c r="D67" s="335">
        <v>0</v>
      </c>
      <c r="E67" s="335">
        <v>0</v>
      </c>
      <c r="F67" s="335">
        <v>0</v>
      </c>
    </row>
    <row r="68" spans="1:6">
      <c r="A68" s="1282" t="s">
        <v>56</v>
      </c>
      <c r="B68" s="1282" t="s">
        <v>60</v>
      </c>
      <c r="C68" s="335">
        <v>12</v>
      </c>
      <c r="D68" s="335">
        <v>2610227.0941152899</v>
      </c>
      <c r="E68" s="335">
        <v>55</v>
      </c>
      <c r="F68" s="335">
        <v>6292727.2312460802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137359202</v>
      </c>
      <c r="E73" s="335">
        <v>141125932.84531495</v>
      </c>
    </row>
    <row r="74" spans="1:6">
      <c r="A74" s="1286" t="s">
        <v>64</v>
      </c>
      <c r="B74" s="1286" t="s">
        <v>772</v>
      </c>
      <c r="C74" s="1297" t="s">
        <v>766</v>
      </c>
      <c r="D74" s="335">
        <v>15703569.259499241</v>
      </c>
      <c r="E74" s="335">
        <v>17008622.394396622</v>
      </c>
    </row>
    <row r="75" spans="1:6">
      <c r="A75" s="1286" t="s">
        <v>65</v>
      </c>
      <c r="B75" s="1286" t="s">
        <v>771</v>
      </c>
      <c r="C75" s="1297" t="s">
        <v>767</v>
      </c>
      <c r="D75" s="335">
        <v>47404951</v>
      </c>
      <c r="E75" s="335">
        <v>44703077.540165119</v>
      </c>
    </row>
    <row r="76" spans="1:6">
      <c r="A76" s="1286" t="s">
        <v>65</v>
      </c>
      <c r="B76" s="1286" t="s">
        <v>772</v>
      </c>
      <c r="C76" s="1297" t="s">
        <v>768</v>
      </c>
      <c r="D76" s="335">
        <v>5440464.2594992416</v>
      </c>
      <c r="E76" s="335">
        <v>5647702.2655687891</v>
      </c>
    </row>
    <row r="77" spans="1:6">
      <c r="A77" s="1286" t="s">
        <v>66</v>
      </c>
      <c r="B77" s="1286" t="s">
        <v>771</v>
      </c>
      <c r="C77" s="1297" t="s">
        <v>769</v>
      </c>
      <c r="D77" s="335">
        <v>41856030</v>
      </c>
      <c r="E77" s="335">
        <v>50407574.562665477</v>
      </c>
    </row>
    <row r="78" spans="1:6">
      <c r="A78" s="1282" t="s">
        <v>66</v>
      </c>
      <c r="B78" s="1282" t="s">
        <v>772</v>
      </c>
      <c r="C78" s="1282" t="s">
        <v>770</v>
      </c>
      <c r="D78" s="1282">
        <v>2187086</v>
      </c>
      <c r="E78" s="1282">
        <v>2188248.0430297619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2746207.4810015173</v>
      </c>
      <c r="C83" s="335">
        <v>2592003.3615565971</v>
      </c>
    </row>
    <row r="84" spans="1:6">
      <c r="A84" s="1282" t="s">
        <v>337</v>
      </c>
      <c r="B84" s="338">
        <v>504110.85973666154</v>
      </c>
      <c r="C84" s="338">
        <v>509799.24737003481</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4100.1233638840449</v>
      </c>
    </row>
    <row r="92" spans="1:6">
      <c r="A92" s="1282" t="s">
        <v>69</v>
      </c>
      <c r="B92" s="338">
        <v>4420.1565138707074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18029</v>
      </c>
    </row>
    <row r="98" spans="1:6">
      <c r="A98" s="1286" t="s">
        <v>72</v>
      </c>
      <c r="B98" s="335">
        <v>6</v>
      </c>
    </row>
    <row r="99" spans="1:6">
      <c r="A99" s="1286" t="s">
        <v>73</v>
      </c>
      <c r="B99" s="335">
        <v>78</v>
      </c>
    </row>
    <row r="100" spans="1:6">
      <c r="A100" s="1286" t="s">
        <v>74</v>
      </c>
      <c r="B100" s="335">
        <v>5998</v>
      </c>
    </row>
    <row r="101" spans="1:6">
      <c r="A101" s="1286" t="s">
        <v>75</v>
      </c>
      <c r="B101" s="335">
        <v>100</v>
      </c>
    </row>
    <row r="102" spans="1:6">
      <c r="A102" s="1286" t="s">
        <v>76</v>
      </c>
      <c r="B102" s="335">
        <v>847</v>
      </c>
    </row>
    <row r="103" spans="1:6">
      <c r="A103" s="1286" t="s">
        <v>77</v>
      </c>
      <c r="B103" s="335">
        <v>301</v>
      </c>
    </row>
    <row r="104" spans="1:6">
      <c r="A104" s="1286" t="s">
        <v>78</v>
      </c>
      <c r="B104" s="335">
        <v>6677</v>
      </c>
    </row>
    <row r="105" spans="1:6">
      <c r="A105" s="1282" t="s">
        <v>79</v>
      </c>
      <c r="B105" s="1282">
        <v>29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22</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2</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377717.64952082169</v>
      </c>
      <c r="C3" s="44" t="s">
        <v>170</v>
      </c>
      <c r="D3" s="44"/>
      <c r="E3" s="157"/>
      <c r="F3" s="44"/>
      <c r="G3" s="44"/>
      <c r="H3" s="44"/>
      <c r="I3" s="44"/>
      <c r="J3" s="44"/>
      <c r="K3" s="97"/>
    </row>
    <row r="4" spans="1:11">
      <c r="A4" s="365" t="s">
        <v>171</v>
      </c>
      <c r="B4" s="50">
        <f>IF(ISERROR('SEAP template'!B78+'SEAP template'!C78),0,'SEAP template'!B78+'SEAP template'!C78)</f>
        <v>14932.779877754752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0.2122912456182289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3961.5160000000001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3961.5160000000001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0.2122912456182289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840.99516617654365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143619.615565541</v>
      </c>
      <c r="C5" s="18">
        <f>IF(ISERROR('Eigen informatie GS &amp; warmtenet'!B57),0,'Eigen informatie GS &amp; warmtenet'!B57)</f>
        <v>0</v>
      </c>
      <c r="D5" s="31">
        <f>(SUM(HH_hh_gas_kWh,HH_rest_gas_kWh)/1000)*0.902</f>
        <v>287796.97989314137</v>
      </c>
      <c r="E5" s="18">
        <f>B46*B57</f>
        <v>2777.2538426773694</v>
      </c>
      <c r="F5" s="18">
        <f>B51*B62</f>
        <v>0</v>
      </c>
      <c r="G5" s="19"/>
      <c r="H5" s="18"/>
      <c r="I5" s="18"/>
      <c r="J5" s="18">
        <f>B50*B61+C50*C61</f>
        <v>0</v>
      </c>
      <c r="K5" s="18"/>
      <c r="L5" s="18"/>
      <c r="M5" s="18"/>
      <c r="N5" s="18">
        <f>B48*B59+C48*C59</f>
        <v>11563.140646627748</v>
      </c>
      <c r="O5" s="18">
        <f>B69*B70*B71</f>
        <v>117.25</v>
      </c>
      <c r="P5" s="18">
        <f>B77*B78*B79/1000-B77*B78*B79/1000/B80</f>
        <v>514.79999999999995</v>
      </c>
    </row>
    <row r="6" spans="1:16">
      <c r="A6" s="17" t="s">
        <v>639</v>
      </c>
      <c r="B6" s="780">
        <f>kWh_PV_kleiner_dan_10kW</f>
        <v>4100.1233638840449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147719.73892942505</v>
      </c>
      <c r="C8" s="22">
        <f>C5</f>
        <v>0</v>
      </c>
      <c r="D8" s="22">
        <f>D5</f>
        <v>287796.97989314137</v>
      </c>
      <c r="E8" s="22">
        <f>E5</f>
        <v>2777.2538426773694</v>
      </c>
      <c r="F8" s="22">
        <f>F5</f>
        <v>0</v>
      </c>
      <c r="G8" s="22"/>
      <c r="H8" s="22"/>
      <c r="I8" s="22"/>
      <c r="J8" s="22">
        <f>J5</f>
        <v>0</v>
      </c>
      <c r="K8" s="22"/>
      <c r="L8" s="22">
        <f>L5</f>
        <v>0</v>
      </c>
      <c r="M8" s="22">
        <f>M5</f>
        <v>0</v>
      </c>
      <c r="N8" s="22">
        <f>N5</f>
        <v>11563.140646627748</v>
      </c>
      <c r="O8" s="22">
        <f>O5</f>
        <v>117.25</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0.2122912456182289</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31359.607379727222</v>
      </c>
      <c r="C12" s="24">
        <f ca="1">C10*C8</f>
        <v>0</v>
      </c>
      <c r="D12" s="24">
        <f>D8*D10</f>
        <v>58134.989938414561</v>
      </c>
      <c r="E12" s="24">
        <f>E10*E8</f>
        <v>630.43662228776293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18029</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1.2629533678756477</v>
      </c>
      <c r="D20" s="232"/>
      <c r="E20" s="16"/>
    </row>
    <row r="21" spans="1:7">
      <c r="A21" s="174" t="s">
        <v>74</v>
      </c>
      <c r="B21" s="38">
        <f>aantalw2001_elektriciteit</f>
        <v>5998</v>
      </c>
      <c r="C21" s="170">
        <f>IF(ISERROR(B21/SUM($B$20,$B$21,$B$22)*100),0,B21/SUM($B$20,$B$21,$B$22)*100)</f>
        <v>97.117875647668399</v>
      </c>
      <c r="D21" s="232"/>
      <c r="E21" s="16"/>
    </row>
    <row r="22" spans="1:7">
      <c r="A22" s="174" t="s">
        <v>75</v>
      </c>
      <c r="B22" s="38">
        <f>aantalw2001_hout</f>
        <v>100</v>
      </c>
      <c r="C22" s="170">
        <f>IF(ISERROR(B22/SUM($B$20,$B$21,$B$22)*100),0,B22/SUM($B$20,$B$21,$B$22)*100)</f>
        <v>1.6191709844559583</v>
      </c>
      <c r="D22" s="232"/>
      <c r="E22" s="16"/>
    </row>
    <row r="23" spans="1:7">
      <c r="A23" s="174" t="s">
        <v>76</v>
      </c>
      <c r="B23" s="38">
        <f>aantalw2001_niet_gespec</f>
        <v>847</v>
      </c>
      <c r="C23" s="169" t="s">
        <v>111</v>
      </c>
      <c r="D23" s="231"/>
      <c r="E23" s="16"/>
    </row>
    <row r="24" spans="1:7">
      <c r="A24" s="174" t="s">
        <v>77</v>
      </c>
      <c r="B24" s="38">
        <f>aantalw2001_steenkool</f>
        <v>301</v>
      </c>
      <c r="C24" s="169" t="s">
        <v>111</v>
      </c>
      <c r="D24" s="232"/>
      <c r="E24" s="16"/>
    </row>
    <row r="25" spans="1:7">
      <c r="A25" s="174" t="s">
        <v>78</v>
      </c>
      <c r="B25" s="38">
        <f>aantalw2001_stookolie</f>
        <v>6677</v>
      </c>
      <c r="C25" s="169" t="s">
        <v>111</v>
      </c>
      <c r="D25" s="231"/>
      <c r="E25" s="53"/>
    </row>
    <row r="26" spans="1:7">
      <c r="A26" s="174" t="s">
        <v>79</v>
      </c>
      <c r="B26" s="38">
        <f>aantalw2001_WP</f>
        <v>29</v>
      </c>
      <c r="C26" s="169" t="s">
        <v>111</v>
      </c>
      <c r="D26" s="231"/>
      <c r="E26" s="16"/>
    </row>
    <row r="27" spans="1:7" s="16" customFormat="1">
      <c r="A27" s="174"/>
      <c r="B27" s="30"/>
      <c r="C27" s="37"/>
      <c r="D27" s="231"/>
    </row>
    <row r="28" spans="1:7" s="16" customFormat="1">
      <c r="A28" s="233" t="s">
        <v>665</v>
      </c>
      <c r="B28" s="38">
        <f>aantalHuishoudens2011</f>
        <v>35841</v>
      </c>
      <c r="C28" s="37"/>
      <c r="D28" s="231"/>
    </row>
    <row r="29" spans="1:7" s="16" customFormat="1">
      <c r="A29" s="233" t="s">
        <v>666</v>
      </c>
      <c r="B29" s="38">
        <f>SUM(HH_hh_gas_aantal,HH_rest_gas_aantal)</f>
        <v>25835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25835</v>
      </c>
      <c r="C32" s="170">
        <f>IF(ISERROR(B32/SUM($B$32,$B$34,$B$35,$B$36,$B$38,$B$39)*100),0,B32/SUM($B$32,$B$34,$B$35,$B$36,$B$38,$B$39)*100)</f>
        <v>72.136594627799184</v>
      </c>
      <c r="D32" s="236"/>
      <c r="G32" s="16"/>
    </row>
    <row r="33" spans="1:7">
      <c r="A33" s="174" t="s">
        <v>72</v>
      </c>
      <c r="B33" s="35" t="s">
        <v>111</v>
      </c>
      <c r="C33" s="170"/>
      <c r="D33" s="236"/>
      <c r="G33" s="16"/>
    </row>
    <row r="34" spans="1:7">
      <c r="A34" s="174" t="s">
        <v>73</v>
      </c>
      <c r="B34" s="34">
        <f>IF((($B$28-$B$32-$B$39-$B$77-$B$38)*C20/100)&lt;0,0,($B$28-$B$32-$B$39-$B$77-$B$38)*C20/100)</f>
        <v>126.03011658031087</v>
      </c>
      <c r="C34" s="170">
        <f>IF(ISERROR(B34/SUM($B$32,$B$34,$B$35,$B$36,$B$38,$B$39)*100),0,B34/SUM($B$32,$B$34,$B$35,$B$36,$B$38,$B$39)*100)</f>
        <v>0.35190181655305436</v>
      </c>
      <c r="D34" s="236"/>
      <c r="G34" s="16"/>
    </row>
    <row r="35" spans="1:7">
      <c r="A35" s="174" t="s">
        <v>74</v>
      </c>
      <c r="B35" s="34">
        <f>IF((($B$28-$B$32-$B$39-$B$77-$B$38)*C21/100)&lt;0,0,($B$28-$B$32-$B$39-$B$77-$B$38)*C21/100)</f>
        <v>9691.3928108808286</v>
      </c>
      <c r="C35" s="170">
        <f>IF(ISERROR(B35/SUM($B$32,$B$34,$B$35,$B$36,$B$38,$B$39)*100),0,B35/SUM($B$32,$B$34,$B$35,$B$36,$B$38,$B$39)*100)</f>
        <v>27.060347380579742</v>
      </c>
      <c r="D35" s="236"/>
      <c r="G35" s="16"/>
    </row>
    <row r="36" spans="1:7">
      <c r="A36" s="174" t="s">
        <v>75</v>
      </c>
      <c r="B36" s="34">
        <f>IF((($B$28-$B$32-$B$39-$B$77-$B$38)*C22/100)&lt;0,0,($B$28-$B$32-$B$39-$B$77-$B$38)*C22/100)</f>
        <v>161.57707253886008</v>
      </c>
      <c r="C36" s="170">
        <f>IF(ISERROR(B36/SUM($B$32,$B$34,$B$35,$B$36,$B$38,$B$39)*100),0,B36/SUM($B$32,$B$34,$B$35,$B$36,$B$38,$B$39)*100)</f>
        <v>0.45115617506801831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25835</v>
      </c>
      <c r="C44" s="35" t="s">
        <v>111</v>
      </c>
      <c r="D44" s="177"/>
    </row>
    <row r="45" spans="1:7">
      <c r="A45" s="174" t="s">
        <v>72</v>
      </c>
      <c r="B45" s="34" t="str">
        <f t="shared" si="0"/>
        <v>-</v>
      </c>
      <c r="C45" s="35" t="s">
        <v>111</v>
      </c>
      <c r="D45" s="177"/>
    </row>
    <row r="46" spans="1:7">
      <c r="A46" s="174" t="s">
        <v>73</v>
      </c>
      <c r="B46" s="34">
        <f t="shared" si="0"/>
        <v>126.03011658031087</v>
      </c>
      <c r="C46" s="35" t="s">
        <v>111</v>
      </c>
      <c r="D46" s="177"/>
    </row>
    <row r="47" spans="1:7">
      <c r="A47" s="174" t="s">
        <v>74</v>
      </c>
      <c r="B47" s="34">
        <f t="shared" si="0"/>
        <v>9691.3928108808286</v>
      </c>
      <c r="C47" s="35" t="s">
        <v>111</v>
      </c>
      <c r="D47" s="177"/>
    </row>
    <row r="48" spans="1:7">
      <c r="A48" s="174" t="s">
        <v>75</v>
      </c>
      <c r="B48" s="34">
        <f t="shared" si="0"/>
        <v>161.57707253886008</v>
      </c>
      <c r="C48" s="34">
        <f>B48*10</f>
        <v>1615.7707253886008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155784.59550087774</v>
      </c>
      <c r="C5" s="18">
        <f>IF(ISERROR('Eigen informatie GS &amp; warmtenet'!B58),0,'Eigen informatie GS &amp; warmtenet'!B58)</f>
        <v>0</v>
      </c>
      <c r="D5" s="31">
        <f>SUM(D6:D12)</f>
        <v>185160.51309949081</v>
      </c>
      <c r="E5" s="18">
        <f>SUM(E6:E12)</f>
        <v>1793.242751475384</v>
      </c>
      <c r="F5" s="18">
        <f>SUM(F6:F12)</f>
        <v>33530.770514623044</v>
      </c>
      <c r="G5" s="19"/>
      <c r="H5" s="18"/>
      <c r="I5" s="18"/>
      <c r="J5" s="18">
        <f>SUM(J6:J12)</f>
        <v>0</v>
      </c>
      <c r="K5" s="18"/>
      <c r="L5" s="18"/>
      <c r="M5" s="18"/>
      <c r="N5" s="18">
        <f>SUM(N6:N12)</f>
        <v>15747.733490861154</v>
      </c>
      <c r="O5" s="18">
        <f>B38*B39*B40</f>
        <v>3.1266666666666669</v>
      </c>
      <c r="P5" s="18">
        <f>B46*B47*B48/1000-B46*B47*B48/1000/B49</f>
        <v>0</v>
      </c>
      <c r="R5" s="33"/>
    </row>
    <row r="6" spans="1:18">
      <c r="A6" s="33" t="s">
        <v>54</v>
      </c>
      <c r="B6" s="38">
        <f>B26</f>
        <v>42904.543602755701</v>
      </c>
      <c r="C6" s="34"/>
      <c r="D6" s="38">
        <f>IF(ISERROR(TER_kantoor_gas_kWh/1000),0,TER_kantoor_gas_kWh/1000)*0.902</f>
        <v>77172.463826207138</v>
      </c>
      <c r="E6" s="34">
        <f>$C$26*'E Balans VL '!I12/100/3.6*1000000</f>
        <v>70.415051766921863</v>
      </c>
      <c r="F6" s="34">
        <f>$C$26*('E Balans VL '!L12+'E Balans VL '!N12)/100/3.6*1000000</f>
        <v>5057.4362016737687</v>
      </c>
      <c r="G6" s="35"/>
      <c r="H6" s="34"/>
      <c r="I6" s="34"/>
      <c r="J6" s="34">
        <f>$C$26*('E Balans VL '!D12+'E Balans VL '!E12)/100/3.6*1000000</f>
        <v>0</v>
      </c>
      <c r="K6" s="34"/>
      <c r="L6" s="34"/>
      <c r="M6" s="34"/>
      <c r="N6" s="34">
        <f>$C$26*'E Balans VL '!Y12/100/3.6*1000000</f>
        <v>8.668659865289861</v>
      </c>
      <c r="O6" s="34"/>
      <c r="P6" s="34"/>
      <c r="R6" s="33"/>
    </row>
    <row r="7" spans="1:18">
      <c r="A7" s="33" t="s">
        <v>53</v>
      </c>
      <c r="B7" s="38">
        <f t="shared" ref="B7:B12" si="0">B27</f>
        <v>23787.673266829301</v>
      </c>
      <c r="C7" s="34"/>
      <c r="D7" s="38">
        <f>IF(ISERROR(TER_horeca_gas_kWh/1000),0,TER_horeca_gas_kWh/1000)*0.902</f>
        <v>26857.256373017299</v>
      </c>
      <c r="E7" s="34">
        <f>$C$27*'E Balans VL '!I9/100/3.6*1000000</f>
        <v>1234.4081112612096</v>
      </c>
      <c r="F7" s="34">
        <f>$C$27*('E Balans VL '!L9+'E Balans VL '!N9)/100/3.6*1000000</f>
        <v>5428.3642999117146</v>
      </c>
      <c r="G7" s="35"/>
      <c r="H7" s="34"/>
      <c r="I7" s="34"/>
      <c r="J7" s="34">
        <f>$C$27*('E Balans VL '!D9+'E Balans VL '!E9)/100/3.6*1000000</f>
        <v>0</v>
      </c>
      <c r="K7" s="34"/>
      <c r="L7" s="34"/>
      <c r="M7" s="34"/>
      <c r="N7" s="34">
        <f>$C$27*'E Balans VL '!Y9/100/3.6*1000000</f>
        <v>2.5119673958003097</v>
      </c>
      <c r="O7" s="34"/>
      <c r="P7" s="34"/>
      <c r="R7" s="33"/>
    </row>
    <row r="8" spans="1:18">
      <c r="A8" s="6" t="s">
        <v>52</v>
      </c>
      <c r="B8" s="38">
        <f t="shared" si="0"/>
        <v>42972.628507098103</v>
      </c>
      <c r="C8" s="34"/>
      <c r="D8" s="38">
        <f>IF(ISERROR(TER_handel_gas_kWh/1000),0,TER_handel_gas_kWh/1000)*0.902</f>
        <v>20600.744512116908</v>
      </c>
      <c r="E8" s="34">
        <f>$C$28*'E Balans VL '!I13/100/3.6*1000000</f>
        <v>231.41288514491376</v>
      </c>
      <c r="F8" s="34">
        <f>$C$28*('E Balans VL '!L13+'E Balans VL '!N13)/100/3.6*1000000</f>
        <v>8763.3959840984426</v>
      </c>
      <c r="G8" s="35"/>
      <c r="H8" s="34"/>
      <c r="I8" s="34"/>
      <c r="J8" s="34">
        <f>$C$28*('E Balans VL '!D13+'E Balans VL '!E13)/100/3.6*1000000</f>
        <v>0</v>
      </c>
      <c r="K8" s="34"/>
      <c r="L8" s="34"/>
      <c r="M8" s="34"/>
      <c r="N8" s="34">
        <f>$C$28*'E Balans VL '!Y13/100/3.6*1000000</f>
        <v>213.68018837085748</v>
      </c>
      <c r="O8" s="34"/>
      <c r="P8" s="34"/>
      <c r="R8" s="33"/>
    </row>
    <row r="9" spans="1:18">
      <c r="A9" s="33" t="s">
        <v>51</v>
      </c>
      <c r="B9" s="38">
        <f t="shared" si="0"/>
        <v>12368.124928271</v>
      </c>
      <c r="C9" s="34"/>
      <c r="D9" s="38">
        <f>IF(ISERROR(TER_gezond_gas_kWh/1000),0,TER_gezond_gas_kWh/1000)*0.902</f>
        <v>26731.521301732053</v>
      </c>
      <c r="E9" s="34">
        <f>$C$29*'E Balans VL '!I10/100/3.6*1000000</f>
        <v>12.256952453651152</v>
      </c>
      <c r="F9" s="34">
        <f>$C$29*('E Balans VL '!L10+'E Balans VL '!N10)/100/3.6*1000000</f>
        <v>4291.382852585778</v>
      </c>
      <c r="G9" s="35"/>
      <c r="H9" s="34"/>
      <c r="I9" s="34"/>
      <c r="J9" s="34">
        <f>$C$29*('E Balans VL '!D10+'E Balans VL '!E10)/100/3.6*1000000</f>
        <v>0</v>
      </c>
      <c r="K9" s="34"/>
      <c r="L9" s="34"/>
      <c r="M9" s="34"/>
      <c r="N9" s="34">
        <f>$C$29*'E Balans VL '!Y10/100/3.6*1000000</f>
        <v>106.57506106138553</v>
      </c>
      <c r="O9" s="34"/>
      <c r="P9" s="34"/>
      <c r="R9" s="33"/>
    </row>
    <row r="10" spans="1:18">
      <c r="A10" s="33" t="s">
        <v>50</v>
      </c>
      <c r="B10" s="38">
        <f t="shared" si="0"/>
        <v>26349.8276506611</v>
      </c>
      <c r="C10" s="34"/>
      <c r="D10" s="38">
        <f>IF(ISERROR(TER_ander_gas_kWh/1000),0,TER_ander_gas_kWh/1000)*0.902</f>
        <v>12911.061074417947</v>
      </c>
      <c r="E10" s="34">
        <f>$C$30*'E Balans VL '!I14/100/3.6*1000000</f>
        <v>215.5679249596387</v>
      </c>
      <c r="F10" s="34">
        <f>$C$30*('E Balans VL '!L14+'E Balans VL '!N14)/100/3.6*1000000</f>
        <v>7703.6168591402657</v>
      </c>
      <c r="G10" s="35"/>
      <c r="H10" s="34"/>
      <c r="I10" s="34"/>
      <c r="J10" s="34">
        <f>$C$30*('E Balans VL '!D14+'E Balans VL '!E14)/100/3.6*1000000</f>
        <v>0</v>
      </c>
      <c r="K10" s="34"/>
      <c r="L10" s="34"/>
      <c r="M10" s="34"/>
      <c r="N10" s="34">
        <f>$C$30*'E Balans VL '!Y14/100/3.6*1000000</f>
        <v>15200.39316491353</v>
      </c>
      <c r="O10" s="34"/>
      <c r="P10" s="34"/>
      <c r="R10" s="33"/>
    </row>
    <row r="11" spans="1:18">
      <c r="A11" s="33" t="s">
        <v>55</v>
      </c>
      <c r="B11" s="38">
        <f t="shared" si="0"/>
        <v>4333.5369887315601</v>
      </c>
      <c r="C11" s="34"/>
      <c r="D11" s="38">
        <f>IF(ISERROR(TER_onderwijs_gas_kWh/1000),0,TER_onderwijs_gas_kWh/1000)*0.902</f>
        <v>8066.5315067257725</v>
      </c>
      <c r="E11" s="34">
        <f>$C$31*'E Balans VL '!I11/100/3.6*1000000</f>
        <v>2.671009349774891</v>
      </c>
      <c r="F11" s="34">
        <f>$C$31*('E Balans VL '!L11+'E Balans VL '!N11)/100/3.6*1000000</f>
        <v>1675.4155800421172</v>
      </c>
      <c r="G11" s="35"/>
      <c r="H11" s="34"/>
      <c r="I11" s="34"/>
      <c r="J11" s="34">
        <f>$C$31*('E Balans VL '!D11+'E Balans VL '!E11)/100/3.6*1000000</f>
        <v>0</v>
      </c>
      <c r="K11" s="34"/>
      <c r="L11" s="34"/>
      <c r="M11" s="34"/>
      <c r="N11" s="34">
        <f>$C$31*'E Balans VL '!Y11/100/3.6*1000000</f>
        <v>14.096067167195251</v>
      </c>
      <c r="O11" s="34"/>
      <c r="P11" s="34"/>
      <c r="R11" s="33"/>
    </row>
    <row r="12" spans="1:18">
      <c r="A12" s="33" t="s">
        <v>260</v>
      </c>
      <c r="B12" s="38">
        <f t="shared" si="0"/>
        <v>3068.26055653097</v>
      </c>
      <c r="C12" s="34"/>
      <c r="D12" s="38">
        <f>IF(ISERROR(TER_rest_gas_kWh/1000),0,TER_rest_gas_kWh/1000)*0.902</f>
        <v>12820.93450527371</v>
      </c>
      <c r="E12" s="34">
        <f>$C$32*'E Balans VL '!I8/100/3.6*1000000</f>
        <v>26.51081653927389</v>
      </c>
      <c r="F12" s="34">
        <f>$C$32*('E Balans VL '!L8+'E Balans VL '!N8)/100/3.6*1000000</f>
        <v>611.15873717095826</v>
      </c>
      <c r="G12" s="35"/>
      <c r="H12" s="34"/>
      <c r="I12" s="34"/>
      <c r="J12" s="34">
        <f>$C$32*('E Balans VL '!D8+'E Balans VL '!E8)/100/3.6*1000000</f>
        <v>0</v>
      </c>
      <c r="K12" s="34"/>
      <c r="L12" s="34"/>
      <c r="M12" s="34"/>
      <c r="N12" s="34">
        <f>$C$32*'E Balans VL '!Y8/100/3.6*1000000</f>
        <v>201.80838208709562</v>
      </c>
      <c r="O12" s="34"/>
      <c r="P12" s="34"/>
      <c r="R12" s="33"/>
    </row>
    <row r="13" spans="1:18">
      <c r="A13" s="17" t="s">
        <v>502</v>
      </c>
      <c r="B13" s="250">
        <f ca="1">'lokale energieproductie'!N91+'lokale energieproductie'!N60</f>
        <v>45</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155829.59550087774</v>
      </c>
      <c r="C16" s="22">
        <f t="shared" ca="1" si="1"/>
        <v>64.285714285714292</v>
      </c>
      <c r="D16" s="22">
        <f t="shared" ca="1" si="1"/>
        <v>185031.94167091939</v>
      </c>
      <c r="E16" s="22">
        <f t="shared" si="1"/>
        <v>1793.242751475384</v>
      </c>
      <c r="F16" s="22">
        <f t="shared" ca="1" si="1"/>
        <v>33530.770514623044</v>
      </c>
      <c r="G16" s="22">
        <f t="shared" si="1"/>
        <v>0</v>
      </c>
      <c r="H16" s="22">
        <f t="shared" si="1"/>
        <v>0</v>
      </c>
      <c r="I16" s="22">
        <f t="shared" si="1"/>
        <v>0</v>
      </c>
      <c r="J16" s="22">
        <f t="shared" si="1"/>
        <v>0</v>
      </c>
      <c r="K16" s="22">
        <f t="shared" si="1"/>
        <v>0</v>
      </c>
      <c r="L16" s="22">
        <f t="shared" ca="1" si="1"/>
        <v>0</v>
      </c>
      <c r="M16" s="22">
        <f t="shared" si="1"/>
        <v>0</v>
      </c>
      <c r="N16" s="22">
        <f t="shared" ca="1" si="1"/>
        <v>15747.733490861154</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0.2122912456182289</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33081.258933066092</v>
      </c>
      <c r="C20" s="24">
        <f t="shared" ref="C20:P20" ca="1" si="2">C16*C18</f>
        <v>15.277310924369752</v>
      </c>
      <c r="D20" s="24">
        <f t="shared" ca="1" si="2"/>
        <v>37376.452217525723</v>
      </c>
      <c r="E20" s="24">
        <f t="shared" si="2"/>
        <v>407.06610458491218</v>
      </c>
      <c r="F20" s="24">
        <f t="shared" ca="1" si="2"/>
        <v>8952.7157274043529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42904.543602755701</v>
      </c>
      <c r="C26" s="40">
        <f>IF(ISERROR(B26*3.6/1000000/'E Balans VL '!Z12*100),0,B26*3.6/1000000/'E Balans VL '!Z12*100)</f>
        <v>0.91169078337842535</v>
      </c>
      <c r="D26" s="240" t="s">
        <v>707</v>
      </c>
      <c r="F26" s="6"/>
    </row>
    <row r="27" spans="1:18">
      <c r="A27" s="234" t="s">
        <v>53</v>
      </c>
      <c r="B27" s="34">
        <f>IF(ISERROR(TER_horeca_ele_kWh/1000),0,TER_horeca_ele_kWh/1000)</f>
        <v>23787.673266829301</v>
      </c>
      <c r="C27" s="40">
        <f>IF(ISERROR(B27*3.6/1000000/'E Balans VL '!Z9*100),0,B27*3.6/1000000/'E Balans VL '!Z9*100)</f>
        <v>1.8722738353791131</v>
      </c>
      <c r="D27" s="240" t="s">
        <v>707</v>
      </c>
      <c r="F27" s="6"/>
    </row>
    <row r="28" spans="1:18">
      <c r="A28" s="174" t="s">
        <v>52</v>
      </c>
      <c r="B28" s="34">
        <f>IF(ISERROR(TER_handel_ele_kWh/1000),0,TER_handel_ele_kWh/1000)</f>
        <v>42972.628507098103</v>
      </c>
      <c r="C28" s="40">
        <f>IF(ISERROR(B28*3.6/1000000/'E Balans VL '!Z13*100),0,B28*3.6/1000000/'E Balans VL '!Z13*100)</f>
        <v>1.2036863225266388</v>
      </c>
      <c r="D28" s="240" t="s">
        <v>707</v>
      </c>
      <c r="F28" s="6"/>
    </row>
    <row r="29" spans="1:18">
      <c r="A29" s="234" t="s">
        <v>51</v>
      </c>
      <c r="B29" s="34">
        <f>IF(ISERROR(TER_gezond_ele_kWh/1000),0,TER_gezond_ele_kWh/1000)</f>
        <v>12368.124928271</v>
      </c>
      <c r="C29" s="40">
        <f>IF(ISERROR(B29*3.6/1000000/'E Balans VL '!Z10*100),0,B29*3.6/1000000/'E Balans VL '!Z10*100)</f>
        <v>1.5822571753611889</v>
      </c>
      <c r="D29" s="240" t="s">
        <v>707</v>
      </c>
      <c r="F29" s="6"/>
    </row>
    <row r="30" spans="1:18">
      <c r="A30" s="234" t="s">
        <v>50</v>
      </c>
      <c r="B30" s="34">
        <f>IF(ISERROR(TER_ander_ele_kWh/1000),0,TER_ander_ele_kWh/1000)</f>
        <v>26349.8276506611</v>
      </c>
      <c r="C30" s="40">
        <f>IF(ISERROR(B30*3.6/1000000/'E Balans VL '!Z14*100),0,B30*3.6/1000000/'E Balans VL '!Z14*100)</f>
        <v>1.9707450807430886</v>
      </c>
      <c r="D30" s="240" t="s">
        <v>707</v>
      </c>
      <c r="F30" s="6"/>
    </row>
    <row r="31" spans="1:18">
      <c r="A31" s="234" t="s">
        <v>55</v>
      </c>
      <c r="B31" s="34">
        <f>IF(ISERROR(TER_onderwijs_ele_kWh/1000),0,TER_onderwijs_ele_kWh/1000)</f>
        <v>4333.5369887315601</v>
      </c>
      <c r="C31" s="40">
        <f>IF(ISERROR(B31*3.6/1000000/'E Balans VL '!Z11*100),0,B31*3.6/1000000/'E Balans VL '!Z11*100)</f>
        <v>0.91503194853588132</v>
      </c>
      <c r="D31" s="240" t="s">
        <v>707</v>
      </c>
    </row>
    <row r="32" spans="1:18">
      <c r="A32" s="234" t="s">
        <v>260</v>
      </c>
      <c r="B32" s="34">
        <f>IF(ISERROR(TER_rest_ele_kWh/1000),0,TER_rest_ele_kWh/1000)</f>
        <v>3068.26055653097</v>
      </c>
      <c r="C32" s="40">
        <f>IF(ISERROR(B32*3.6/1000000/'E Balans VL '!Z8*100),0,B32*3.6/1000000/'E Balans VL '!Z8*100)</f>
        <v>2.527612202377023E-2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60250.567172429422</v>
      </c>
      <c r="C5" s="18">
        <f>IF(ISERROR('Eigen informatie GS &amp; warmtenet'!B59),0,'Eigen informatie GS &amp; warmtenet'!B59)</f>
        <v>0</v>
      </c>
      <c r="D5" s="31">
        <f>SUM(D6:D15)</f>
        <v>69902.309416121949</v>
      </c>
      <c r="E5" s="18">
        <f>SUM(E6:E15)</f>
        <v>578.86682840768083</v>
      </c>
      <c r="F5" s="18">
        <f>SUM(F6:F15)</f>
        <v>14830.670258976837</v>
      </c>
      <c r="G5" s="19"/>
      <c r="H5" s="18"/>
      <c r="I5" s="18"/>
      <c r="J5" s="18">
        <f>SUM(J6:J15)</f>
        <v>342.59773810935047</v>
      </c>
      <c r="K5" s="18"/>
      <c r="L5" s="18"/>
      <c r="M5" s="18"/>
      <c r="N5" s="18">
        <f>SUM(N6:N15)</f>
        <v>2055.9568335959075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14230.796624279501</v>
      </c>
      <c r="C8" s="34"/>
      <c r="D8" s="38">
        <f>IF( ISERROR(IND_metaal_Gas_kWH/1000),0,IND_metaal_Gas_kWH/1000)*0.902</f>
        <v>10279.935032700627</v>
      </c>
      <c r="E8" s="34">
        <f>C30*'E Balans VL '!I18/100/3.6*1000000</f>
        <v>129.5973002919483</v>
      </c>
      <c r="F8" s="34">
        <f>C30*'E Balans VL '!L18/100/3.6*1000000+C30*'E Balans VL '!N18/100/3.6*1000000</f>
        <v>1876.9340042167316</v>
      </c>
      <c r="G8" s="35"/>
      <c r="H8" s="34"/>
      <c r="I8" s="34"/>
      <c r="J8" s="41">
        <f>C30*'E Balans VL '!D18/100/3.6*1000000+C30*'E Balans VL '!E18/100/3.6*1000000</f>
        <v>233.36440226551514</v>
      </c>
      <c r="K8" s="34"/>
      <c r="L8" s="34"/>
      <c r="M8" s="34"/>
      <c r="N8" s="34">
        <f>C30*'E Balans VL '!Y18/100/3.6*1000000</f>
        <v>48.905594828191127</v>
      </c>
      <c r="O8" s="34"/>
      <c r="P8" s="34"/>
      <c r="R8" s="33"/>
    </row>
    <row r="9" spans="1:18">
      <c r="A9" s="6" t="s">
        <v>33</v>
      </c>
      <c r="B9" s="38">
        <f t="shared" si="0"/>
        <v>8577.8040543655006</v>
      </c>
      <c r="C9" s="34"/>
      <c r="D9" s="38">
        <f>IF( ISERROR(IND_andere_gas_kWh/1000),0,IND_andere_gas_kWh/1000)*0.902</f>
        <v>3512.1746012924609</v>
      </c>
      <c r="E9" s="34">
        <f>C31*'E Balans VL '!I19/100/3.6*1000000</f>
        <v>49.58098928102315</v>
      </c>
      <c r="F9" s="34">
        <f>C31*'E Balans VL '!L19/100/3.6*1000000+C31*'E Balans VL '!N19/100/3.6*1000000</f>
        <v>6824.05587284583</v>
      </c>
      <c r="G9" s="35"/>
      <c r="H9" s="34"/>
      <c r="I9" s="34"/>
      <c r="J9" s="41">
        <f>C31*'E Balans VL '!D19/100/3.6*1000000+C31*'E Balans VL '!E19/100/3.6*1000000</f>
        <v>0.81136498399421908</v>
      </c>
      <c r="K9" s="34"/>
      <c r="L9" s="34"/>
      <c r="M9" s="34"/>
      <c r="N9" s="34">
        <f>C31*'E Balans VL '!Y19/100/3.6*1000000</f>
        <v>649.89846766247592</v>
      </c>
      <c r="O9" s="34"/>
      <c r="P9" s="34"/>
      <c r="R9" s="33"/>
    </row>
    <row r="10" spans="1:18">
      <c r="A10" s="6" t="s">
        <v>41</v>
      </c>
      <c r="B10" s="38">
        <f t="shared" si="0"/>
        <v>14705.355971772</v>
      </c>
      <c r="C10" s="34"/>
      <c r="D10" s="38">
        <f>IF( ISERROR(IND_voed_gas_kWh/1000),0,IND_voed_gas_kWh/1000)*0.902</f>
        <v>13050.859851841467</v>
      </c>
      <c r="E10" s="34">
        <f>C32*'E Balans VL '!I20/100/3.6*1000000</f>
        <v>144.59212063887759</v>
      </c>
      <c r="F10" s="34">
        <f>C32*'E Balans VL '!L20/100/3.6*1000000+C32*'E Balans VL '!N20/100/3.6*1000000</f>
        <v>1633.2217244474314</v>
      </c>
      <c r="G10" s="35"/>
      <c r="H10" s="34"/>
      <c r="I10" s="34"/>
      <c r="J10" s="41">
        <f>C32*'E Balans VL '!D20/100/3.6*1000000+C32*'E Balans VL '!E20/100/3.6*1000000</f>
        <v>5.7960483714664564E-2</v>
      </c>
      <c r="K10" s="34"/>
      <c r="L10" s="34"/>
      <c r="M10" s="34"/>
      <c r="N10" s="34">
        <f>C32*'E Balans VL '!Y20/100/3.6*1000000</f>
        <v>217.7517312985766</v>
      </c>
      <c r="O10" s="34"/>
      <c r="P10" s="34"/>
      <c r="R10" s="33"/>
    </row>
    <row r="11" spans="1:18">
      <c r="A11" s="6" t="s">
        <v>40</v>
      </c>
      <c r="B11" s="38">
        <f t="shared" si="0"/>
        <v>93.669152821270004</v>
      </c>
      <c r="C11" s="34"/>
      <c r="D11" s="38">
        <f>IF( ISERROR(IND_textiel_gas_kWh/1000),0,IND_textiel_gas_kWh/1000)*0.902</f>
        <v>269.99465578096459</v>
      </c>
      <c r="E11" s="34">
        <f>C33*'E Balans VL '!I21/100/3.6*1000000</f>
        <v>0.18239559116156015</v>
      </c>
      <c r="F11" s="34">
        <f>C33*'E Balans VL '!L21/100/3.6*1000000+C33*'E Balans VL '!N21/100/3.6*1000000</f>
        <v>3.089516035706021</v>
      </c>
      <c r="G11" s="35"/>
      <c r="H11" s="34"/>
      <c r="I11" s="34"/>
      <c r="J11" s="41">
        <f>C33*'E Balans VL '!D21/100/3.6*1000000+C33*'E Balans VL '!E21/100/3.6*1000000</f>
        <v>0</v>
      </c>
      <c r="K11" s="34"/>
      <c r="L11" s="34"/>
      <c r="M11" s="34"/>
      <c r="N11" s="34">
        <f>C33*'E Balans VL '!Y21/100/3.6*1000000</f>
        <v>0.97159548123544415</v>
      </c>
      <c r="O11" s="34"/>
      <c r="P11" s="34"/>
      <c r="R11" s="33"/>
    </row>
    <row r="12" spans="1:18">
      <c r="A12" s="6" t="s">
        <v>37</v>
      </c>
      <c r="B12" s="38">
        <f t="shared" si="0"/>
        <v>991.47169792483498</v>
      </c>
      <c r="C12" s="34"/>
      <c r="D12" s="38">
        <f>IF( ISERROR(IND_min_gas_kWh/1000),0,IND_min_gas_kWh/1000)*0.902</f>
        <v>0</v>
      </c>
      <c r="E12" s="34">
        <f>C34*'E Balans VL '!I22/100/3.6*1000000</f>
        <v>25.135571861400873</v>
      </c>
      <c r="F12" s="34">
        <f>C34*'E Balans VL '!L22/100/3.6*1000000+C34*'E Balans VL '!N22/100/3.6*1000000</f>
        <v>274.34367467991183</v>
      </c>
      <c r="G12" s="35"/>
      <c r="H12" s="34"/>
      <c r="I12" s="34"/>
      <c r="J12" s="41">
        <f>C34*'E Balans VL '!D22/100/3.6*1000000+C34*'E Balans VL '!E22/100/3.6*1000000</f>
        <v>6.54787833025323</v>
      </c>
      <c r="K12" s="34"/>
      <c r="L12" s="34"/>
      <c r="M12" s="34"/>
      <c r="N12" s="34">
        <f>C34*'E Balans VL '!Y22/100/3.6*1000000</f>
        <v>0</v>
      </c>
      <c r="O12" s="34"/>
      <c r="P12" s="34"/>
      <c r="R12" s="33"/>
    </row>
    <row r="13" spans="1:18">
      <c r="A13" s="6" t="s">
        <v>39</v>
      </c>
      <c r="B13" s="38">
        <f t="shared" si="0"/>
        <v>1404.74455075282</v>
      </c>
      <c r="C13" s="34"/>
      <c r="D13" s="38">
        <f>IF( ISERROR(IND_papier_gas_kWh/1000),0,IND_papier_gas_kWh/1000)*0.902</f>
        <v>591.20904938326316</v>
      </c>
      <c r="E13" s="34">
        <f>C35*'E Balans VL '!I23/100/3.6*1000000</f>
        <v>47.847636146558791</v>
      </c>
      <c r="F13" s="34">
        <f>C35*'E Balans VL '!L23/100/3.6*1000000+C35*'E Balans VL '!N23/100/3.6*1000000</f>
        <v>232.03083113942859</v>
      </c>
      <c r="G13" s="35"/>
      <c r="H13" s="34"/>
      <c r="I13" s="34"/>
      <c r="J13" s="41">
        <f>C35*'E Balans VL '!D23/100/3.6*1000000+C35*'E Balans VL '!E23/100/3.6*1000000</f>
        <v>0</v>
      </c>
      <c r="K13" s="34"/>
      <c r="L13" s="34"/>
      <c r="M13" s="34"/>
      <c r="N13" s="34">
        <f>C35*'E Balans VL '!Y23/100/3.6*1000000</f>
        <v>516.90832234854759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20246.7251205135</v>
      </c>
      <c r="C15" s="34"/>
      <c r="D15" s="38">
        <f>IF( ISERROR(IND_rest_gas_kWh/1000),0,IND_rest_gas_kWh/1000)*0.902</f>
        <v>42198.136225123162</v>
      </c>
      <c r="E15" s="34">
        <f>C37*'E Balans VL '!I15/100/3.6*1000000</f>
        <v>181.93081459671058</v>
      </c>
      <c r="F15" s="34">
        <f>C37*'E Balans VL '!L15/100/3.6*1000000+C37*'E Balans VL '!N15/100/3.6*1000000</f>
        <v>3986.9946356117962</v>
      </c>
      <c r="G15" s="35"/>
      <c r="H15" s="34"/>
      <c r="I15" s="34"/>
      <c r="J15" s="41">
        <f>C37*'E Balans VL '!D15/100/3.6*1000000+C37*'E Balans VL '!E15/100/3.6*1000000</f>
        <v>101.8161320458732</v>
      </c>
      <c r="K15" s="34"/>
      <c r="L15" s="34"/>
      <c r="M15" s="34"/>
      <c r="N15" s="34">
        <f>C37*'E Balans VL '!Y15/100/3.6*1000000</f>
        <v>621.52112197688064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60250.567172429422</v>
      </c>
      <c r="C18" s="22">
        <f>C5+C16</f>
        <v>0</v>
      </c>
      <c r="D18" s="22">
        <f>MAX((D5+D16),0)</f>
        <v>69902.309416121949</v>
      </c>
      <c r="E18" s="22">
        <f>MAX((E5+E16),0)</f>
        <v>578.86682840768083</v>
      </c>
      <c r="F18" s="22">
        <f>MAX((F5+F16),0)</f>
        <v>14830.670258976837</v>
      </c>
      <c r="G18" s="22"/>
      <c r="H18" s="22"/>
      <c r="I18" s="22"/>
      <c r="J18" s="22">
        <f>MAX((J5+J16),0)</f>
        <v>342.59773810935047</v>
      </c>
      <c r="K18" s="22"/>
      <c r="L18" s="22">
        <f>MAX((L5+L16),0)</f>
        <v>0</v>
      </c>
      <c r="M18" s="22"/>
      <c r="N18" s="22">
        <f>MAX((N5+N16),0)</f>
        <v>2055.9568335959075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0.2122912456182289</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12790.667954239814</v>
      </c>
      <c r="C22" s="24">
        <f ca="1">C18*C20</f>
        <v>0</v>
      </c>
      <c r="D22" s="24">
        <f>D18*D20</f>
        <v>14120.266502056635</v>
      </c>
      <c r="E22" s="24">
        <f>E18*E20</f>
        <v>131.40277004854354</v>
      </c>
      <c r="F22" s="24">
        <f>F18*F20</f>
        <v>3959.7889591468156</v>
      </c>
      <c r="G22" s="24"/>
      <c r="H22" s="24"/>
      <c r="I22" s="24"/>
      <c r="J22" s="24">
        <f>J18*J20</f>
        <v>121.27959929071007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14230.796624279501</v>
      </c>
      <c r="C30" s="40">
        <f>IF(ISERROR(B30*3.6/1000000/'E Balans VL '!Z18*100),0,B30*3.6/1000000/'E Balans VL '!Z18*100)</f>
        <v>0.79184867162058015</v>
      </c>
      <c r="D30" s="240" t="s">
        <v>707</v>
      </c>
    </row>
    <row r="31" spans="1:18">
      <c r="A31" s="6" t="s">
        <v>33</v>
      </c>
      <c r="B31" s="38">
        <f>IF( ISERROR(IND_ander_ele_kWh/1000),0,IND_ander_ele_kWh/1000)</f>
        <v>8577.8040543655006</v>
      </c>
      <c r="C31" s="40">
        <f>IF(ISERROR(B31*3.6/1000000/'E Balans VL '!Z19*100),0,B31*3.6/1000000/'E Balans VL '!Z19*100)</f>
        <v>0.39875958257736371</v>
      </c>
      <c r="D31" s="240" t="s">
        <v>707</v>
      </c>
    </row>
    <row r="32" spans="1:18">
      <c r="A32" s="174" t="s">
        <v>41</v>
      </c>
      <c r="B32" s="38">
        <f>IF( ISERROR(IND_voed_ele_kWh/1000),0,IND_voed_ele_kWh/1000)</f>
        <v>14705.355971772</v>
      </c>
      <c r="C32" s="40">
        <f>IF(ISERROR(B32*3.6/1000000/'E Balans VL '!Z20*100),0,B32*3.6/1000000/'E Balans VL '!Z20*100)</f>
        <v>0.51980463487800121</v>
      </c>
      <c r="D32" s="240" t="s">
        <v>707</v>
      </c>
    </row>
    <row r="33" spans="1:5">
      <c r="A33" s="174" t="s">
        <v>40</v>
      </c>
      <c r="B33" s="38">
        <f>IF( ISERROR(IND_textiel_ele_kWh/1000),0,IND_textiel_ele_kWh/1000)</f>
        <v>93.669152821270004</v>
      </c>
      <c r="C33" s="40">
        <f>IF(ISERROR(B33*3.6/1000000/'E Balans VL '!Z21*100),0,B33*3.6/1000000/'E Balans VL '!Z21*100)</f>
        <v>1.2651440418300717E-2</v>
      </c>
      <c r="D33" s="240" t="s">
        <v>707</v>
      </c>
    </row>
    <row r="34" spans="1:5">
      <c r="A34" s="174" t="s">
        <v>37</v>
      </c>
      <c r="B34" s="38">
        <f>IF( ISERROR(IND_min_ele_kWh/1000),0,IND_min_ele_kWh/1000)</f>
        <v>991.47169792483498</v>
      </c>
      <c r="C34" s="40">
        <f>IF(ISERROR(B34*3.6/1000000/'E Balans VL '!Z22*100),0,B34*3.6/1000000/'E Balans VL '!Z22*100)</f>
        <v>0.19925785272556507</v>
      </c>
      <c r="D34" s="240" t="s">
        <v>707</v>
      </c>
    </row>
    <row r="35" spans="1:5">
      <c r="A35" s="174" t="s">
        <v>39</v>
      </c>
      <c r="B35" s="38">
        <f>IF( ISERROR(IND_papier_ele_kWh/1000),0,IND_papier_ele_kWh/1000)</f>
        <v>1404.74455075282</v>
      </c>
      <c r="C35" s="40">
        <f>IF(ISERROR(B35*3.6/1000000/'E Balans VL '!Z22*100),0,B35*3.6/1000000/'E Balans VL '!Z22*100)</f>
        <v>0.2823140422432569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20246.7251205135</v>
      </c>
      <c r="C37" s="40">
        <f>IF(ISERROR(B37*3.6/1000000/'E Balans VL '!Z15*100),0,B37*3.6/1000000/'E Balans VL '!Z15*100)</f>
        <v>0.15289268359555866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580.82841059027794</v>
      </c>
      <c r="C5" s="18">
        <f>'Eigen informatie GS &amp; warmtenet'!B60</f>
        <v>0</v>
      </c>
      <c r="D5" s="31">
        <f>IF(ISERROR(SUM(LB_lb_gas_kWh,LB_rest_gas_kWh)/1000),0,SUM(LB_lb_gas_kWh,LB_rest_gas_kWh)/1000)*0.902</f>
        <v>245.49887326647345</v>
      </c>
      <c r="E5" s="18">
        <f>B17*'E Balans VL '!I25/3.6*1000000/100</f>
        <v>5.4717927955614236</v>
      </c>
      <c r="F5" s="18">
        <f>B17*('E Balans VL '!L25/3.6*1000000+'E Balans VL '!N25/3.6*1000000)/100</f>
        <v>1895.4358637767382</v>
      </c>
      <c r="G5" s="19"/>
      <c r="H5" s="18"/>
      <c r="I5" s="18"/>
      <c r="J5" s="18">
        <f>('E Balans VL '!D25+'E Balans VL '!E25)/3.6*1000000*landbouw!B17/100</f>
        <v>71.851299538863813</v>
      </c>
      <c r="K5" s="18"/>
      <c r="L5" s="18">
        <f>L6*(-1)</f>
        <v>0</v>
      </c>
      <c r="M5" s="18"/>
      <c r="N5" s="18">
        <f>N6*(-1)</f>
        <v>18192.857142857145</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-18192.857142857145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580.82841059027794</v>
      </c>
      <c r="C8" s="22">
        <f>C5+C6</f>
        <v>0</v>
      </c>
      <c r="D8" s="22">
        <f>MAX((D5+D6),0)</f>
        <v>245.49887326647345</v>
      </c>
      <c r="E8" s="22">
        <f>MAX((E5+E6),0)</f>
        <v>5.4717927955614236</v>
      </c>
      <c r="F8" s="22">
        <f>MAX((F5+F6),0)</f>
        <v>1895.4358637767382</v>
      </c>
      <c r="G8" s="22"/>
      <c r="H8" s="22"/>
      <c r="I8" s="22"/>
      <c r="J8" s="22">
        <f>MAX((J5+J6),0)</f>
        <v>71.851299538863813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0.2122912456182289</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123.3047867746662</v>
      </c>
      <c r="C12" s="24">
        <f ca="1">C8*C10</f>
        <v>0</v>
      </c>
      <c r="D12" s="24">
        <f>D8*D10</f>
        <v>49.590772399827642</v>
      </c>
      <c r="E12" s="24">
        <f>E8*E10</f>
        <v>1.2420969645924431</v>
      </c>
      <c r="F12" s="24">
        <f>F8*F10</f>
        <v>506.08137562838914</v>
      </c>
      <c r="G12" s="24"/>
      <c r="H12" s="24"/>
      <c r="I12" s="24"/>
      <c r="J12" s="24">
        <f>J8*J10</f>
        <v>25.435360036757789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7.8634885452618764E-2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101.19576324736272</v>
      </c>
      <c r="C26" s="250">
        <f>B26*'GWP N2O_CH4'!B5</f>
        <v>2125.1110281946171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21.368885962848083</v>
      </c>
      <c r="C27" s="250">
        <f>B27*'GWP N2O_CH4'!B5</f>
        <v>448.74660521980974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1.3646793110813924</v>
      </c>
      <c r="C28" s="250">
        <f>B28*'GWP N2O_CH4'!B4</f>
        <v>423.05058643523165</v>
      </c>
      <c r="D28" s="51"/>
    </row>
    <row r="29" spans="1:4">
      <c r="A29" s="42" t="s">
        <v>277</v>
      </c>
      <c r="B29" s="250">
        <f>B34*'ha_N2O bodem landbouw'!B4</f>
        <v>4.5832681937907278</v>
      </c>
      <c r="C29" s="250">
        <f>B29*'GWP N2O_CH4'!B4</f>
        <v>1420.8131400751256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1.2373381298177643E-3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1.7165142529612854E-5</v>
      </c>
      <c r="C5" s="447" t="s">
        <v>211</v>
      </c>
      <c r="D5" s="432">
        <f>SUM(D6:D11)</f>
        <v>4.9151627180659672E-5</v>
      </c>
      <c r="E5" s="432">
        <f>SUM(E6:E11)</f>
        <v>2.9557631368753766E-3</v>
      </c>
      <c r="F5" s="445" t="s">
        <v>211</v>
      </c>
      <c r="G5" s="432">
        <f>SUM(G6:G11)</f>
        <v>0.64869025438022954</v>
      </c>
      <c r="H5" s="432">
        <f>SUM(H6:H11)</f>
        <v>0.10998701674868847</v>
      </c>
      <c r="I5" s="447" t="s">
        <v>211</v>
      </c>
      <c r="J5" s="447" t="s">
        <v>211</v>
      </c>
      <c r="K5" s="447" t="s">
        <v>211</v>
      </c>
      <c r="L5" s="447" t="s">
        <v>211</v>
      </c>
      <c r="M5" s="432">
        <f>SUM(M6:M11)</f>
        <v>3.391757528478747E-2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1.0404149572520128E-5</v>
      </c>
      <c r="C6" s="433"/>
      <c r="D6" s="433">
        <f>vkm_2011_GW_PW*SUMIFS(TableVerdeelsleutelVkm[CNG],TableVerdeelsleutelVkm[Voertuigtype],"Lichte voertuigen")*SUMIFS(TableECFTransport[EnergieConsumptieFactor (PJ per km)],TableECFTransport[Index],CONCATENATE($A6,"_CNG_CNG"))</f>
        <v>2.540710749549454E-5</v>
      </c>
      <c r="E6" s="435">
        <f>vkm_2011_GW_PW*SUMIFS(TableVerdeelsleutelVkm[LPG],TableVerdeelsleutelVkm[Voertuigtype],"Lichte voertuigen")*SUMIFS(TableECFTransport[EnergieConsumptieFactor (PJ per km)],TableECFTransport[Index],CONCATENATE($A6,"_LPG_LPG"))</f>
        <v>1.5060020319324053E-3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0.21771030953517143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5.7055617427837303E-2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1.2304524221893817E-2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0.14600457046819826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5.8907151944171773E-5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6.5044584408604335E-3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3.5906455009980876E-6</v>
      </c>
      <c r="C8" s="433"/>
      <c r="D8" s="435">
        <f>vkm_2011_NGW_PW*SUMIFS(TableVerdeelsleutelVkm[CNG],TableVerdeelsleutelVkm[Voertuigtype],"Lichte voertuigen")*SUMIFS(TableECFTransport[EnergieConsumptieFactor (PJ per km)],TableECFTransport[Index],CONCATENATE($A8,"_CNG_CNG"))</f>
        <v>1.5732028868322152E-5</v>
      </c>
      <c r="E8" s="435">
        <f>vkm_2011_NGW_PW*SUMIFS(TableVerdeelsleutelVkm[LPG],TableVerdeelsleutelVkm[Voertuigtype],"Lichte voertuigen")*SUMIFS(TableECFTransport[EnergieConsumptieFactor (PJ per km)],TableECFTransport[Index],CONCATENATE($A8,"_LPG_LPG"))</f>
        <v>8.554875045299927E-4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0.11682992778303515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3.3830683235347582E-2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6.749931956936202E-3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7.0127557836857327E-2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2.4635230975501678E-5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3.1239936713158738E-3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3.1703474560946387E-6</v>
      </c>
      <c r="C10" s="433"/>
      <c r="D10" s="435">
        <f>vkm_2011_SW_PW*SUMIFS(TableVerdeelsleutelVkm[CNG],TableVerdeelsleutelVkm[Voertuigtype],"Lichte voertuigen")*SUMIFS(TableECFTransport[EnergieConsumptieFactor (PJ per km)],TableECFTransport[Index],CONCATENATE($A10,"_CNG_CNG"))</f>
        <v>8.0124908168429779E-6</v>
      </c>
      <c r="E10" s="435">
        <f>vkm_2011_SW_PW*SUMIFS(TableVerdeelsleutelVkm[LPG],TableVerdeelsleutelVkm[Voertuigtype],"Lichte voertuigen")*SUMIFS(TableECFTransport[EnergieConsumptieFactor (PJ per km)],TableECFTransport[Index],CONCATENATE($A10,"_LPG_LPG"))</f>
        <v>5.9427360041297886E-4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7.8292223062316008E-2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1.9008730103872908E-2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4.3558725043708743E-3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1.972566569465143E-2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8.4435987110112003E-6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8.7879448941027361E-4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4.768095147114682</v>
      </c>
      <c r="C14" s="22"/>
      <c r="D14" s="22">
        <f t="shared" ref="D14:M14" si="0">((D5)*10^9/3600)+D12</f>
        <v>13.653229772405464</v>
      </c>
      <c r="E14" s="22">
        <f t="shared" si="0"/>
        <v>821.04531579871571</v>
      </c>
      <c r="F14" s="22"/>
      <c r="G14" s="22">
        <f t="shared" si="0"/>
        <v>180191.73732784155</v>
      </c>
      <c r="H14" s="22">
        <f t="shared" si="0"/>
        <v>30551.949096857905</v>
      </c>
      <c r="I14" s="22"/>
      <c r="J14" s="22"/>
      <c r="K14" s="22"/>
      <c r="L14" s="22"/>
      <c r="M14" s="22">
        <f t="shared" si="0"/>
        <v>9421.5486902187404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0.2122912456182289</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1.0122248580072082</v>
      </c>
      <c r="C18" s="24"/>
      <c r="D18" s="24">
        <f t="shared" ref="D18:M18" si="1">D14*D16</f>
        <v>2.7579524140259037</v>
      </c>
      <c r="E18" s="24">
        <f t="shared" si="1"/>
        <v>186.37728668630848</v>
      </c>
      <c r="F18" s="24"/>
      <c r="G18" s="24">
        <f t="shared" si="1"/>
        <v>48111.193866533693</v>
      </c>
      <c r="H18" s="24">
        <f t="shared" si="1"/>
        <v>7607.435325117618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6.397166810058235E-3</v>
      </c>
      <c r="C50" s="323">
        <f t="shared" ref="C50:P50" si="2">SUM(C51:C52)</f>
        <v>0</v>
      </c>
      <c r="D50" s="323">
        <f t="shared" si="2"/>
        <v>0</v>
      </c>
      <c r="E50" s="323">
        <f t="shared" si="2"/>
        <v>0</v>
      </c>
      <c r="F50" s="323">
        <f t="shared" si="2"/>
        <v>0</v>
      </c>
      <c r="G50" s="323">
        <f t="shared" si="2"/>
        <v>3.5995278509325594E-2</v>
      </c>
      <c r="H50" s="323">
        <f t="shared" si="2"/>
        <v>0</v>
      </c>
      <c r="I50" s="323">
        <f t="shared" si="2"/>
        <v>0</v>
      </c>
      <c r="J50" s="323">
        <f t="shared" si="2"/>
        <v>0</v>
      </c>
      <c r="K50" s="323">
        <f t="shared" si="2"/>
        <v>0</v>
      </c>
      <c r="L50" s="323">
        <f t="shared" si="2"/>
        <v>0</v>
      </c>
      <c r="M50" s="323">
        <f t="shared" si="2"/>
        <v>1.5806120572705419E-3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3.5995278509325594E-2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1.5806120572705419E-3</v>
      </c>
      <c r="N51" s="325"/>
      <c r="O51" s="325"/>
      <c r="P51" s="328"/>
    </row>
    <row r="52" spans="1:18">
      <c r="A52" s="4" t="s">
        <v>330</v>
      </c>
      <c r="B52" s="329">
        <f>vkm_2011_tram*SUMIFS(TableECFTransport[EnergieConsumptieFactor (PJ per km)],TableECFTransport[Index],"Tram_gemiddeld_Electric_Electric")</f>
        <v>6.397166810058235E-3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1776.9907805717321</v>
      </c>
      <c r="C54" s="22">
        <f t="shared" ref="C54:P54" si="3">(C50)*10^9/3600</f>
        <v>0</v>
      </c>
      <c r="D54" s="22">
        <f t="shared" si="3"/>
        <v>0</v>
      </c>
      <c r="E54" s="22">
        <f t="shared" si="3"/>
        <v>0</v>
      </c>
      <c r="F54" s="22">
        <f t="shared" si="3"/>
        <v>0</v>
      </c>
      <c r="G54" s="22">
        <f t="shared" si="3"/>
        <v>9998.6884748126649</v>
      </c>
      <c r="H54" s="22">
        <f t="shared" si="3"/>
        <v>0</v>
      </c>
      <c r="I54" s="22">
        <f t="shared" si="3"/>
        <v>0</v>
      </c>
      <c r="J54" s="22">
        <f t="shared" si="3"/>
        <v>0</v>
      </c>
      <c r="K54" s="22">
        <f t="shared" si="3"/>
        <v>0</v>
      </c>
      <c r="L54" s="22">
        <f t="shared" si="3"/>
        <v>0</v>
      </c>
      <c r="M54" s="22">
        <f t="shared" si="3"/>
        <v>439.0589047973728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0.2122912456182289</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377.23958625968186</v>
      </c>
      <c r="C58" s="24">
        <f t="shared" ref="C58:P58" ca="1" si="4">C54*C56</f>
        <v>0</v>
      </c>
      <c r="D58" s="24">
        <f t="shared" si="4"/>
        <v>0</v>
      </c>
      <c r="E58" s="24">
        <f t="shared" si="4"/>
        <v>0</v>
      </c>
      <c r="F58" s="24">
        <f t="shared" si="4"/>
        <v>0</v>
      </c>
      <c r="G58" s="24">
        <f t="shared" si="4"/>
        <v>2669.6498227749817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159791.11150087774</v>
      </c>
      <c r="D10" s="688">
        <f ca="1">tertiair!C16</f>
        <v>64.285714285714292</v>
      </c>
      <c r="E10" s="688">
        <f ca="1">tertiair!D16</f>
        <v>185031.94167091939</v>
      </c>
      <c r="F10" s="688">
        <f>tertiair!E16</f>
        <v>1793.242751475384</v>
      </c>
      <c r="G10" s="688">
        <f ca="1">tertiair!F16</f>
        <v>33530.770514623044</v>
      </c>
      <c r="H10" s="688">
        <f>tertiair!G16</f>
        <v>0</v>
      </c>
      <c r="I10" s="688">
        <f>tertiair!H16</f>
        <v>0</v>
      </c>
      <c r="J10" s="688">
        <f>tertiair!I16</f>
        <v>0</v>
      </c>
      <c r="K10" s="688">
        <f>tertiair!J16</f>
        <v>0</v>
      </c>
      <c r="L10" s="688">
        <f>tertiair!K16</f>
        <v>0</v>
      </c>
      <c r="M10" s="688">
        <f ca="1">tertiair!L16</f>
        <v>0</v>
      </c>
      <c r="N10" s="688">
        <f>tertiair!M16</f>
        <v>0</v>
      </c>
      <c r="O10" s="688">
        <f ca="1">tertiair!N16</f>
        <v>15747.733490861154</v>
      </c>
      <c r="P10" s="688">
        <f>tertiair!O16</f>
        <v>3.1266666666666669</v>
      </c>
      <c r="Q10" s="689">
        <f>tertiair!P16</f>
        <v>0</v>
      </c>
      <c r="R10" s="691">
        <f ca="1">SUM(C10:Q10)</f>
        <v>395962.21230970905</v>
      </c>
      <c r="S10" s="68"/>
    </row>
    <row r="11" spans="1:19" s="457" customFormat="1">
      <c r="A11" s="803" t="s">
        <v>225</v>
      </c>
      <c r="B11" s="808"/>
      <c r="C11" s="688">
        <f>huishoudens!B8</f>
        <v>147719.73892942505</v>
      </c>
      <c r="D11" s="688">
        <f>huishoudens!C8</f>
        <v>0</v>
      </c>
      <c r="E11" s="688">
        <f>huishoudens!D8</f>
        <v>287796.97989314137</v>
      </c>
      <c r="F11" s="688">
        <f>huishoudens!E8</f>
        <v>2777.2538426773694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11563.140646627748</v>
      </c>
      <c r="P11" s="688">
        <f>huishoudens!O8</f>
        <v>117.25</v>
      </c>
      <c r="Q11" s="689">
        <f>huishoudens!P8</f>
        <v>514.79999999999995</v>
      </c>
      <c r="R11" s="691">
        <f>SUM(C11:Q11)</f>
        <v>450489.16331187158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60250.567172429422</v>
      </c>
      <c r="D13" s="688">
        <f>industrie!C18</f>
        <v>0</v>
      </c>
      <c r="E13" s="688">
        <f>industrie!D18</f>
        <v>69902.309416121949</v>
      </c>
      <c r="F13" s="688">
        <f>industrie!E18</f>
        <v>578.86682840768083</v>
      </c>
      <c r="G13" s="688">
        <f>industrie!F18</f>
        <v>14830.670258976837</v>
      </c>
      <c r="H13" s="688">
        <f>industrie!G18</f>
        <v>0</v>
      </c>
      <c r="I13" s="688">
        <f>industrie!H18</f>
        <v>0</v>
      </c>
      <c r="J13" s="688">
        <f>industrie!I18</f>
        <v>0</v>
      </c>
      <c r="K13" s="688">
        <f>industrie!J18</f>
        <v>342.59773810935047</v>
      </c>
      <c r="L13" s="688">
        <f>industrie!K18</f>
        <v>0</v>
      </c>
      <c r="M13" s="688">
        <f>industrie!L18</f>
        <v>0</v>
      </c>
      <c r="N13" s="688">
        <f>industrie!M18</f>
        <v>0</v>
      </c>
      <c r="O13" s="688">
        <f>industrie!N18</f>
        <v>2055.9568335959075</v>
      </c>
      <c r="P13" s="688">
        <f>industrie!O18</f>
        <v>0</v>
      </c>
      <c r="Q13" s="689">
        <f>industrie!P18</f>
        <v>0</v>
      </c>
      <c r="R13" s="691">
        <f>SUM(C13:Q13)</f>
        <v>147960.96824764114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367761.4176027322</v>
      </c>
      <c r="D16" s="721">
        <f t="shared" ref="D16:R16" ca="1" si="0">SUM(D9:D15)</f>
        <v>64.285714285714292</v>
      </c>
      <c r="E16" s="721">
        <f t="shared" ca="1" si="0"/>
        <v>542731.23098018265</v>
      </c>
      <c r="F16" s="721">
        <f t="shared" si="0"/>
        <v>5149.3634225604346</v>
      </c>
      <c r="G16" s="721">
        <f t="shared" ca="1" si="0"/>
        <v>48361.440773599883</v>
      </c>
      <c r="H16" s="721">
        <f t="shared" si="0"/>
        <v>0</v>
      </c>
      <c r="I16" s="721">
        <f t="shared" si="0"/>
        <v>0</v>
      </c>
      <c r="J16" s="721">
        <f t="shared" si="0"/>
        <v>0</v>
      </c>
      <c r="K16" s="721">
        <f t="shared" si="0"/>
        <v>342.59773810935047</v>
      </c>
      <c r="L16" s="721">
        <f t="shared" si="0"/>
        <v>0</v>
      </c>
      <c r="M16" s="721">
        <f t="shared" ca="1" si="0"/>
        <v>0</v>
      </c>
      <c r="N16" s="721">
        <f t="shared" si="0"/>
        <v>0</v>
      </c>
      <c r="O16" s="721">
        <f t="shared" ca="1" si="0"/>
        <v>29366.830971084808</v>
      </c>
      <c r="P16" s="721">
        <f t="shared" si="0"/>
        <v>120.37666666666667</v>
      </c>
      <c r="Q16" s="721">
        <f t="shared" si="0"/>
        <v>514.79999999999995</v>
      </c>
      <c r="R16" s="721">
        <f t="shared" ca="1" si="0"/>
        <v>994412.34386922175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1776.9907805717321</v>
      </c>
      <c r="D19" s="688">
        <f>transport!C54</f>
        <v>0</v>
      </c>
      <c r="E19" s="688">
        <f>transport!D54</f>
        <v>0</v>
      </c>
      <c r="F19" s="688">
        <f>transport!E54</f>
        <v>0</v>
      </c>
      <c r="G19" s="688">
        <f>transport!F54</f>
        <v>0</v>
      </c>
      <c r="H19" s="688">
        <f>transport!G54</f>
        <v>9998.6884748126649</v>
      </c>
      <c r="I19" s="688">
        <f>transport!H54</f>
        <v>0</v>
      </c>
      <c r="J19" s="688">
        <f>transport!I54</f>
        <v>0</v>
      </c>
      <c r="K19" s="688">
        <f>transport!J54</f>
        <v>0</v>
      </c>
      <c r="L19" s="688">
        <f>transport!K54</f>
        <v>0</v>
      </c>
      <c r="M19" s="688">
        <f>transport!L54</f>
        <v>0</v>
      </c>
      <c r="N19" s="688">
        <f>transport!M54</f>
        <v>439.0589047973728</v>
      </c>
      <c r="O19" s="688">
        <f>transport!N54</f>
        <v>0</v>
      </c>
      <c r="P19" s="688">
        <f>transport!O54</f>
        <v>0</v>
      </c>
      <c r="Q19" s="689">
        <f>transport!P54</f>
        <v>0</v>
      </c>
      <c r="R19" s="691">
        <f>SUM(C19:Q19)</f>
        <v>12214.738160181771</v>
      </c>
      <c r="S19" s="68"/>
    </row>
    <row r="20" spans="1:19" s="457" customFormat="1">
      <c r="A20" s="803" t="s">
        <v>307</v>
      </c>
      <c r="B20" s="808"/>
      <c r="C20" s="688">
        <f>transport!B14</f>
        <v>4.768095147114682</v>
      </c>
      <c r="D20" s="688">
        <f>transport!C14</f>
        <v>0</v>
      </c>
      <c r="E20" s="688">
        <f>transport!D14</f>
        <v>13.653229772405464</v>
      </c>
      <c r="F20" s="688">
        <f>transport!E14</f>
        <v>821.04531579871571</v>
      </c>
      <c r="G20" s="688">
        <f>transport!F14</f>
        <v>0</v>
      </c>
      <c r="H20" s="688">
        <f>transport!G14</f>
        <v>180191.73732784155</v>
      </c>
      <c r="I20" s="688">
        <f>transport!H14</f>
        <v>30551.949096857905</v>
      </c>
      <c r="J20" s="688">
        <f>transport!I14</f>
        <v>0</v>
      </c>
      <c r="K20" s="688">
        <f>transport!J14</f>
        <v>0</v>
      </c>
      <c r="L20" s="688">
        <f>transport!K14</f>
        <v>0</v>
      </c>
      <c r="M20" s="688">
        <f>transport!L14</f>
        <v>0</v>
      </c>
      <c r="N20" s="688">
        <f>transport!M14</f>
        <v>9421.5486902187404</v>
      </c>
      <c r="O20" s="688">
        <f>transport!N14</f>
        <v>0</v>
      </c>
      <c r="P20" s="688">
        <f>transport!O14</f>
        <v>0</v>
      </c>
      <c r="Q20" s="689">
        <f>transport!P14</f>
        <v>0</v>
      </c>
      <c r="R20" s="691">
        <f>SUM(C20:Q20)</f>
        <v>221004.7017556364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1781.7588757188469</v>
      </c>
      <c r="D22" s="806">
        <f t="shared" ref="D22:R22" si="1">SUM(D18:D21)</f>
        <v>0</v>
      </c>
      <c r="E22" s="806">
        <f t="shared" si="1"/>
        <v>13.653229772405464</v>
      </c>
      <c r="F22" s="806">
        <f t="shared" si="1"/>
        <v>821.04531579871571</v>
      </c>
      <c r="G22" s="806">
        <f t="shared" si="1"/>
        <v>0</v>
      </c>
      <c r="H22" s="806">
        <f t="shared" si="1"/>
        <v>190190.42580265421</v>
      </c>
      <c r="I22" s="806">
        <f t="shared" si="1"/>
        <v>30551.949096857905</v>
      </c>
      <c r="J22" s="806">
        <f t="shared" si="1"/>
        <v>0</v>
      </c>
      <c r="K22" s="806">
        <f t="shared" si="1"/>
        <v>0</v>
      </c>
      <c r="L22" s="806">
        <f t="shared" si="1"/>
        <v>0</v>
      </c>
      <c r="M22" s="806">
        <f t="shared" si="1"/>
        <v>0</v>
      </c>
      <c r="N22" s="806">
        <f t="shared" si="1"/>
        <v>9860.6075950161139</v>
      </c>
      <c r="O22" s="806">
        <f t="shared" si="1"/>
        <v>0</v>
      </c>
      <c r="P22" s="806">
        <f t="shared" si="1"/>
        <v>0</v>
      </c>
      <c r="Q22" s="806">
        <f t="shared" si="1"/>
        <v>0</v>
      </c>
      <c r="R22" s="806">
        <f t="shared" si="1"/>
        <v>233219.43991581816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580.82841059027794</v>
      </c>
      <c r="D24" s="688">
        <f>+landbouw!C8</f>
        <v>0</v>
      </c>
      <c r="E24" s="688">
        <f>+landbouw!D8</f>
        <v>245.49887326647345</v>
      </c>
      <c r="F24" s="688">
        <f>+landbouw!E8</f>
        <v>5.4717927955614236</v>
      </c>
      <c r="G24" s="688">
        <f>+landbouw!F8</f>
        <v>1895.4358637767382</v>
      </c>
      <c r="H24" s="688">
        <f>+landbouw!G8</f>
        <v>0</v>
      </c>
      <c r="I24" s="688">
        <f>+landbouw!H8</f>
        <v>0</v>
      </c>
      <c r="J24" s="688">
        <f>+landbouw!I8</f>
        <v>0</v>
      </c>
      <c r="K24" s="688">
        <f>+landbouw!J8</f>
        <v>71.851299538863813</v>
      </c>
      <c r="L24" s="688">
        <f>+landbouw!K8</f>
        <v>0</v>
      </c>
      <c r="M24" s="688">
        <f>+landbouw!L8</f>
        <v>0</v>
      </c>
      <c r="N24" s="688">
        <f>+landbouw!M8</f>
        <v>0</v>
      </c>
      <c r="O24" s="688">
        <f>+landbouw!N8</f>
        <v>0</v>
      </c>
      <c r="P24" s="688">
        <f>+landbouw!O8</f>
        <v>0</v>
      </c>
      <c r="Q24" s="689">
        <f>+landbouw!P8</f>
        <v>0</v>
      </c>
      <c r="R24" s="691">
        <f>SUM(C24:Q24)</f>
        <v>2799.0862399679145</v>
      </c>
      <c r="S24" s="68"/>
    </row>
    <row r="25" spans="1:19" s="457" customFormat="1" ht="15" thickBot="1">
      <c r="A25" s="825" t="s">
        <v>912</v>
      </c>
      <c r="B25" s="1001"/>
      <c r="C25" s="1002">
        <f>IF(Onbekend_ele_kWh="---",0,Onbekend_ele_kWh)/1000+IF(REST_rest_ele_kWh="---",0,REST_rest_ele_kWh)/1000</f>
        <v>7593.6446317803602</v>
      </c>
      <c r="D25" s="1002"/>
      <c r="E25" s="1002">
        <f>IF(onbekend_gas_kWh="---",0,onbekend_gas_kWh)/1000+IF(REST_rest_gas_kWh="---",0,REST_rest_gas_kWh)/1000</f>
        <v>23759.949334028799</v>
      </c>
      <c r="F25" s="1002"/>
      <c r="G25" s="1002"/>
      <c r="H25" s="1002"/>
      <c r="I25" s="1002"/>
      <c r="J25" s="1002"/>
      <c r="K25" s="1002"/>
      <c r="L25" s="1002"/>
      <c r="M25" s="1002"/>
      <c r="N25" s="1002"/>
      <c r="O25" s="1002"/>
      <c r="P25" s="1002"/>
      <c r="Q25" s="1003"/>
      <c r="R25" s="691">
        <f>SUM(C25:Q25)</f>
        <v>31353.593965809159</v>
      </c>
      <c r="S25" s="68"/>
    </row>
    <row r="26" spans="1:19" s="457" customFormat="1" ht="15.75" thickBot="1">
      <c r="A26" s="694" t="s">
        <v>913</v>
      </c>
      <c r="B26" s="811"/>
      <c r="C26" s="806">
        <f>SUM(C24:C25)</f>
        <v>8174.4730423706378</v>
      </c>
      <c r="D26" s="806">
        <f t="shared" ref="D26:R26" si="2">SUM(D24:D25)</f>
        <v>0</v>
      </c>
      <c r="E26" s="806">
        <f t="shared" si="2"/>
        <v>24005.448207295274</v>
      </c>
      <c r="F26" s="806">
        <f t="shared" si="2"/>
        <v>5.4717927955614236</v>
      </c>
      <c r="G26" s="806">
        <f t="shared" si="2"/>
        <v>1895.4358637767382</v>
      </c>
      <c r="H26" s="806">
        <f t="shared" si="2"/>
        <v>0</v>
      </c>
      <c r="I26" s="806">
        <f t="shared" si="2"/>
        <v>0</v>
      </c>
      <c r="J26" s="806">
        <f t="shared" si="2"/>
        <v>0</v>
      </c>
      <c r="K26" s="806">
        <f t="shared" si="2"/>
        <v>71.851299538863813</v>
      </c>
      <c r="L26" s="806">
        <f t="shared" si="2"/>
        <v>0</v>
      </c>
      <c r="M26" s="806">
        <f t="shared" si="2"/>
        <v>0</v>
      </c>
      <c r="N26" s="806">
        <f t="shared" si="2"/>
        <v>0</v>
      </c>
      <c r="O26" s="806">
        <f t="shared" si="2"/>
        <v>0</v>
      </c>
      <c r="P26" s="806">
        <f t="shared" si="2"/>
        <v>0</v>
      </c>
      <c r="Q26" s="806">
        <f t="shared" si="2"/>
        <v>0</v>
      </c>
      <c r="R26" s="806">
        <f t="shared" si="2"/>
        <v>34152.680205777076</v>
      </c>
      <c r="S26" s="68"/>
    </row>
    <row r="27" spans="1:19" s="457" customFormat="1" ht="17.25" thickTop="1" thickBot="1">
      <c r="A27" s="695" t="s">
        <v>116</v>
      </c>
      <c r="B27" s="798"/>
      <c r="C27" s="696">
        <f ca="1">C22+C16+C26</f>
        <v>377717.64952082169</v>
      </c>
      <c r="D27" s="696">
        <f t="shared" ref="D27:R27" ca="1" si="3">D22+D16+D26</f>
        <v>64.285714285714292</v>
      </c>
      <c r="E27" s="696">
        <f t="shared" ca="1" si="3"/>
        <v>566750.33241725038</v>
      </c>
      <c r="F27" s="696">
        <f t="shared" si="3"/>
        <v>5975.8805311547121</v>
      </c>
      <c r="G27" s="696">
        <f t="shared" ca="1" si="3"/>
        <v>50256.876637376619</v>
      </c>
      <c r="H27" s="696">
        <f t="shared" si="3"/>
        <v>190190.42580265421</v>
      </c>
      <c r="I27" s="696">
        <f t="shared" si="3"/>
        <v>30551.949096857905</v>
      </c>
      <c r="J27" s="696">
        <f t="shared" si="3"/>
        <v>0</v>
      </c>
      <c r="K27" s="696">
        <f t="shared" si="3"/>
        <v>414.4490376482143</v>
      </c>
      <c r="L27" s="696">
        <f t="shared" si="3"/>
        <v>0</v>
      </c>
      <c r="M27" s="696">
        <f t="shared" ca="1" si="3"/>
        <v>0</v>
      </c>
      <c r="N27" s="696">
        <f t="shared" si="3"/>
        <v>9860.6075950161139</v>
      </c>
      <c r="O27" s="696">
        <f t="shared" ca="1" si="3"/>
        <v>29366.830971084808</v>
      </c>
      <c r="P27" s="696">
        <f t="shared" si="3"/>
        <v>120.37666666666667</v>
      </c>
      <c r="Q27" s="696">
        <f t="shared" si="3"/>
        <v>514.79999999999995</v>
      </c>
      <c r="R27" s="696">
        <f t="shared" ca="1" si="3"/>
        <v>1261784.4639908171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33922.254099242637</v>
      </c>
      <c r="D40" s="688">
        <f ca="1">tertiair!C20</f>
        <v>15.277310924369752</v>
      </c>
      <c r="E40" s="688">
        <f ca="1">tertiair!D20</f>
        <v>37376.452217525723</v>
      </c>
      <c r="F40" s="688">
        <f>tertiair!E20</f>
        <v>407.06610458491218</v>
      </c>
      <c r="G40" s="688">
        <f ca="1">tertiair!F20</f>
        <v>8952.7157274043529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80673.765459682007</v>
      </c>
    </row>
    <row r="41" spans="1:18">
      <c r="A41" s="816" t="s">
        <v>225</v>
      </c>
      <c r="B41" s="823"/>
      <c r="C41" s="688">
        <f ca="1">huishoudens!B12</f>
        <v>31359.607379727222</v>
      </c>
      <c r="D41" s="688">
        <f ca="1">huishoudens!C12</f>
        <v>0</v>
      </c>
      <c r="E41" s="688">
        <f>huishoudens!D12</f>
        <v>58134.989938414561</v>
      </c>
      <c r="F41" s="688">
        <f>huishoudens!E12</f>
        <v>630.43662228776293</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90125.033940429537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12790.667954239814</v>
      </c>
      <c r="D43" s="688">
        <f ca="1">industrie!C22</f>
        <v>0</v>
      </c>
      <c r="E43" s="688">
        <f>industrie!D22</f>
        <v>14120.266502056635</v>
      </c>
      <c r="F43" s="688">
        <f>industrie!E22</f>
        <v>131.40277004854354</v>
      </c>
      <c r="G43" s="688">
        <f>industrie!F22</f>
        <v>3959.7889591468156</v>
      </c>
      <c r="H43" s="688">
        <f>industrie!G22</f>
        <v>0</v>
      </c>
      <c r="I43" s="688">
        <f>industrie!H22</f>
        <v>0</v>
      </c>
      <c r="J43" s="688">
        <f>industrie!I22</f>
        <v>0</v>
      </c>
      <c r="K43" s="688">
        <f>industrie!J22</f>
        <v>121.27959929071007</v>
      </c>
      <c r="L43" s="688">
        <f>industrie!K22</f>
        <v>0</v>
      </c>
      <c r="M43" s="688">
        <f>industrie!L22</f>
        <v>0</v>
      </c>
      <c r="N43" s="688">
        <f>industrie!M22</f>
        <v>0</v>
      </c>
      <c r="O43" s="688">
        <f>industrie!N22</f>
        <v>0</v>
      </c>
      <c r="P43" s="688">
        <f>industrie!O22</f>
        <v>0</v>
      </c>
      <c r="Q43" s="763">
        <f>industrie!P22</f>
        <v>0</v>
      </c>
      <c r="R43" s="843">
        <f t="shared" ca="1" si="4"/>
        <v>31123.405784782513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78072.529433209682</v>
      </c>
      <c r="D46" s="721">
        <f t="shared" ref="D46:Q46" ca="1" si="5">SUM(D39:D45)</f>
        <v>15.277310924369752</v>
      </c>
      <c r="E46" s="721">
        <f t="shared" ca="1" si="5"/>
        <v>109631.70865799692</v>
      </c>
      <c r="F46" s="721">
        <f t="shared" si="5"/>
        <v>1168.9054969212186</v>
      </c>
      <c r="G46" s="721">
        <f t="shared" ca="1" si="5"/>
        <v>12912.504686551169</v>
      </c>
      <c r="H46" s="721">
        <f t="shared" si="5"/>
        <v>0</v>
      </c>
      <c r="I46" s="721">
        <f t="shared" si="5"/>
        <v>0</v>
      </c>
      <c r="J46" s="721">
        <f t="shared" si="5"/>
        <v>0</v>
      </c>
      <c r="K46" s="721">
        <f t="shared" si="5"/>
        <v>121.27959929071007</v>
      </c>
      <c r="L46" s="721">
        <f t="shared" si="5"/>
        <v>0</v>
      </c>
      <c r="M46" s="721">
        <f t="shared" ca="1" si="5"/>
        <v>0</v>
      </c>
      <c r="N46" s="721">
        <f t="shared" si="5"/>
        <v>0</v>
      </c>
      <c r="O46" s="721">
        <f t="shared" ca="1" si="5"/>
        <v>0</v>
      </c>
      <c r="P46" s="721">
        <f t="shared" si="5"/>
        <v>0</v>
      </c>
      <c r="Q46" s="721">
        <f t="shared" si="5"/>
        <v>0</v>
      </c>
      <c r="R46" s="721">
        <f ca="1">SUM(R39:R45)</f>
        <v>201922.20518489406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377.23958625968186</v>
      </c>
      <c r="D49" s="688">
        <f ca="1">transport!C58</f>
        <v>0</v>
      </c>
      <c r="E49" s="688">
        <f>transport!D58</f>
        <v>0</v>
      </c>
      <c r="F49" s="688">
        <f>transport!E58</f>
        <v>0</v>
      </c>
      <c r="G49" s="688">
        <f>transport!F58</f>
        <v>0</v>
      </c>
      <c r="H49" s="688">
        <f>transport!G58</f>
        <v>2669.6498227749817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3046.8894090346635</v>
      </c>
    </row>
    <row r="50" spans="1:18">
      <c r="A50" s="819" t="s">
        <v>307</v>
      </c>
      <c r="B50" s="829"/>
      <c r="C50" s="1008">
        <f ca="1">transport!B18</f>
        <v>1.0122248580072082</v>
      </c>
      <c r="D50" s="1008">
        <f>transport!C18</f>
        <v>0</v>
      </c>
      <c r="E50" s="1008">
        <f>transport!D18</f>
        <v>2.7579524140259037</v>
      </c>
      <c r="F50" s="1008">
        <f>transport!E18</f>
        <v>186.37728668630848</v>
      </c>
      <c r="G50" s="1008">
        <f>transport!F18</f>
        <v>0</v>
      </c>
      <c r="H50" s="1008">
        <f>transport!G18</f>
        <v>48111.193866533693</v>
      </c>
      <c r="I50" s="1008">
        <f>transport!H18</f>
        <v>7607.435325117618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55908.776655609647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378.25181111768904</v>
      </c>
      <c r="D52" s="721">
        <f t="shared" ref="D52:Q52" ca="1" si="6">SUM(D48:D51)</f>
        <v>0</v>
      </c>
      <c r="E52" s="721">
        <f t="shared" si="6"/>
        <v>2.7579524140259037</v>
      </c>
      <c r="F52" s="721">
        <f t="shared" si="6"/>
        <v>186.37728668630848</v>
      </c>
      <c r="G52" s="721">
        <f t="shared" si="6"/>
        <v>0</v>
      </c>
      <c r="H52" s="721">
        <f t="shared" si="6"/>
        <v>50780.843689308676</v>
      </c>
      <c r="I52" s="721">
        <f t="shared" si="6"/>
        <v>7607.435325117618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58955.666064644312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123.3047867746662</v>
      </c>
      <c r="D54" s="1008">
        <f ca="1">+landbouw!C12</f>
        <v>0</v>
      </c>
      <c r="E54" s="1008">
        <f>+landbouw!D12</f>
        <v>49.590772399827642</v>
      </c>
      <c r="F54" s="1008">
        <f>+landbouw!E12</f>
        <v>1.2420969645924431</v>
      </c>
      <c r="G54" s="1008">
        <f>+landbouw!F12</f>
        <v>506.08137562838914</v>
      </c>
      <c r="H54" s="1008">
        <f>+landbouw!G12</f>
        <v>0</v>
      </c>
      <c r="I54" s="1008">
        <f>+landbouw!H12</f>
        <v>0</v>
      </c>
      <c r="J54" s="1008">
        <f>+landbouw!I12</f>
        <v>0</v>
      </c>
      <c r="K54" s="1008">
        <f>+landbouw!J12</f>
        <v>25.435360036757789</v>
      </c>
      <c r="L54" s="1008">
        <f>+landbouw!K12</f>
        <v>0</v>
      </c>
      <c r="M54" s="1008">
        <f>+landbouw!L12</f>
        <v>0</v>
      </c>
      <c r="N54" s="1008">
        <f>+landbouw!M12</f>
        <v>0</v>
      </c>
      <c r="O54" s="1008">
        <f>+landbouw!N12</f>
        <v>0</v>
      </c>
      <c r="P54" s="1008">
        <f>+landbouw!O12</f>
        <v>0</v>
      </c>
      <c r="Q54" s="1009">
        <f>+landbouw!P12</f>
        <v>0</v>
      </c>
      <c r="R54" s="720">
        <f ca="1">SUM(C54:Q54)</f>
        <v>705.65439180423311</v>
      </c>
    </row>
    <row r="55" spans="1:18" ht="15" thickBot="1">
      <c r="A55" s="819" t="s">
        <v>912</v>
      </c>
      <c r="B55" s="829"/>
      <c r="C55" s="1008">
        <f ca="1">C25*'EF ele_warmte'!B12</f>
        <v>1612.0642776628299</v>
      </c>
      <c r="D55" s="1008"/>
      <c r="E55" s="1008">
        <f>E25*EF_CO2_aardgas</f>
        <v>4799.5097654738174</v>
      </c>
      <c r="F55" s="1008"/>
      <c r="G55" s="1008"/>
      <c r="H55" s="1008"/>
      <c r="I55" s="1008"/>
      <c r="J55" s="1008"/>
      <c r="K55" s="1008"/>
      <c r="L55" s="1008"/>
      <c r="M55" s="1008"/>
      <c r="N55" s="1008"/>
      <c r="O55" s="1008"/>
      <c r="P55" s="1008"/>
      <c r="Q55" s="1009"/>
      <c r="R55" s="720">
        <f ca="1">SUM(C55:Q55)</f>
        <v>6411.5740431366476</v>
      </c>
    </row>
    <row r="56" spans="1:18" ht="15.75" thickBot="1">
      <c r="A56" s="817" t="s">
        <v>913</v>
      </c>
      <c r="B56" s="830"/>
      <c r="C56" s="721">
        <f ca="1">SUM(C54:C55)</f>
        <v>1735.369064437496</v>
      </c>
      <c r="D56" s="721">
        <f t="shared" ref="D56:Q56" ca="1" si="7">SUM(D54:D55)</f>
        <v>0</v>
      </c>
      <c r="E56" s="721">
        <f t="shared" si="7"/>
        <v>4849.1005378736454</v>
      </c>
      <c r="F56" s="721">
        <f t="shared" si="7"/>
        <v>1.2420969645924431</v>
      </c>
      <c r="G56" s="721">
        <f t="shared" si="7"/>
        <v>506.08137562838914</v>
      </c>
      <c r="H56" s="721">
        <f t="shared" si="7"/>
        <v>0</v>
      </c>
      <c r="I56" s="721">
        <f t="shared" si="7"/>
        <v>0</v>
      </c>
      <c r="J56" s="721">
        <f t="shared" si="7"/>
        <v>0</v>
      </c>
      <c r="K56" s="721">
        <f t="shared" si="7"/>
        <v>25.435360036757789</v>
      </c>
      <c r="L56" s="721">
        <f t="shared" si="7"/>
        <v>0</v>
      </c>
      <c r="M56" s="721">
        <f t="shared" si="7"/>
        <v>0</v>
      </c>
      <c r="N56" s="721">
        <f t="shared" si="7"/>
        <v>0</v>
      </c>
      <c r="O56" s="721">
        <f t="shared" si="7"/>
        <v>0</v>
      </c>
      <c r="P56" s="721">
        <f t="shared" si="7"/>
        <v>0</v>
      </c>
      <c r="Q56" s="722">
        <f t="shared" si="7"/>
        <v>0</v>
      </c>
      <c r="R56" s="723">
        <f ca="1">SUM(R54:R55)</f>
        <v>7117.228434940881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80186.150308764874</v>
      </c>
      <c r="D61" s="729">
        <f t="shared" ref="D61:Q61" ca="1" si="8">D46+D52+D56</f>
        <v>15.277310924369752</v>
      </c>
      <c r="E61" s="729">
        <f t="shared" ca="1" si="8"/>
        <v>114483.56714828459</v>
      </c>
      <c r="F61" s="729">
        <f t="shared" si="8"/>
        <v>1356.5248805721196</v>
      </c>
      <c r="G61" s="729">
        <f t="shared" ca="1" si="8"/>
        <v>13418.586062179558</v>
      </c>
      <c r="H61" s="729">
        <f t="shared" si="8"/>
        <v>50780.843689308676</v>
      </c>
      <c r="I61" s="729">
        <f t="shared" si="8"/>
        <v>7607.435325117618</v>
      </c>
      <c r="J61" s="729">
        <f t="shared" si="8"/>
        <v>0</v>
      </c>
      <c r="K61" s="729">
        <f t="shared" si="8"/>
        <v>146.71495932746785</v>
      </c>
      <c r="L61" s="729">
        <f t="shared" si="8"/>
        <v>0</v>
      </c>
      <c r="M61" s="729">
        <f t="shared" ca="1" si="8"/>
        <v>0</v>
      </c>
      <c r="N61" s="729">
        <f t="shared" si="8"/>
        <v>0</v>
      </c>
      <c r="O61" s="729">
        <f t="shared" ca="1" si="8"/>
        <v>0</v>
      </c>
      <c r="P61" s="729">
        <f t="shared" si="8"/>
        <v>0</v>
      </c>
      <c r="Q61" s="729">
        <f t="shared" si="8"/>
        <v>0</v>
      </c>
      <c r="R61" s="729">
        <f ca="1">R46+R52+R56</f>
        <v>267995.09968447924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0.21229124561822893</v>
      </c>
      <c r="D63" s="773">
        <f t="shared" ca="1" si="9"/>
        <v>0.23764705882352946</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8520.2798777547523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6367.5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18192.857142857145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14887.779877754752</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18192.857142857145</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8520.2798777547523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45"/>
      <c r="Q8" s="1246"/>
      <c r="S8" s="1028"/>
      <c r="T8" s="1220"/>
      <c r="U8" s="1220"/>
    </row>
    <row r="9" spans="1:21" s="546" customFormat="1" ht="17.45" customHeight="1" thickBot="1">
      <c r="A9" s="562" t="s">
        <v>248</v>
      </c>
      <c r="B9" s="993">
        <f>N89+'Eigen informatie GS &amp; warmtenet'!B12</f>
        <v>6367.5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14932.779877754752</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18192.857142857145</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35013</v>
      </c>
      <c r="C28" s="789">
        <v>8400</v>
      </c>
      <c r="D28" s="642" t="s">
        <v>948</v>
      </c>
      <c r="E28" s="641" t="s">
        <v>949</v>
      </c>
      <c r="F28" s="641" t="s">
        <v>950</v>
      </c>
      <c r="G28" s="641" t="s">
        <v>951</v>
      </c>
      <c r="H28" s="641" t="s">
        <v>952</v>
      </c>
      <c r="I28" s="641" t="s">
        <v>953</v>
      </c>
      <c r="J28" s="788">
        <v>40590</v>
      </c>
      <c r="K28" s="788">
        <v>41030</v>
      </c>
      <c r="L28" s="641" t="s">
        <v>954</v>
      </c>
      <c r="M28" s="641">
        <v>50</v>
      </c>
      <c r="N28" s="641">
        <v>45</v>
      </c>
      <c r="O28" s="641">
        <v>64.285714285714292</v>
      </c>
      <c r="P28" s="641">
        <v>128.57142857142858</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35013</v>
      </c>
      <c r="C64" s="789">
        <v>8400</v>
      </c>
      <c r="D64" s="644" t="s">
        <v>955</v>
      </c>
      <c r="E64" s="644" t="s">
        <v>956</v>
      </c>
      <c r="F64" s="644" t="s">
        <v>957</v>
      </c>
      <c r="G64" s="644" t="s">
        <v>958</v>
      </c>
      <c r="H64" s="644" t="s">
        <v>959</v>
      </c>
      <c r="I64" s="644" t="s">
        <v>960</v>
      </c>
      <c r="J64" s="788">
        <v>40945</v>
      </c>
      <c r="K64" s="788">
        <v>40945</v>
      </c>
      <c r="L64" s="644" t="s">
        <v>961</v>
      </c>
      <c r="M64" s="644">
        <v>2830</v>
      </c>
      <c r="N64" s="644">
        <v>6367.5</v>
      </c>
      <c r="O64" s="644">
        <v>0</v>
      </c>
      <c r="P64" s="644">
        <v>0</v>
      </c>
      <c r="Q64" s="644">
        <v>18192.857142857145</v>
      </c>
      <c r="R64" s="644">
        <v>0</v>
      </c>
      <c r="S64" s="644">
        <v>0</v>
      </c>
      <c r="T64" s="644">
        <v>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2830</v>
      </c>
      <c r="N89" s="599">
        <f t="shared" ref="N89:W89" si="5">SUM(N64:N88)</f>
        <v>6367.5</v>
      </c>
      <c r="O89" s="599">
        <f t="shared" si="5"/>
        <v>0</v>
      </c>
      <c r="P89" s="599">
        <f t="shared" si="5"/>
        <v>0</v>
      </c>
      <c r="Q89" s="599">
        <f t="shared" si="5"/>
        <v>18192.857142857145</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2830</v>
      </c>
      <c r="N92" s="604">
        <f t="shared" si="8"/>
        <v>6367.5</v>
      </c>
      <c r="O92" s="604">
        <f t="shared" si="8"/>
        <v>0</v>
      </c>
      <c r="P92" s="604">
        <f t="shared" si="8"/>
        <v>0</v>
      </c>
      <c r="Q92" s="604">
        <f t="shared" si="8"/>
        <v>18192.857142857145</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147719.73892942505</v>
      </c>
      <c r="C4" s="461">
        <f>huishoudens!C8</f>
        <v>0</v>
      </c>
      <c r="D4" s="461">
        <f>huishoudens!D8</f>
        <v>287796.97989314137</v>
      </c>
      <c r="E4" s="461">
        <f>huishoudens!E8</f>
        <v>2777.2538426773694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11563.140646627748</v>
      </c>
      <c r="O4" s="461">
        <f>huishoudens!O8</f>
        <v>117.25</v>
      </c>
      <c r="P4" s="462">
        <f>huishoudens!P8</f>
        <v>514.79999999999995</v>
      </c>
      <c r="Q4" s="463">
        <f>SUM(B4:P4)</f>
        <v>450489.16331187158</v>
      </c>
    </row>
    <row r="5" spans="1:17">
      <c r="A5" s="460" t="s">
        <v>156</v>
      </c>
      <c r="B5" s="461">
        <f ca="1">tertiair!B16</f>
        <v>155829.59550087774</v>
      </c>
      <c r="C5" s="461">
        <f ca="1">tertiair!C16</f>
        <v>64.285714285714292</v>
      </c>
      <c r="D5" s="461">
        <f ca="1">tertiair!D16</f>
        <v>185031.94167091939</v>
      </c>
      <c r="E5" s="461">
        <f>tertiair!E16</f>
        <v>1793.242751475384</v>
      </c>
      <c r="F5" s="461">
        <f ca="1">tertiair!F16</f>
        <v>33530.770514623044</v>
      </c>
      <c r="G5" s="461">
        <f>tertiair!G16</f>
        <v>0</v>
      </c>
      <c r="H5" s="461">
        <f>tertiair!H16</f>
        <v>0</v>
      </c>
      <c r="I5" s="461">
        <f>tertiair!I16</f>
        <v>0</v>
      </c>
      <c r="J5" s="461">
        <f>tertiair!J16</f>
        <v>0</v>
      </c>
      <c r="K5" s="461">
        <f>tertiair!K16</f>
        <v>0</v>
      </c>
      <c r="L5" s="461">
        <f ca="1">tertiair!L16</f>
        <v>0</v>
      </c>
      <c r="M5" s="461">
        <f>tertiair!M16</f>
        <v>0</v>
      </c>
      <c r="N5" s="461">
        <f ca="1">tertiair!N16</f>
        <v>15747.733490861154</v>
      </c>
      <c r="O5" s="461">
        <f>tertiair!O16</f>
        <v>3.1266666666666669</v>
      </c>
      <c r="P5" s="462">
        <f>tertiair!P16</f>
        <v>0</v>
      </c>
      <c r="Q5" s="460">
        <f t="shared" ref="Q5:Q14" ca="1" si="0">SUM(B5:P5)</f>
        <v>392000.69630970899</v>
      </c>
    </row>
    <row r="6" spans="1:17">
      <c r="A6" s="460" t="s">
        <v>194</v>
      </c>
      <c r="B6" s="461">
        <f>'openbare verlichting'!B8</f>
        <v>3961.5160000000001</v>
      </c>
      <c r="C6" s="461"/>
      <c r="D6" s="461"/>
      <c r="E6" s="461"/>
      <c r="F6" s="461"/>
      <c r="G6" s="461"/>
      <c r="H6" s="461"/>
      <c r="I6" s="461"/>
      <c r="J6" s="461"/>
      <c r="K6" s="461"/>
      <c r="L6" s="461"/>
      <c r="M6" s="461"/>
      <c r="N6" s="461"/>
      <c r="O6" s="461"/>
      <c r="P6" s="462"/>
      <c r="Q6" s="460">
        <f t="shared" si="0"/>
        <v>3961.5160000000001</v>
      </c>
    </row>
    <row r="7" spans="1:17">
      <c r="A7" s="460" t="s">
        <v>112</v>
      </c>
      <c r="B7" s="461">
        <f>landbouw!B8</f>
        <v>580.82841059027794</v>
      </c>
      <c r="C7" s="461">
        <f>landbouw!C8</f>
        <v>0</v>
      </c>
      <c r="D7" s="461">
        <f>landbouw!D8</f>
        <v>245.49887326647345</v>
      </c>
      <c r="E7" s="461">
        <f>landbouw!E8</f>
        <v>5.4717927955614236</v>
      </c>
      <c r="F7" s="461">
        <f>landbouw!F8</f>
        <v>1895.4358637767382</v>
      </c>
      <c r="G7" s="461">
        <f>landbouw!G8</f>
        <v>0</v>
      </c>
      <c r="H7" s="461">
        <f>landbouw!H8</f>
        <v>0</v>
      </c>
      <c r="I7" s="461">
        <f>landbouw!I8</f>
        <v>0</v>
      </c>
      <c r="J7" s="461">
        <f>landbouw!J8</f>
        <v>71.851299538863813</v>
      </c>
      <c r="K7" s="461">
        <f>landbouw!K8</f>
        <v>0</v>
      </c>
      <c r="L7" s="461">
        <f>landbouw!L8</f>
        <v>0</v>
      </c>
      <c r="M7" s="461">
        <f>landbouw!M8</f>
        <v>0</v>
      </c>
      <c r="N7" s="461">
        <f>landbouw!N8</f>
        <v>0</v>
      </c>
      <c r="O7" s="461">
        <f>landbouw!O8</f>
        <v>0</v>
      </c>
      <c r="P7" s="462">
        <f>landbouw!P8</f>
        <v>0</v>
      </c>
      <c r="Q7" s="460">
        <f t="shared" si="0"/>
        <v>2799.0862399679145</v>
      </c>
    </row>
    <row r="8" spans="1:17">
      <c r="A8" s="460" t="s">
        <v>685</v>
      </c>
      <c r="B8" s="461">
        <f>industrie!B18</f>
        <v>60250.567172429422</v>
      </c>
      <c r="C8" s="461">
        <f>industrie!C18</f>
        <v>0</v>
      </c>
      <c r="D8" s="461">
        <f>industrie!D18</f>
        <v>69902.309416121949</v>
      </c>
      <c r="E8" s="461">
        <f>industrie!E18</f>
        <v>578.86682840768083</v>
      </c>
      <c r="F8" s="461">
        <f>industrie!F18</f>
        <v>14830.670258976837</v>
      </c>
      <c r="G8" s="461">
        <f>industrie!G18</f>
        <v>0</v>
      </c>
      <c r="H8" s="461">
        <f>industrie!H18</f>
        <v>0</v>
      </c>
      <c r="I8" s="461">
        <f>industrie!I18</f>
        <v>0</v>
      </c>
      <c r="J8" s="461">
        <f>industrie!J18</f>
        <v>342.59773810935047</v>
      </c>
      <c r="K8" s="461">
        <f>industrie!K18</f>
        <v>0</v>
      </c>
      <c r="L8" s="461">
        <f>industrie!L18</f>
        <v>0</v>
      </c>
      <c r="M8" s="461">
        <f>industrie!M18</f>
        <v>0</v>
      </c>
      <c r="N8" s="461">
        <f>industrie!N18</f>
        <v>2055.9568335959075</v>
      </c>
      <c r="O8" s="461">
        <f>industrie!O18</f>
        <v>0</v>
      </c>
      <c r="P8" s="462">
        <f>industrie!P18</f>
        <v>0</v>
      </c>
      <c r="Q8" s="460">
        <f t="shared" si="0"/>
        <v>147960.96824764114</v>
      </c>
    </row>
    <row r="9" spans="1:17" s="466" customFormat="1">
      <c r="A9" s="464" t="s">
        <v>579</v>
      </c>
      <c r="B9" s="465">
        <f>transport!B14</f>
        <v>4.768095147114682</v>
      </c>
      <c r="C9" s="465">
        <f>transport!C14</f>
        <v>0</v>
      </c>
      <c r="D9" s="465">
        <f>transport!D14</f>
        <v>13.653229772405464</v>
      </c>
      <c r="E9" s="465">
        <f>transport!E14</f>
        <v>821.04531579871571</v>
      </c>
      <c r="F9" s="465">
        <f>transport!F14</f>
        <v>0</v>
      </c>
      <c r="G9" s="465">
        <f>transport!G14</f>
        <v>180191.73732784155</v>
      </c>
      <c r="H9" s="465">
        <f>transport!H14</f>
        <v>30551.949096857905</v>
      </c>
      <c r="I9" s="465">
        <f>transport!I14</f>
        <v>0</v>
      </c>
      <c r="J9" s="465">
        <f>transport!J14</f>
        <v>0</v>
      </c>
      <c r="K9" s="465">
        <f>transport!K14</f>
        <v>0</v>
      </c>
      <c r="L9" s="465">
        <f>transport!L14</f>
        <v>0</v>
      </c>
      <c r="M9" s="465">
        <f>transport!M14</f>
        <v>9421.5486902187404</v>
      </c>
      <c r="N9" s="465">
        <f>transport!N14</f>
        <v>0</v>
      </c>
      <c r="O9" s="465">
        <f>transport!O14</f>
        <v>0</v>
      </c>
      <c r="P9" s="465">
        <f>transport!P14</f>
        <v>0</v>
      </c>
      <c r="Q9" s="464">
        <f>SUM(B9:P9)</f>
        <v>221004.7017556364</v>
      </c>
    </row>
    <row r="10" spans="1:17">
      <c r="A10" s="460" t="s">
        <v>569</v>
      </c>
      <c r="B10" s="461">
        <f>transport!B54</f>
        <v>1776.9907805717321</v>
      </c>
      <c r="C10" s="461">
        <f>transport!C54</f>
        <v>0</v>
      </c>
      <c r="D10" s="461">
        <f>transport!D54</f>
        <v>0</v>
      </c>
      <c r="E10" s="461">
        <f>transport!E54</f>
        <v>0</v>
      </c>
      <c r="F10" s="461">
        <f>transport!F54</f>
        <v>0</v>
      </c>
      <c r="G10" s="461">
        <f>transport!G54</f>
        <v>9998.6884748126649</v>
      </c>
      <c r="H10" s="461">
        <f>transport!H54</f>
        <v>0</v>
      </c>
      <c r="I10" s="461">
        <f>transport!I54</f>
        <v>0</v>
      </c>
      <c r="J10" s="461">
        <f>transport!J54</f>
        <v>0</v>
      </c>
      <c r="K10" s="461">
        <f>transport!K54</f>
        <v>0</v>
      </c>
      <c r="L10" s="461">
        <f>transport!L54</f>
        <v>0</v>
      </c>
      <c r="M10" s="461">
        <f>transport!M54</f>
        <v>439.0589047973728</v>
      </c>
      <c r="N10" s="461">
        <f>transport!N54</f>
        <v>0</v>
      </c>
      <c r="O10" s="461">
        <f>transport!O54</f>
        <v>0</v>
      </c>
      <c r="P10" s="462">
        <f>transport!P54</f>
        <v>0</v>
      </c>
      <c r="Q10" s="460">
        <f t="shared" si="0"/>
        <v>12214.738160181771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7593.6446317803602</v>
      </c>
      <c r="C14" s="468"/>
      <c r="D14" s="468">
        <f>'SEAP template'!E25</f>
        <v>23759.949334028799</v>
      </c>
      <c r="E14" s="468"/>
      <c r="F14" s="468"/>
      <c r="G14" s="468"/>
      <c r="H14" s="468"/>
      <c r="I14" s="468"/>
      <c r="J14" s="468"/>
      <c r="K14" s="468"/>
      <c r="L14" s="468"/>
      <c r="M14" s="468"/>
      <c r="N14" s="468"/>
      <c r="O14" s="468"/>
      <c r="P14" s="469"/>
      <c r="Q14" s="460">
        <f t="shared" si="0"/>
        <v>31353.593965809159</v>
      </c>
    </row>
    <row r="15" spans="1:17" s="473" customFormat="1">
      <c r="A15" s="470" t="s">
        <v>573</v>
      </c>
      <c r="B15" s="471">
        <f ca="1">SUM(B4:B14)</f>
        <v>377717.64952082164</v>
      </c>
      <c r="C15" s="471">
        <f t="shared" ref="C15:Q15" ca="1" si="1">SUM(C4:C14)</f>
        <v>64.285714285714292</v>
      </c>
      <c r="D15" s="471">
        <f t="shared" ca="1" si="1"/>
        <v>566750.33241725038</v>
      </c>
      <c r="E15" s="471">
        <f t="shared" si="1"/>
        <v>5975.8805311547121</v>
      </c>
      <c r="F15" s="471">
        <f t="shared" ca="1" si="1"/>
        <v>50256.876637376619</v>
      </c>
      <c r="G15" s="471">
        <f t="shared" si="1"/>
        <v>190190.42580265421</v>
      </c>
      <c r="H15" s="471">
        <f t="shared" si="1"/>
        <v>30551.949096857905</v>
      </c>
      <c r="I15" s="471">
        <f t="shared" si="1"/>
        <v>0</v>
      </c>
      <c r="J15" s="471">
        <f t="shared" si="1"/>
        <v>414.4490376482143</v>
      </c>
      <c r="K15" s="471">
        <f t="shared" si="1"/>
        <v>0</v>
      </c>
      <c r="L15" s="471">
        <f t="shared" ca="1" si="1"/>
        <v>0</v>
      </c>
      <c r="M15" s="471">
        <f t="shared" si="1"/>
        <v>9860.6075950161139</v>
      </c>
      <c r="N15" s="471">
        <f t="shared" ca="1" si="1"/>
        <v>29366.830971084808</v>
      </c>
      <c r="O15" s="471">
        <f t="shared" si="1"/>
        <v>120.37666666666667</v>
      </c>
      <c r="P15" s="471">
        <f t="shared" si="1"/>
        <v>514.79999999999995</v>
      </c>
      <c r="Q15" s="471">
        <f t="shared" ca="1" si="1"/>
        <v>1261784.4639908168</v>
      </c>
    </row>
    <row r="17" spans="1:17">
      <c r="A17" s="474" t="s">
        <v>574</v>
      </c>
      <c r="B17" s="778">
        <f ca="1">huishoudens!B10</f>
        <v>0.2122912456182289</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31359.607379727222</v>
      </c>
      <c r="C22" s="461">
        <f t="shared" ref="C22:C32" ca="1" si="3">C4*$C$17</f>
        <v>0</v>
      </c>
      <c r="D22" s="461">
        <f t="shared" ref="D22:D32" si="4">D4*$D$17</f>
        <v>58134.989938414561</v>
      </c>
      <c r="E22" s="461">
        <f t="shared" ref="E22:E32" si="5">E4*$E$17</f>
        <v>630.43662228776293</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90125.033940429537</v>
      </c>
    </row>
    <row r="23" spans="1:17">
      <c r="A23" s="460" t="s">
        <v>156</v>
      </c>
      <c r="B23" s="461">
        <f t="shared" ca="1" si="2"/>
        <v>33081.258933066092</v>
      </c>
      <c r="C23" s="461">
        <f t="shared" ca="1" si="3"/>
        <v>15.277310924369752</v>
      </c>
      <c r="D23" s="461">
        <f t="shared" ca="1" si="4"/>
        <v>37376.452217525723</v>
      </c>
      <c r="E23" s="461">
        <f t="shared" si="5"/>
        <v>407.06610458491218</v>
      </c>
      <c r="F23" s="461">
        <f t="shared" ca="1" si="6"/>
        <v>8952.7157274043529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79832.770293505455</v>
      </c>
    </row>
    <row r="24" spans="1:17">
      <c r="A24" s="460" t="s">
        <v>194</v>
      </c>
      <c r="B24" s="461">
        <f t="shared" ca="1" si="2"/>
        <v>840.99516617654365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840.99516617654365</v>
      </c>
    </row>
    <row r="25" spans="1:17">
      <c r="A25" s="460" t="s">
        <v>112</v>
      </c>
      <c r="B25" s="461">
        <f t="shared" ca="1" si="2"/>
        <v>123.3047867746662</v>
      </c>
      <c r="C25" s="461">
        <f t="shared" ca="1" si="3"/>
        <v>0</v>
      </c>
      <c r="D25" s="461">
        <f t="shared" si="4"/>
        <v>49.590772399827642</v>
      </c>
      <c r="E25" s="461">
        <f t="shared" si="5"/>
        <v>1.2420969645924431</v>
      </c>
      <c r="F25" s="461">
        <f t="shared" si="6"/>
        <v>506.08137562838914</v>
      </c>
      <c r="G25" s="461">
        <f t="shared" si="7"/>
        <v>0</v>
      </c>
      <c r="H25" s="461">
        <f t="shared" si="8"/>
        <v>0</v>
      </c>
      <c r="I25" s="461">
        <f t="shared" si="9"/>
        <v>0</v>
      </c>
      <c r="J25" s="461">
        <f t="shared" si="10"/>
        <v>25.435360036757789</v>
      </c>
      <c r="K25" s="461">
        <f t="shared" si="11"/>
        <v>0</v>
      </c>
      <c r="L25" s="461">
        <f t="shared" si="12"/>
        <v>0</v>
      </c>
      <c r="M25" s="461">
        <f t="shared" si="13"/>
        <v>0</v>
      </c>
      <c r="N25" s="461">
        <f t="shared" si="14"/>
        <v>0</v>
      </c>
      <c r="O25" s="461">
        <f t="shared" si="15"/>
        <v>0</v>
      </c>
      <c r="P25" s="462">
        <f t="shared" si="16"/>
        <v>0</v>
      </c>
      <c r="Q25" s="460">
        <f t="shared" ca="1" si="17"/>
        <v>705.65439180423311</v>
      </c>
    </row>
    <row r="26" spans="1:17">
      <c r="A26" s="460" t="s">
        <v>685</v>
      </c>
      <c r="B26" s="461">
        <f t="shared" ca="1" si="2"/>
        <v>12790.667954239814</v>
      </c>
      <c r="C26" s="461">
        <f t="shared" ca="1" si="3"/>
        <v>0</v>
      </c>
      <c r="D26" s="461">
        <f t="shared" si="4"/>
        <v>14120.266502056635</v>
      </c>
      <c r="E26" s="461">
        <f t="shared" si="5"/>
        <v>131.40277004854354</v>
      </c>
      <c r="F26" s="461">
        <f t="shared" si="6"/>
        <v>3959.7889591468156</v>
      </c>
      <c r="G26" s="461">
        <f t="shared" si="7"/>
        <v>0</v>
      </c>
      <c r="H26" s="461">
        <f t="shared" si="8"/>
        <v>0</v>
      </c>
      <c r="I26" s="461">
        <f t="shared" si="9"/>
        <v>0</v>
      </c>
      <c r="J26" s="461">
        <f t="shared" si="10"/>
        <v>121.27959929071007</v>
      </c>
      <c r="K26" s="461">
        <f t="shared" si="11"/>
        <v>0</v>
      </c>
      <c r="L26" s="461">
        <f t="shared" si="12"/>
        <v>0</v>
      </c>
      <c r="M26" s="461">
        <f t="shared" si="13"/>
        <v>0</v>
      </c>
      <c r="N26" s="461">
        <f t="shared" si="14"/>
        <v>0</v>
      </c>
      <c r="O26" s="461">
        <f t="shared" si="15"/>
        <v>0</v>
      </c>
      <c r="P26" s="462">
        <f t="shared" si="16"/>
        <v>0</v>
      </c>
      <c r="Q26" s="460">
        <f t="shared" ca="1" si="17"/>
        <v>31123.405784782513</v>
      </c>
    </row>
    <row r="27" spans="1:17" s="466" customFormat="1">
      <c r="A27" s="464" t="s">
        <v>579</v>
      </c>
      <c r="B27" s="772">
        <f t="shared" ca="1" si="2"/>
        <v>1.0122248580072082</v>
      </c>
      <c r="C27" s="465">
        <f t="shared" ca="1" si="3"/>
        <v>0</v>
      </c>
      <c r="D27" s="465">
        <f t="shared" si="4"/>
        <v>2.7579524140259037</v>
      </c>
      <c r="E27" s="465">
        <f t="shared" si="5"/>
        <v>186.37728668630848</v>
      </c>
      <c r="F27" s="465">
        <f t="shared" si="6"/>
        <v>0</v>
      </c>
      <c r="G27" s="465">
        <f t="shared" si="7"/>
        <v>48111.193866533693</v>
      </c>
      <c r="H27" s="465">
        <f t="shared" si="8"/>
        <v>7607.435325117618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55908.776655609647</v>
      </c>
    </row>
    <row r="28" spans="1:17">
      <c r="A28" s="460" t="s">
        <v>569</v>
      </c>
      <c r="B28" s="461">
        <f t="shared" ca="1" si="2"/>
        <v>377.23958625968186</v>
      </c>
      <c r="C28" s="461">
        <f t="shared" ca="1" si="3"/>
        <v>0</v>
      </c>
      <c r="D28" s="461">
        <f t="shared" si="4"/>
        <v>0</v>
      </c>
      <c r="E28" s="461">
        <f t="shared" si="5"/>
        <v>0</v>
      </c>
      <c r="F28" s="461">
        <f t="shared" si="6"/>
        <v>0</v>
      </c>
      <c r="G28" s="461">
        <f t="shared" si="7"/>
        <v>2669.6498227749817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3046.8894090346635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1612.0642776628299</v>
      </c>
      <c r="C32" s="461">
        <f t="shared" ca="1" si="3"/>
        <v>0</v>
      </c>
      <c r="D32" s="461">
        <f t="shared" si="4"/>
        <v>4799.5097654738174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6411.5740431366476</v>
      </c>
    </row>
    <row r="33" spans="1:17" s="473" customFormat="1">
      <c r="A33" s="470" t="s">
        <v>573</v>
      </c>
      <c r="B33" s="471">
        <f ca="1">SUM(B22:B32)</f>
        <v>80186.150308764831</v>
      </c>
      <c r="C33" s="471">
        <f t="shared" ref="C33:Q33" ca="1" si="18">SUM(C22:C32)</f>
        <v>15.277310924369752</v>
      </c>
      <c r="D33" s="471">
        <f t="shared" ca="1" si="18"/>
        <v>114483.56714828459</v>
      </c>
      <c r="E33" s="471">
        <f t="shared" si="18"/>
        <v>1356.5248805721196</v>
      </c>
      <c r="F33" s="471">
        <f t="shared" ca="1" si="18"/>
        <v>13418.586062179558</v>
      </c>
      <c r="G33" s="471">
        <f t="shared" si="18"/>
        <v>50780.843689308676</v>
      </c>
      <c r="H33" s="471">
        <f t="shared" si="18"/>
        <v>7607.435325117618</v>
      </c>
      <c r="I33" s="471">
        <f t="shared" si="18"/>
        <v>0</v>
      </c>
      <c r="J33" s="471">
        <f t="shared" si="18"/>
        <v>146.71495932746785</v>
      </c>
      <c r="K33" s="471">
        <f t="shared" si="18"/>
        <v>0</v>
      </c>
      <c r="L33" s="471">
        <f t="shared" ca="1" si="18"/>
        <v>0</v>
      </c>
      <c r="M33" s="471">
        <f t="shared" si="18"/>
        <v>0</v>
      </c>
      <c r="N33" s="471">
        <f t="shared" ca="1" si="18"/>
        <v>0</v>
      </c>
      <c r="O33" s="471">
        <f t="shared" si="18"/>
        <v>0</v>
      </c>
      <c r="P33" s="471">
        <f t="shared" si="18"/>
        <v>0</v>
      </c>
      <c r="Q33" s="471">
        <f t="shared" ca="1" si="18"/>
        <v>267995.09968447924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8520.2798777547523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924</v>
      </c>
      <c r="B9" s="1037">
        <f>'SEAP template'!B77</f>
        <v>6367.5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18192.857142857145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14887.779877754752</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18192.857142857145</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0.2122912456182289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0.2122912456182289</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2019-08-12T07:54:44Z</dcterms:modified>
</cp:coreProperties>
</file>