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9" l="1"/>
  <c r="C98"/>
  <c r="C101" s="1"/>
  <c r="B10"/>
  <c r="O19"/>
  <c r="F20"/>
  <c r="O18"/>
  <c r="B17"/>
  <c r="B20" s="1"/>
  <c r="I102"/>
  <c r="H17" s="1"/>
  <c r="H20" s="1"/>
  <c r="E102"/>
  <c r="E17" s="1"/>
  <c r="E20" s="1"/>
  <c r="G102"/>
  <c r="C102"/>
  <c r="H102"/>
  <c r="D102"/>
  <c r="F102"/>
  <c r="B102"/>
  <c r="C17" s="1"/>
  <c r="I101"/>
  <c r="H8" s="1"/>
  <c r="H10" s="1"/>
  <c r="E101"/>
  <c r="E8" s="1"/>
  <c r="E10" s="1"/>
  <c r="G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P52"/>
  <c r="R44"/>
  <c r="Q26"/>
  <c r="J26"/>
  <c r="I26"/>
  <c r="E25"/>
  <c r="D14" i="48" s="1"/>
  <c r="C25" i="14"/>
  <c r="P26"/>
  <c r="H26"/>
  <c r="M22"/>
  <c r="R12"/>
  <c r="F13" i="15"/>
  <c r="D13"/>
  <c r="C13"/>
  <c r="Q14" i="48" l="1"/>
  <c r="H78" i="14"/>
  <c r="H9" i="56"/>
  <c r="H10" s="1"/>
  <c r="Q87" i="14"/>
  <c r="P17" i="56" s="1"/>
  <c r="D17"/>
  <c r="L90" i="14"/>
  <c r="L17" i="56"/>
  <c r="L20" s="1"/>
  <c r="G90" i="14"/>
  <c r="G18" i="56"/>
  <c r="C77" i="14"/>
  <c r="C9" i="56" s="1"/>
  <c r="D9"/>
  <c r="D10" s="1"/>
  <c r="Q88" i="14"/>
  <c r="P18" i="56" s="1"/>
  <c r="D18"/>
  <c r="L78" i="14"/>
  <c r="G78"/>
  <c r="Q89"/>
  <c r="P19" i="56" s="1"/>
  <c r="I87" i="14"/>
  <c r="I17" i="56" s="1"/>
  <c r="I20" s="1"/>
  <c r="O25" i="48"/>
  <c r="J78" i="14"/>
  <c r="Q76"/>
  <c r="P8" i="56" s="1"/>
  <c r="B10"/>
  <c r="L10"/>
  <c r="H20"/>
  <c r="O31" i="48"/>
  <c r="K78" i="14"/>
  <c r="K8" i="56"/>
  <c r="K10" s="1"/>
  <c r="O78" i="14"/>
  <c r="O9" i="56"/>
  <c r="O90" i="14"/>
  <c r="O18" i="56"/>
  <c r="K90" i="14"/>
  <c r="K18" i="56"/>
  <c r="K20" s="1"/>
  <c r="N78" i="14"/>
  <c r="N8" i="56"/>
  <c r="N10" s="1"/>
  <c r="C76" i="14"/>
  <c r="C8" i="56" s="1"/>
  <c r="E8"/>
  <c r="E10" s="1"/>
  <c r="M78" i="14"/>
  <c r="M8" i="56"/>
  <c r="M10" s="1"/>
  <c r="G10"/>
  <c r="O10"/>
  <c r="C88" i="14"/>
  <c r="C18" i="56" s="1"/>
  <c r="G20"/>
  <c r="O20"/>
  <c r="N90" i="14"/>
  <c r="F10" i="56"/>
  <c r="F20"/>
  <c r="F90" i="14"/>
  <c r="E20" i="56"/>
  <c r="D78" i="14"/>
  <c r="B76"/>
  <c r="B8" i="56" s="1"/>
  <c r="Q77" i="14"/>
  <c r="O17" i="18"/>
  <c r="O20" s="1"/>
  <c r="J87" i="14"/>
  <c r="B88"/>
  <c r="B18" i="56" s="1"/>
  <c r="C89" i="14"/>
  <c r="C19" i="56" s="1"/>
  <c r="B89" i="14"/>
  <c r="B19" i="56" s="1"/>
  <c r="B77" i="14"/>
  <c r="B9" i="56" s="1"/>
  <c r="O8" i="18"/>
  <c r="O10" s="1"/>
  <c r="N13" i="15"/>
  <c r="L13"/>
  <c r="O24" i="48"/>
  <c r="O30"/>
  <c r="P24"/>
  <c r="P30"/>
  <c r="R9" i="14"/>
  <c r="E78"/>
  <c r="I78"/>
  <c r="E55"/>
  <c r="R25"/>
  <c r="Q90"/>
  <c r="B17" i="6" s="1"/>
  <c r="B78" i="14"/>
  <c r="E90"/>
  <c r="I90"/>
  <c r="M90"/>
  <c r="D90"/>
  <c r="Q78" l="1"/>
  <c r="B9" i="6" s="1"/>
  <c r="P9" i="56"/>
  <c r="P10" s="1"/>
  <c r="P20"/>
  <c r="C10"/>
  <c r="D20"/>
  <c r="C78" i="14"/>
  <c r="B4" i="6" s="1"/>
  <c r="J90" i="14"/>
  <c r="J17" i="56"/>
  <c r="J20" s="1"/>
  <c r="C87" i="14"/>
  <c r="C17" i="56" s="1"/>
  <c r="C20" s="1"/>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9"/>
  <c r="E24"/>
  <c r="E30"/>
  <c r="E31"/>
  <c r="M12" i="13"/>
  <c r="N41" i="14" s="1"/>
  <c r="M17" i="48"/>
  <c r="K5"/>
  <c r="L10" i="14"/>
  <c r="L16" s="1"/>
  <c r="L27" s="1"/>
  <c r="D30" i="48"/>
  <c r="D28"/>
  <c r="D31"/>
  <c r="D24"/>
  <c r="D29"/>
  <c r="D32"/>
  <c r="Q10" i="14"/>
  <c r="P5" i="48"/>
  <c r="P23" s="1"/>
  <c r="K32"/>
  <c r="K27"/>
  <c r="K28"/>
  <c r="K25"/>
  <c r="K31"/>
  <c r="K24"/>
  <c r="K22"/>
  <c r="K30"/>
  <c r="K29"/>
  <c r="K26"/>
  <c r="J10" i="14"/>
  <c r="J16" s="1"/>
  <c r="J27" s="1"/>
  <c r="I5" i="48"/>
  <c r="J24"/>
  <c r="J32"/>
  <c r="J29"/>
  <c r="J31"/>
  <c r="J30"/>
  <c r="J28"/>
  <c r="J27"/>
  <c r="Q11" i="14"/>
  <c r="P4" i="48"/>
  <c r="B7"/>
  <c r="C24" i="14"/>
  <c r="C26" s="1"/>
  <c r="P11"/>
  <c r="O4" i="48"/>
  <c r="I29"/>
  <c r="I31"/>
  <c r="I28"/>
  <c r="I27"/>
  <c r="I32"/>
  <c r="I22"/>
  <c r="I24"/>
  <c r="I25"/>
  <c r="I26"/>
  <c r="I30"/>
  <c r="B38" i="13"/>
  <c r="L32" i="48"/>
  <c r="L28"/>
  <c r="L29"/>
  <c r="L24"/>
  <c r="L27"/>
  <c r="L22"/>
  <c r="L30"/>
  <c r="L31"/>
  <c r="E11" i="14"/>
  <c r="D4" i="48"/>
  <c r="D22" s="1"/>
  <c r="H25"/>
  <c r="H32"/>
  <c r="H24"/>
  <c r="H28"/>
  <c r="H26"/>
  <c r="H30"/>
  <c r="H22"/>
  <c r="H29"/>
  <c r="H23"/>
  <c r="D11" i="14"/>
  <c r="C4" i="48"/>
  <c r="G29"/>
  <c r="G32"/>
  <c r="G25"/>
  <c r="G26"/>
  <c r="G30"/>
  <c r="G22"/>
  <c r="G24"/>
  <c r="G23"/>
  <c r="C11" i="14"/>
  <c r="B4" i="48"/>
  <c r="F24"/>
  <c r="F32"/>
  <c r="F30"/>
  <c r="F29"/>
  <c r="F31"/>
  <c r="F28"/>
  <c r="F27"/>
  <c r="N24"/>
  <c r="N32"/>
  <c r="N30"/>
  <c r="N29"/>
  <c r="N27"/>
  <c r="N31"/>
  <c r="N28"/>
  <c r="B10"/>
  <c r="C19" i="14"/>
  <c r="N46"/>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4"/>
  <c r="M30"/>
  <c r="M29"/>
  <c r="M25"/>
  <c r="M23"/>
  <c r="K23"/>
  <c r="K33" s="1"/>
  <c r="K15"/>
  <c r="P10" i="14"/>
  <c r="O5" i="48"/>
  <c r="O23" s="1"/>
  <c r="O22"/>
  <c r="J46" i="14"/>
  <c r="J61" s="1"/>
  <c r="Q16"/>
  <c r="Q27" s="1"/>
  <c r="L63"/>
  <c r="L46"/>
  <c r="L61" s="1"/>
  <c r="F4" i="48"/>
  <c r="F22" s="1"/>
  <c r="G11" i="14"/>
  <c r="I18"/>
  <c r="H13" i="48"/>
  <c r="H31" s="1"/>
  <c r="Q13" i="14"/>
  <c r="P8" i="48"/>
  <c r="P26" s="1"/>
  <c r="G13"/>
  <c r="H18" i="14"/>
  <c r="N18"/>
  <c r="M13" i="48"/>
  <c r="M31" s="1"/>
  <c r="I23"/>
  <c r="I33" s="1"/>
  <c r="I15"/>
  <c r="J12" i="17"/>
  <c r="K54" i="14" s="1"/>
  <c r="K56" s="1"/>
  <c r="J7" i="48"/>
  <c r="J25" s="1"/>
  <c r="K24" i="14"/>
  <c r="K26" s="1"/>
  <c r="P22" i="48"/>
  <c r="P33" s="1"/>
  <c r="J63" i="14"/>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O8" i="48" l="1"/>
  <c r="O26" s="1"/>
  <c r="O33" s="1"/>
  <c r="P13" i="14"/>
  <c r="N4" i="48"/>
  <c r="N22" s="1"/>
  <c r="O11" i="14"/>
  <c r="H19"/>
  <c r="G10" i="48"/>
  <c r="G31"/>
  <c r="Q13"/>
  <c r="K11" i="14"/>
  <c r="J4" i="48"/>
  <c r="N20" i="14"/>
  <c r="M9" i="48"/>
  <c r="E7"/>
  <c r="E25" s="1"/>
  <c r="F24" i="14"/>
  <c r="F26" s="1"/>
  <c r="R18"/>
  <c r="F20"/>
  <c r="F22" s="1"/>
  <c r="E9" i="48"/>
  <c r="E27" s="1"/>
  <c r="H9"/>
  <c r="I20" i="14"/>
  <c r="I22" s="1"/>
  <c r="I27" s="1"/>
  <c r="E12" i="17"/>
  <c r="F54" i="14" s="1"/>
  <c r="F56" s="1"/>
  <c r="P15" i="48"/>
  <c r="P16" i="14"/>
  <c r="P27" s="1"/>
  <c r="N19"/>
  <c r="N22" s="1"/>
  <c r="N27" s="1"/>
  <c r="N63" s="1"/>
  <c r="M10" i="48"/>
  <c r="M28" s="1"/>
  <c r="E20" i="14"/>
  <c r="E22" s="1"/>
  <c r="D9" i="48"/>
  <c r="D27" s="1"/>
  <c r="B9"/>
  <c r="C20" i="14"/>
  <c r="E12" i="13"/>
  <c r="F41" i="14" s="1"/>
  <c r="E4" i="48"/>
  <c r="F11" i="14"/>
  <c r="D18" i="22"/>
  <c r="E50" i="14" s="1"/>
  <c r="E52" s="1"/>
  <c r="Q63"/>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J16" i="15"/>
  <c r="N12" i="17"/>
  <c r="O54" i="14" s="1"/>
  <c r="O56" s="1"/>
  <c r="E16" i="15"/>
  <c r="O22" i="16"/>
  <c r="P43" i="14" s="1"/>
  <c r="P46" s="1"/>
  <c r="P61" s="1"/>
  <c r="P63" s="1"/>
  <c r="G58" i="22"/>
  <c r="H49" i="14" s="1"/>
  <c r="H52" s="1"/>
  <c r="H61"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E22" i="48" l="1"/>
  <c r="Q4"/>
  <c r="C22" i="14"/>
  <c r="J22" i="48"/>
  <c r="H27"/>
  <c r="H33" s="1"/>
  <c r="H15"/>
  <c r="H20" i="14"/>
  <c r="R20" s="1"/>
  <c r="G9" i="48"/>
  <c r="Q9" s="1"/>
  <c r="M27"/>
  <c r="M33" s="1"/>
  <c r="M15"/>
  <c r="J5"/>
  <c r="J23" s="1"/>
  <c r="K10" i="14"/>
  <c r="G28" i="48"/>
  <c r="Q10"/>
  <c r="F10" i="14"/>
  <c r="E5" i="48"/>
  <c r="E23" s="1"/>
  <c r="R11" i="14"/>
  <c r="R19"/>
  <c r="O15" i="48"/>
  <c r="E46" i="14"/>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K13"/>
  <c r="K16" s="1"/>
  <c r="K27" s="1"/>
  <c r="K63" s="1"/>
  <c r="J8" i="48"/>
  <c r="J26" s="1"/>
  <c r="H22" i="14"/>
  <c r="H27" s="1"/>
  <c r="H63" s="1"/>
  <c r="F13"/>
  <c r="E8" i="48"/>
  <c r="G27"/>
  <c r="G33" s="1"/>
  <c r="G15"/>
  <c r="K46" i="14"/>
  <c r="K61" s="1"/>
  <c r="Q5" i="48"/>
  <c r="E63" i="14"/>
  <c r="F16"/>
  <c r="F27" s="1"/>
  <c r="F46"/>
  <c r="F61" s="1"/>
  <c r="J33" i="48"/>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<sst xmlns="http://schemas.openxmlformats.org/spreadsheetml/2006/main" count="2531" uniqueCount="972">
  <si>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</si>
  <si>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</si>
  <si>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</si>
  <si>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</si>
  <si>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</si>
  <si>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</si>
  <si>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</si>
  <si>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</si>
  <si>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</si>
  <si>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</si>
  <si>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</si>
  <si>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</si>
  <si>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</si>
  <si>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</si>
  <si>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</si>
  <si>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</si>
  <si>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</si>
  <si>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</si>
  <si>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</si>
  <si>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</si>
  <si>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</si>
  <si>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</si>
  <si>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</si>
  <si>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</si>
  <si>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</si>
  <si>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</si>
  <si>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</si>
  <si>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</si>
  <si>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</si>
  <si>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</si>
  <si>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</si>
  <si>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</si>
  <si>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</si>
  <si>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</si>
  <si>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</si>
  <si>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</si>
  <si>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</si>
  <si>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</si>
  <si>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</si>
  <si>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</si>
  <si>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</si>
  <si>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</si>
  <si>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</si>
  <si>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</si>
  <si>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</si>
  <si>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</si>
  <si>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</si>
  <si>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</si>
  <si>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</si>
  <si>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</si>
  <si>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</si>
  <si>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</si>
  <si>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</si>
  <si>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</si>
  <si>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</si>
  <si>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</si>
  <si>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</si>
  <si>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</si>
  <si>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</si>
  <si>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</si>
  <si>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</si>
  <si>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</si>
  <si>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</si>
  <si>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</si>
  <si>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</si>
  <si>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</si>
  <si>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</si>
  <si>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</si>
  <si>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</si>
  <si>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</si>
  <si>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</si>
  <si>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</si>
  <si>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</si>
  <si>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</si>
  <si>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</si>
  <si>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</si>
  <si>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</si>
  <si>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</si>
  <si>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</si>
  <si>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</si>
  <si>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</si>
  <si>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</si>
  <si>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</si>
  <si>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</si>
  <si>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</si>
  <si>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</si>
  <si>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</si>
  <si>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</si>
  <si>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</si>
  <si>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</si>
  <si>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</si>
  <si>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</si>
  <si>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</si>
  <si>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</si>
  <si>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</si>
  <si>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</si>
  <si>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</si>
  <si>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</si>
  <si>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</si>
  <si>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</si>
  <si>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</si>
  <si>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</si>
  <si>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</si>
  <si>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</si>
  <si>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</si>
  <si>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</si>
  <si>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</si>
  <si>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</si>
  <si>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</si>
  <si>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</si>
  <si>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</si>
  <si>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</si>
  <si>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</si>
  <si>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</si>
  <si>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</si>
  <si>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</si>
  <si>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</si>
  <si>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</si>
  <si>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</si>
  <si>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</si>
  <si>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</si>
  <si>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</si>
  <si>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</si>
  <si>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</si>
  <si>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</si>
  <si>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</si>
  <si>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</si>
  <si>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</si>
  <si>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</si>
  <si>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</si>
  <si>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</si>
  <si>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</si>
  <si>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</si>
  <si>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</si>
  <si>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</si>
  <si>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</si>
  <si>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</si>
  <si>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</si>
  <si>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</si>
  <si>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</si>
  <si>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</si>
  <si>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</si>
  <si>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</si>
  <si>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</si>
  <si>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</si>
  <si>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</si>
  <si>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</si>
  <si>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</si>
  <si>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</si>
  <si>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</si>
  <si>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</si>
  <si>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</si>
  <si>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</si>
  <si>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</si>
  <si>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</si>
  <si>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</si>
  <si>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</si>
  <si>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</si>
  <si>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</si>
  <si>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</si>
  <si>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</si>
  <si>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</si>
  <si>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</si>
  <si>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</si>
  <si>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</si>
  <si>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</si>
  <si>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</si>
  <si>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</si>
  <si>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</si>
  <si>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</si>
  <si>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</si>
  <si>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</si>
  <si>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</si>
  <si>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</si>
  <si>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</si>
  <si>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</si>
  <si>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</si>
  <si>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</si>
  <si>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</si>
  <si>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</si>
  <si>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</si>
  <si>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</si>
  <si>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</si>
  <si>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</si>
  <si>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</si>
  <si>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</si>
  <si>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</si>
  <si>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</si>
  <si>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</si>
  <si>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</si>
  <si>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</si>
  <si>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</si>
  <si>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</si>
  <si>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</si>
  <si>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</si>
  <si>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</si>
  <si>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</si>
  <si>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</si>
  <si>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</si>
  <si>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</si>
  <si>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</si>
  <si>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</si>
  <si>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</si>
  <si>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</si>
  <si>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</si>
  <si>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</si>
  <si>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</si>
  <si>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</si>
  <si>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</si>
  <si>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</si>
  <si>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</si>
  <si>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</si>
  <si>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</si>
  <si>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</si>
  <si>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</si>
  <si>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</si>
  <si>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</si>
  <si>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</si>
  <si>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</si>
  <si>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</si>
  <si>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</si>
  <si>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</si>
  <si>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</si>
  <si>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</si>
  <si>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</si>
  <si>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</si>
  <si>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</si>
  <si>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</si>
  <si>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</si>
  <si>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</si>
  <si>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</si>
  <si>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</si>
  <si>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</si>
  <si>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</si>
  <si>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</si>
  <si>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</si>
  <si>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</si>
  <si>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</si>
  <si>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</si>
  <si>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</si>
  <si>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</si>
  <si>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</si>
  <si>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</si>
  <si>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</si>
  <si>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</si>
  <si>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</si>
  <si>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</si>
  <si>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</si>
  <si>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</si>
  <si>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</si>
  <si>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</si>
  <si>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</si>
  <si>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</si>
  <si>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</si>
  <si>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</si>
  <si>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</si>
  <si>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</si>
  <si>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</si>
  <si>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</si>
  <si>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</si>
  <si>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</si>
  <si>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</si>
  <si>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</si>
  <si>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</si>
  <si>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</si>
  <si>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</si>
  <si>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</si>
  <si>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</si>
  <si>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</si>
  <si>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</si>
  <si>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</si>
  <si>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</si>
  <si>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</si>
  <si>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</si>
  <si>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</si>
  <si>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</si>
  <si>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</si>
  <si>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</si>
  <si>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</si>
  <si>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</si>
  <si>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</si>
  <si>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</si>
  <si>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</si>
  <si>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</si>
  <si>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</si>
  <si>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</si>
  <si>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</si>
  <si>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</si>
  <si>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</si>
  <si>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</si>
  <si>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</si>
  <si>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</si>
  <si>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</si>
  <si>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</si>
  <si>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</si>
  <si>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</si>
  <si>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</si>
  <si>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</si>
  <si>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</si>
  <si>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</si>
  <si>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</si>
  <si>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</si>
  <si>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</si>
  <si>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</si>
  <si>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</si>
  <si>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</si>
  <si>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</si>
  <si>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</si>
  <si>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</si>
  <si>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</si>
  <si>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</si>
  <si>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</si>
  <si>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</si>
  <si>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</si>
  <si>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</si>
  <si>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</si>
  <si>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</si>
  <si>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</si>
  <si>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</si>
  <si>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</si>
  <si>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</si>
  <si>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</si>
  <si>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</si>
  <si>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</si>
  <si>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</si>
  <si>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</si>
  <si>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</si>
  <si>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</si>
  <si>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</si>
  <si>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</si>
  <si>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</si>
  <si>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</si>
  <si>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</si>
  <si>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</si>
  <si>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</si>
  <si>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</si>
  <si>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</si>
  <si>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</si>
  <si>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</si>
  <si>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</si>
  <si>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</si>
  <si>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</si>
  <si>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</si>
  <si>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</si>
  <si>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</si>
  <si>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</si>
  <si>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</si>
  <si>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</si>
  <si>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</si>
  <si>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</si>
  <si>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</si>
  <si>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</si>
  <si>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</si>
  <si>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</si>
  <si>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</si>
  <si>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</si>
  <si>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</si>
  <si>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</si>
  <si>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</si>
  <si>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</si>
  <si>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</si>
  <si>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</si>
  <si>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</si>
  <si>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</si>
  <si>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</si>
  <si>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</si>
  <si>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</si>
  <si>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</si>
  <si>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</si>
  <si>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</si>
  <si>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</si>
  <si>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</si>
  <si>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</si>
  <si>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</si>
  <si>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</si>
  <si>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</si>
  <si>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</si>
  <si>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</si>
  <si>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</si>
  <si>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</si>
  <si>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</si>
  <si>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</si>
  <si>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</si>
  <si>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</si>
  <si>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</si>
  <si>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</si>
  <si>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</si>
  <si>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</si>
  <si>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</si>
  <si>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</si>
  <si>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</si>
  <si>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</si>
  <si>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</si>
  <si>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</si>
  <si>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</si>
  <si>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</si>
  <si>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</si>
  <si>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</si>
  <si>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</si>
  <si>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</si>
  <si>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</si>
  <si>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</si>
  <si>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</si>
  <si>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</si>
  <si>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</si>
  <si>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</si>
  <si>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</si>
  <si>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</si>
  <si>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</si>
  <si>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</si>
  <si>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</si>
  <si>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</si>
  <si>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</si>
  <si>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</si>
  <si>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</si>
  <si>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</si>
  <si>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</si>
  <si>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</si>
  <si>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</si>
  <si>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</si>
  <si>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</si>
  <si>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</si>
  <si>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</si>
  <si>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</si>
  <si>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</si>
  <si>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</si>
  <si>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</si>
  <si>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</si>
  <si>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</si>
  <si>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</si>
  <si>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</si>
  <si>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</si>
  <si>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</si>
  <si>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</si>
  <si>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</si>
  <si>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</si>
  <si>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</si>
  <si>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</si>
  <si>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</si>
  <si>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</si>
  <si>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</si>
  <si>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</si>
  <si>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</si>
  <si>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</si>
  <si>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</si>
  <si>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</si>
  <si>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</si>
  <si>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</si>
  <si>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</si>
  <si>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</si>
  <si>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</si>
  <si>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</si>
  <si>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</si>
  <si>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</si>
  <si>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</si>
  <si>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</si>
  <si>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</si>
  <si>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</si>
  <si>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</si>
  <si>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</si>
  <si>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</si>
  <si>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</si>
  <si>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</si>
  <si>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</si>
  <si>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</si>
  <si>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</si>
  <si>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</si>
  <si>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</si>
  <si>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</si>
  <si>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</si>
  <si>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</si>
  <si>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</si>
  <si>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</si>
  <si>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</si>
  <si>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</si>
  <si>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</si>
  <si>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</si>
  <si>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</si>
  <si>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</si>
  <si>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</si>
  <si>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</si>
  <si>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</si>
  <si>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</si>
  <si>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</si>
  <si>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</si>
  <si>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</si>
  <si>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</si>
  <si>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</si>
  <si>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</si>
  <si>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</si>
  <si>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</si>
  <si>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</si>
  <si>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</si>
  <si>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</si>
  <si>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</si>
  <si>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</si>
  <si>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</si>
  <si>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</si>
  <si>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</si>
  <si>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</si>
  <si>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</si>
  <si>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</si>
  <si>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</si>
  <si>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</si>
  <si>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</si>
  <si>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</si>
  <si>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</si>
  <si>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</si>
  <si>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</si>
  <si>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</si>
  <si>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</si>
  <si>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</si>
  <si>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</si>
  <si>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</si>
  <si>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</si>
  <si>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</si>
  <si>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</si>
  <si>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</si>
  <si>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</si>
  <si>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</si>
  <si>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</si>
  <si>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</si>
  <si>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</si>
  <si>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</si>
  <si>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</si>
  <si>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</si>
  <si>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</si>
  <si>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</si>
  <si>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</si>
  <si>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</si>
  <si>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</si>
  <si>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</si>
  <si>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</si>
  <si>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</si>
  <si>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</si>
  <si>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</si>
  <si>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</si>
  <si>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</si>
  <si>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</si>
  <si>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</si>
  <si>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</si>
  <si>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</si>
  <si>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</si>
  <si>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</si>
  <si>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</si>
  <si>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</si>
  <si>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</si>
  <si>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</si>
  <si>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</si>
  <si>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</si>
  <si>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</si>
  <si>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</si>
  <si>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</si>
  <si>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</si>
  <si>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</si>
  <si>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</si>
  <si>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</si>
  <si>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</si>
  <si>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</si>
  <si>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</si>
  <si>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</si>
  <si>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</si>
  <si>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</si>
  <si>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</si>
  <si>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</si>
  <si>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</si>
  <si>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</si>
  <si>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</si>
  <si>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</si>
  <si>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</si>
  <si>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</si>
  <si>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</si>
  <si>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</si>
  <si>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</si>
  <si>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</si>
  <si>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</si>
  <si>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</si>
  <si>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</si>
  <si>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</si>
  <si>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</si>
  <si>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</si>
  <si>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</si>
  <si>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</si>
  <si>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</si>
  <si>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</si>
  <si>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</si>
  <si>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</si>
  <si>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</si>
  <si>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</si>
  <si>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</si>
  <si>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</si>
  <si>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</si>
  <si>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</si>
  <si>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</si>
  <si>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</si>
  <si>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</si>
  <si>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</si>
  <si>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</si>
  <si>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</si>
  <si>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</si>
  <si>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</si>
  <si>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</si>
  <si>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</si>
  <si>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</si>
  <si>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</si>
  <si>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</si>
  <si>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</si>
  <si>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</si>
  <si>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</si>
  <si>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</si>
  <si>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</si>
  <si>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</si>
  <si>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</si>
  <si>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</si>
  <si>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</si>
  <si>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</si>
  <si>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</si>
  <si>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</si>
  <si>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</si>
  <si>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</si>
  <si>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</si>
  <si>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</si>
  <si>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</si>
  <si>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</si>
  <si>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</si>
  <si>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</si>
  <si>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</si>
  <si>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</si>
  <si>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</si>
  <si>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</si>
  <si>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</si>
  <si>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</si>
  <si>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</si>
  <si>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</si>
  <si>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</si>
  <si>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</si>
  <si>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</si>
  <si>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</si>
  <si>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</si>
  <si>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</si>
  <si>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</si>
  <si>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</si>
  <si>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</si>
  <si>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</si>
  <si>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</si>
  <si>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</si>
  <si>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</si>
  <si>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</si>
  <si>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</si>
  <si>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</si>
  <si>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</si>
  <si>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</si>
  <si>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</si>
  <si>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</si>
  <si>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</si>
  <si>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</si>
  <si>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</si>
  <si>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</si>
  <si>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</si>
  <si>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</si>
  <si>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</si>
  <si>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</si>
  <si>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</si>
  <si>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</si>
  <si>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</si>
  <si>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</si>
  <si>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</si>
  <si>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</si>
  <si>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</si>
  <si>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</si>
  <si>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</si>
  <si>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</si>
  <si>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</si>
  <si>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</si>
  <si>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</si>
  <si>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</si>
  <si>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</si>
  <si>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</si>
  <si>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</si>
  <si>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</si>
  <si>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</si>
  <si>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</si>
  <si>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</si>
  <si>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</si>
  <si>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</si>
  <si>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</si>
  <si>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</si>
  <si>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</si>
  <si>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</si>
  <si>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</si>
  <si>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</si>
  <si>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</si>
  <si>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</si>
  <si>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</si>
  <si>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</si>
  <si>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</si>
  <si>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</si>
  <si>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</si>
  <si>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</si>
  <si>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</si>
  <si>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</si>
  <si>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</si>
  <si>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</si>
  <si>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</si>
  <si>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</si>
  <si>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</si>
  <si>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</si>
  <si>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</si>
  <si>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</si>
  <si>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</si>
  <si>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</si>
  <si>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</si>
  <si>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</si>
  <si>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</si>
  <si>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</si>
  <si>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</si>
  <si>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</si>
  <si>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</si>
  <si>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</si>
  <si>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</si>
  <si>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</si>
  <si>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</si>
  <si>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</si>
  <si>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</si>
  <si>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</si>
  <si>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</si>
  <si>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</si>
  <si>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</si>
  <si>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</si>
  <si>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</si>
  <si>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</si>
  <si>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</si>
  <si>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</si>
  <si>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</si>
  <si>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</si>
  <si>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</si>
  <si>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</si>
  <si>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</si>
  <si>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</si>
  <si>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</si>
  <si>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</si>
  <si>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</si>
  <si>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</si>
  <si>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</si>
  <si>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</si>
  <si>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</si>
  <si>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</si>
  <si>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</si>
  <si>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</si>
  <si>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</si>
  <si>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</si>
  <si>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</si>
  <si>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</si>
  <si>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</si>
  <si>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</si>
  <si>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</si>
  <si>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</si>
  <si>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</si>
  <si>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</si>
  <si>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</si>
  <si>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</si>
  <si>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</si>
  <si>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</si>
  <si>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</si>
  <si>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</si>
  <si>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</si>
  <si>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</si>
  <si>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</si>
  <si>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</si>
  <si>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</si>
  <si>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</si>
  <si>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</si>
  <si>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</si>
  <si>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</si>
  <si>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</si>
  <si>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</si>
  <si>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</si>
  <si>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</si>
  <si>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</si>
  <si>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</si>
  <si>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</si>
  <si>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</si>
  <si>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</si>
  <si>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</si>
  <si>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</si>
  <si>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</si>
  <si>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</si>
  <si>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</si>
  <si>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</si>
  <si>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</si>
  <si>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</si>
  <si>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</si>
  <si>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</si>
  <si>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</si>
  <si>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</si>
  <si>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</si>
  <si>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</si>
  <si>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</si>
  <si>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</si>
  <si>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</si>
  <si>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</si>
  <si>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</si>
  <si>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</si>
  <si>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</si>
  <si>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</si>
  <si>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</si>
  <si>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</si>
  <si>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</si>
  <si>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</si>
  <si>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</si>
  <si>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</si>
  <si>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</si>
  <si>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</si>
  <si>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</si>
  <si>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</si>
  <si>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</si>
  <si>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</si>
  <si>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</si>
  <si>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</si>
  <si>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</si>
  <si>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</si>
  <si>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</si>
  <si>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</si>
  <si>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</si>
  <si>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</si>
  <si>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</si>
  <si>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</si>
  <si>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</si>
  <si>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</si>
  <si>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</si>
  <si>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</si>
  <si>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</si>
  <si>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</si>
  <si>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</si>
  <si>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</si>
  <si>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</si>
  <si>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</si>
  <si>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</si>
  <si>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</si>
  <si>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</si>
  <si>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</si>
  <si>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</si>
  <si>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</si>
  <si>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</si>
  <si>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</si>
  <si>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</si>
  <si>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</si>
  <si>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</si>
  <si>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</si>
  <si>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</si>
  <si>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</si>
  <si>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</si>
  <si>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</si>
  <si>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</si>
  <si>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</si>
  <si>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</si>
  <si>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</si>
  <si>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</si>
  <si>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</si>
  <si>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</si>
  <si>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</si>
  <si>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</si>
  <si>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</si>
  <si>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</si>
  <si>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</si>
  <si>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</si>
  <si>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</si>
  <si>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</si>
  <si>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</si>
  <si>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</si>
  <si>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</si>
  <si>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</si>
  <si>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</si>
  <si>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</si>
  <si>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</si>
  <si>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</si>
  <si>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</si>
  <si>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</si>
  <si>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</si>
  <si>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</si>
  <si>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</si>
  <si>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</si>
  <si>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</si>
  <si>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</si>
  <si>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</si>
  <si>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</si>
  <si>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</si>
  <si>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</si>
  <si>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</si>
  <si>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</si>
  <si>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</si>
  <si>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</si>
  <si>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</si>
  <si>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</si>
  <si>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</si>
  <si>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</si>
  <si>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</si>
  <si>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</si>
  <si>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</si>
  <si>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</si>
  <si>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</si>
  <si>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</si>
  <si>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</si>
  <si>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</si>
  <si>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</si>
  <si>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</si>
  <si>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</si>
  <si>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</si>
  <si>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</si>
  <si>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</si>
  <si>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</si>
  <si>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</si>
  <si>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</si>
  <si>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</si>
  <si>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</si>
  <si>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</si>
  <si>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</si>
  <si>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</si>
  <si>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</si>
  <si>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</si>
  <si>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</si>
  <si>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</si>
  <si>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</si>
  <si>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</si>
  <si>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</si>
  <si>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</si>
  <si>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</si>
  <si>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</si>
  <si>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</si>
  <si>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</si>
  <si>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</si>
  <si>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</si>
  <si>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</si>
  <si>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</si>
  <si>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</si>
  <si>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</si>
  <si>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</si>
  <si>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</si>
  <si>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</si>
  <si>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</si>
  <si>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</si>
  <si>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</si>
  <si>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34013</t>
  </si>
  <si>
    <t>HARELBEKE</t>
  </si>
  <si>
    <t>Paarden&amp;pony's 200 - 600 kg</t>
  </si>
  <si>
    <t>Paarden&amp;pony's &lt; 200 kg</t>
  </si>
  <si>
    <t>op basis van VEA (maart 2018) en Inventaris Hernieuwbare Energiebronnen (juni 2018)</t>
  </si>
  <si>
    <t>VEA (juni 2018)</t>
  </si>
  <si>
    <t>Aspiravi nv</t>
  </si>
  <si>
    <t>Vaarnewijkstraat 18, 8530 Harelbeke</t>
  </si>
  <si>
    <t>WKK-0094 Agristo</t>
  </si>
  <si>
    <t>interne verbrandingsmotor</t>
  </si>
  <si>
    <t>WKK interne verbrandinsgmotor (gas)</t>
  </si>
  <si>
    <t>Vaarnewijkstraat 17 , 8530 Harelbeke</t>
  </si>
  <si>
    <t>Infrax West</t>
  </si>
  <si>
    <t>Horizon NV en Kwekerij Horizon bvba</t>
  </si>
  <si>
    <t>Ginstestraat 44, 8531 Hulste</t>
  </si>
  <si>
    <t>WKK-0155 Horizon nv</t>
  </si>
  <si>
    <t>Groeikracht Bavikhove NV</t>
  </si>
  <si>
    <t>Knollingstraat 12 , 8850 Ardooie</t>
  </si>
  <si>
    <t>WKK-0300 Groeikracht Bavikhove</t>
  </si>
  <si>
    <t>Eerste Aardstraat 30 , 8531 Bavikhove</t>
  </si>
  <si>
    <t>OCMW Harelbeke</t>
  </si>
  <si>
    <t>Paretteplein 19 , 8530 Harelbeke</t>
  </si>
  <si>
    <t>WKK-0564 OCMW Harelbeke</t>
  </si>
  <si>
    <t>Vrijdomkaai 31 , 8530 Harelbeke</t>
  </si>
  <si>
    <t>Aquafin NV</t>
  </si>
  <si>
    <t>Dijkstraat 8, 2630 Aartselaar</t>
  </si>
  <si>
    <t>BGS-0056 RWZI Harelbeke</t>
  </si>
  <si>
    <t>biogas - RWZI</t>
  </si>
  <si>
    <t>niet WKK interne verbrandingsmotor (gas)</t>
  </si>
  <si>
    <t>Kortrijksesteenweg 266, 8530 Harelbeke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</si>
</sst>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34013</v>
      </c>
      <c r="B6" s="397"/>
      <c r="C6" s="398"/>
    </row>
    <row r="7" spans="1:7" s="395" customFormat="1" ht="15.75" customHeight="1">
      <c r="A7" s="399" t="str">
        <f>txtMunicipality</f>
        <v>HARELBEKE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0.18647414308464413</v>
      </c>
      <c r="C17" s="510">
        <f ca="1">'EF ele_warmte'!B22</f>
        <v>0.22763792387543258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0.18647414308464413</v>
      </c>
      <c r="C29" s="511">
        <f ca="1">'EF ele_warmte'!B22</f>
        <v>0.22763792387543258</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34013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11404</v>
      </c>
      <c r="C9" s="338">
        <v>11608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1139</v>
      </c>
    </row>
    <row r="15" spans="1:6">
      <c r="A15" s="1286" t="s">
        <v>184</v>
      </c>
      <c r="B15" s="335">
        <v>14</v>
      </c>
    </row>
    <row r="16" spans="1:6">
      <c r="A16" s="1286" t="s">
        <v>6</v>
      </c>
      <c r="B16" s="335">
        <v>359</v>
      </c>
    </row>
    <row r="17" spans="1:6">
      <c r="A17" s="1286" t="s">
        <v>7</v>
      </c>
      <c r="B17" s="335">
        <v>424</v>
      </c>
    </row>
    <row r="18" spans="1:6">
      <c r="A18" s="1286" t="s">
        <v>8</v>
      </c>
      <c r="B18" s="335">
        <v>558</v>
      </c>
    </row>
    <row r="19" spans="1:6">
      <c r="A19" s="1286" t="s">
        <v>9</v>
      </c>
      <c r="B19" s="335">
        <v>489</v>
      </c>
    </row>
    <row r="20" spans="1:6">
      <c r="A20" s="1286" t="s">
        <v>10</v>
      </c>
      <c r="B20" s="335">
        <v>504</v>
      </c>
    </row>
    <row r="21" spans="1:6">
      <c r="A21" s="1286" t="s">
        <v>11</v>
      </c>
      <c r="B21" s="335">
        <v>1672</v>
      </c>
    </row>
    <row r="22" spans="1:6">
      <c r="A22" s="1286" t="s">
        <v>12</v>
      </c>
      <c r="B22" s="335">
        <v>6613</v>
      </c>
    </row>
    <row r="23" spans="1:6">
      <c r="A23" s="1286" t="s">
        <v>13</v>
      </c>
      <c r="B23" s="335">
        <v>55</v>
      </c>
    </row>
    <row r="24" spans="1:6">
      <c r="A24" s="1286" t="s">
        <v>14</v>
      </c>
      <c r="B24" s="335">
        <v>4</v>
      </c>
    </row>
    <row r="25" spans="1:6">
      <c r="A25" s="1286" t="s">
        <v>15</v>
      </c>
      <c r="B25" s="335">
        <v>382</v>
      </c>
    </row>
    <row r="26" spans="1:6">
      <c r="A26" s="1286" t="s">
        <v>16</v>
      </c>
      <c r="B26" s="335">
        <v>96</v>
      </c>
    </row>
    <row r="27" spans="1:6">
      <c r="A27" s="1286" t="s">
        <v>17</v>
      </c>
      <c r="B27" s="335">
        <v>0</v>
      </c>
    </row>
    <row r="28" spans="1:6" s="341" customFormat="1">
      <c r="A28" s="1287" t="s">
        <v>18</v>
      </c>
      <c r="B28" s="1287">
        <v>62426</v>
      </c>
    </row>
    <row r="29" spans="1:6">
      <c r="A29" s="1287" t="s">
        <v>944</v>
      </c>
      <c r="B29" s="1287">
        <v>38</v>
      </c>
      <c r="C29" s="341"/>
      <c r="D29" s="341"/>
      <c r="E29" s="341"/>
      <c r="F29" s="341"/>
    </row>
    <row r="30" spans="1:6">
      <c r="A30" s="1282" t="s">
        <v>945</v>
      </c>
      <c r="B30" s="1282">
        <v>13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3</v>
      </c>
      <c r="D35" s="335">
        <v>1373246</v>
      </c>
      <c r="E35" s="335">
        <v>0</v>
      </c>
      <c r="F35" s="335">
        <v>0</v>
      </c>
    </row>
    <row r="36" spans="1:6">
      <c r="A36" s="1286" t="s">
        <v>25</v>
      </c>
      <c r="B36" s="1286" t="s">
        <v>27</v>
      </c>
      <c r="C36" s="335">
        <v>0</v>
      </c>
      <c r="D36" s="335">
        <v>0</v>
      </c>
      <c r="E36" s="335">
        <v>11</v>
      </c>
      <c r="F36" s="335">
        <v>26572</v>
      </c>
    </row>
    <row r="37" spans="1:6">
      <c r="A37" s="1286" t="s">
        <v>25</v>
      </c>
      <c r="B37" s="1286" t="s">
        <v>28</v>
      </c>
      <c r="C37" s="335">
        <v>0</v>
      </c>
      <c r="D37" s="335">
        <v>0</v>
      </c>
      <c r="E37" s="335">
        <v>0</v>
      </c>
      <c r="F37" s="335">
        <v>0</v>
      </c>
    </row>
    <row r="38" spans="1:6">
      <c r="A38" s="1286" t="s">
        <v>25</v>
      </c>
      <c r="B38" s="1286" t="s">
        <v>29</v>
      </c>
      <c r="C38" s="335">
        <v>2</v>
      </c>
      <c r="D38" s="335">
        <v>238618</v>
      </c>
      <c r="E38" s="335">
        <v>0</v>
      </c>
      <c r="F38" s="335">
        <v>0</v>
      </c>
    </row>
    <row r="39" spans="1:6">
      <c r="A39" s="1286" t="s">
        <v>30</v>
      </c>
      <c r="B39" s="1286" t="s">
        <v>31</v>
      </c>
      <c r="C39" s="335">
        <v>8670</v>
      </c>
      <c r="D39" s="335">
        <v>135188667</v>
      </c>
      <c r="E39" s="335">
        <v>11458</v>
      </c>
      <c r="F39" s="335">
        <v>42465765</v>
      </c>
    </row>
    <row r="40" spans="1:6">
      <c r="A40" s="1286" t="s">
        <v>30</v>
      </c>
      <c r="B40" s="1286" t="s">
        <v>29</v>
      </c>
      <c r="C40" s="335">
        <v>0</v>
      </c>
      <c r="D40" s="335">
        <v>0</v>
      </c>
      <c r="E40" s="335">
        <v>0</v>
      </c>
      <c r="F40" s="335">
        <v>0</v>
      </c>
    </row>
    <row r="41" spans="1:6">
      <c r="A41" s="1286" t="s">
        <v>32</v>
      </c>
      <c r="B41" s="1286" t="s">
        <v>33</v>
      </c>
      <c r="C41" s="335">
        <v>105</v>
      </c>
      <c r="D41" s="335">
        <v>6068647</v>
      </c>
      <c r="E41" s="335">
        <v>276</v>
      </c>
      <c r="F41" s="335">
        <v>13566808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19</v>
      </c>
      <c r="D44" s="335">
        <v>4063817</v>
      </c>
      <c r="E44" s="335">
        <v>59</v>
      </c>
      <c r="F44" s="335">
        <v>3876799</v>
      </c>
    </row>
    <row r="45" spans="1:6">
      <c r="A45" s="1286" t="s">
        <v>32</v>
      </c>
      <c r="B45" s="1286" t="s">
        <v>37</v>
      </c>
      <c r="C45" s="335">
        <v>5</v>
      </c>
      <c r="D45" s="335">
        <v>3745206</v>
      </c>
      <c r="E45" s="335">
        <v>10</v>
      </c>
      <c r="F45" s="335">
        <v>3568369</v>
      </c>
    </row>
    <row r="46" spans="1:6">
      <c r="A46" s="1286" t="s">
        <v>32</v>
      </c>
      <c r="B46" s="1286" t="s">
        <v>38</v>
      </c>
      <c r="C46" s="335">
        <v>0</v>
      </c>
      <c r="D46" s="335">
        <v>0</v>
      </c>
      <c r="E46" s="335">
        <v>4</v>
      </c>
      <c r="F46" s="335">
        <v>77387</v>
      </c>
    </row>
    <row r="47" spans="1:6">
      <c r="A47" s="1286" t="s">
        <v>32</v>
      </c>
      <c r="B47" s="1286" t="s">
        <v>39</v>
      </c>
      <c r="C47" s="335">
        <v>10</v>
      </c>
      <c r="D47" s="335">
        <v>6240066</v>
      </c>
      <c r="E47" s="335">
        <v>17</v>
      </c>
      <c r="F47" s="335">
        <v>3213153</v>
      </c>
    </row>
    <row r="48" spans="1:6">
      <c r="A48" s="1286" t="s">
        <v>32</v>
      </c>
      <c r="B48" s="1286" t="s">
        <v>29</v>
      </c>
      <c r="C48" s="335">
        <v>1</v>
      </c>
      <c r="D48" s="335">
        <v>203354</v>
      </c>
      <c r="E48" s="335">
        <v>1</v>
      </c>
      <c r="F48" s="335">
        <v>30008</v>
      </c>
    </row>
    <row r="49" spans="1:6">
      <c r="A49" s="1286" t="s">
        <v>32</v>
      </c>
      <c r="B49" s="1286" t="s">
        <v>40</v>
      </c>
      <c r="C49" s="335">
        <v>12</v>
      </c>
      <c r="D49" s="335">
        <v>52126018</v>
      </c>
      <c r="E49" s="335">
        <v>28</v>
      </c>
      <c r="F49" s="335">
        <v>15496409</v>
      </c>
    </row>
    <row r="50" spans="1:6">
      <c r="A50" s="1286" t="s">
        <v>32</v>
      </c>
      <c r="B50" s="1286" t="s">
        <v>41</v>
      </c>
      <c r="C50" s="335">
        <v>27</v>
      </c>
      <c r="D50" s="335">
        <v>10615273</v>
      </c>
      <c r="E50" s="335">
        <v>43</v>
      </c>
      <c r="F50" s="335">
        <v>4563461</v>
      </c>
    </row>
    <row r="51" spans="1:6">
      <c r="A51" s="1286" t="s">
        <v>42</v>
      </c>
      <c r="B51" s="1286" t="s">
        <v>43</v>
      </c>
      <c r="C51" s="335">
        <v>13</v>
      </c>
      <c r="D51" s="335">
        <v>42682118</v>
      </c>
      <c r="E51" s="335">
        <v>78</v>
      </c>
      <c r="F51" s="335">
        <v>1899030</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104</v>
      </c>
      <c r="F54" s="335">
        <v>2359821</v>
      </c>
    </row>
    <row r="55" spans="1:6">
      <c r="A55" s="1286" t="s">
        <v>46</v>
      </c>
      <c r="B55" s="1286" t="s">
        <v>29</v>
      </c>
      <c r="C55" s="335">
        <v>0</v>
      </c>
      <c r="D55" s="335">
        <v>0</v>
      </c>
      <c r="E55" s="335">
        <v>0</v>
      </c>
      <c r="F55" s="335">
        <v>0</v>
      </c>
    </row>
    <row r="56" spans="1:6">
      <c r="A56" s="1286" t="s">
        <v>48</v>
      </c>
      <c r="B56" s="1286" t="s">
        <v>29</v>
      </c>
      <c r="C56" s="335">
        <v>82</v>
      </c>
      <c r="D56" s="335">
        <v>5317348</v>
      </c>
      <c r="E56" s="335">
        <v>197</v>
      </c>
      <c r="F56" s="335">
        <v>1586211</v>
      </c>
    </row>
    <row r="57" spans="1:6">
      <c r="A57" s="1286" t="s">
        <v>49</v>
      </c>
      <c r="B57" s="1286" t="s">
        <v>50</v>
      </c>
      <c r="C57" s="335">
        <v>72</v>
      </c>
      <c r="D57" s="335">
        <v>9407400</v>
      </c>
      <c r="E57" s="335">
        <v>189</v>
      </c>
      <c r="F57" s="335">
        <v>12619682</v>
      </c>
    </row>
    <row r="58" spans="1:6">
      <c r="A58" s="1286" t="s">
        <v>49</v>
      </c>
      <c r="B58" s="1286" t="s">
        <v>51</v>
      </c>
      <c r="C58" s="335">
        <v>21</v>
      </c>
      <c r="D58" s="335">
        <v>844366</v>
      </c>
      <c r="E58" s="335">
        <v>46</v>
      </c>
      <c r="F58" s="335">
        <v>1115382</v>
      </c>
    </row>
    <row r="59" spans="1:6">
      <c r="A59" s="1286" t="s">
        <v>49</v>
      </c>
      <c r="B59" s="1286" t="s">
        <v>52</v>
      </c>
      <c r="C59" s="335">
        <v>190</v>
      </c>
      <c r="D59" s="335">
        <v>77350235</v>
      </c>
      <c r="E59" s="335">
        <v>379</v>
      </c>
      <c r="F59" s="335">
        <v>33160579</v>
      </c>
    </row>
    <row r="60" spans="1:6">
      <c r="A60" s="1286" t="s">
        <v>49</v>
      </c>
      <c r="B60" s="1286" t="s">
        <v>53</v>
      </c>
      <c r="C60" s="335">
        <v>64</v>
      </c>
      <c r="D60" s="335">
        <v>3734776</v>
      </c>
      <c r="E60" s="335">
        <v>89</v>
      </c>
      <c r="F60" s="335">
        <v>2002641</v>
      </c>
    </row>
    <row r="61" spans="1:6">
      <c r="A61" s="1286" t="s">
        <v>49</v>
      </c>
      <c r="B61" s="1286" t="s">
        <v>54</v>
      </c>
      <c r="C61" s="335">
        <v>210</v>
      </c>
      <c r="D61" s="335">
        <v>10141734</v>
      </c>
      <c r="E61" s="335">
        <v>440</v>
      </c>
      <c r="F61" s="335">
        <v>7825872</v>
      </c>
    </row>
    <row r="62" spans="1:6">
      <c r="A62" s="1286" t="s">
        <v>49</v>
      </c>
      <c r="B62" s="1286" t="s">
        <v>55</v>
      </c>
      <c r="C62" s="335">
        <v>16</v>
      </c>
      <c r="D62" s="335">
        <v>1706693</v>
      </c>
      <c r="E62" s="335">
        <v>24</v>
      </c>
      <c r="F62" s="335">
        <v>596141</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92805</v>
      </c>
      <c r="E68" s="335">
        <v>15</v>
      </c>
      <c r="F68" s="335">
        <v>144253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61817060</v>
      </c>
      <c r="E73" s="335">
        <v>66159082.633877918</v>
      </c>
    </row>
    <row r="74" spans="1:6">
      <c r="A74" s="1286" t="s">
        <v>64</v>
      </c>
      <c r="B74" s="1286" t="s">
        <v>772</v>
      </c>
      <c r="C74" s="1297" t="s">
        <v>766</v>
      </c>
      <c r="D74" s="335">
        <v>8057204.8828190845</v>
      </c>
      <c r="E74" s="335">
        <v>8279919.3679853212</v>
      </c>
    </row>
    <row r="75" spans="1:6">
      <c r="A75" s="1286" t="s">
        <v>65</v>
      </c>
      <c r="B75" s="1286" t="s">
        <v>771</v>
      </c>
      <c r="C75" s="1297" t="s">
        <v>767</v>
      </c>
      <c r="D75" s="335">
        <v>38467551</v>
      </c>
      <c r="E75" s="335">
        <v>48448621.592606574</v>
      </c>
    </row>
    <row r="76" spans="1:6">
      <c r="A76" s="1286" t="s">
        <v>65</v>
      </c>
      <c r="B76" s="1286" t="s">
        <v>772</v>
      </c>
      <c r="C76" s="1297" t="s">
        <v>768</v>
      </c>
      <c r="D76" s="335">
        <v>2819446.8828190845</v>
      </c>
      <c r="E76" s="335">
        <v>2898209.3977296893</v>
      </c>
    </row>
    <row r="77" spans="1:6">
      <c r="A77" s="1286" t="s">
        <v>66</v>
      </c>
      <c r="B77" s="1286" t="s">
        <v>771</v>
      </c>
      <c r="C77" s="1297" t="s">
        <v>769</v>
      </c>
      <c r="D77" s="335">
        <v>68391823</v>
      </c>
      <c r="E77" s="335">
        <v>82623082.869549736</v>
      </c>
    </row>
    <row r="78" spans="1:6">
      <c r="A78" s="1282" t="s">
        <v>66</v>
      </c>
      <c r="B78" s="1282" t="s">
        <v>772</v>
      </c>
      <c r="C78" s="1282" t="s">
        <v>770</v>
      </c>
      <c r="D78" s="1282">
        <v>17098706</v>
      </c>
      <c r="E78" s="1282">
        <v>19318076.508606836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419528.2343618311</v>
      </c>
      <c r="C83" s="335">
        <v>395971.02595365379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10098.352393554176</v>
      </c>
    </row>
    <row r="91" spans="1:6">
      <c r="A91" s="1286" t="s">
        <v>68</v>
      </c>
      <c r="B91" s="335">
        <v>3696.2970714959597</v>
      </c>
    </row>
    <row r="92" spans="1:6">
      <c r="A92" s="1282" t="s">
        <v>69</v>
      </c>
      <c r="B92" s="338">
        <v>9663.8090835308358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6352</v>
      </c>
    </row>
    <row r="98" spans="1:6">
      <c r="A98" s="1286" t="s">
        <v>72</v>
      </c>
      <c r="B98" s="335">
        <v>0</v>
      </c>
    </row>
    <row r="99" spans="1:6">
      <c r="A99" s="1286" t="s">
        <v>73</v>
      </c>
      <c r="B99" s="335">
        <v>112</v>
      </c>
    </row>
    <row r="100" spans="1:6">
      <c r="A100" s="1286" t="s">
        <v>74</v>
      </c>
      <c r="B100" s="335">
        <v>800</v>
      </c>
    </row>
    <row r="101" spans="1:6">
      <c r="A101" s="1286" t="s">
        <v>75</v>
      </c>
      <c r="B101" s="335">
        <v>112</v>
      </c>
    </row>
    <row r="102" spans="1:6">
      <c r="A102" s="1286" t="s">
        <v>76</v>
      </c>
      <c r="B102" s="335">
        <v>177</v>
      </c>
    </row>
    <row r="103" spans="1:6">
      <c r="A103" s="1286" t="s">
        <v>77</v>
      </c>
      <c r="B103" s="335">
        <v>204</v>
      </c>
    </row>
    <row r="104" spans="1:6">
      <c r="A104" s="1286" t="s">
        <v>78</v>
      </c>
      <c r="B104" s="335">
        <v>2528</v>
      </c>
    </row>
    <row r="105" spans="1:6">
      <c r="A105" s="1282" t="s">
        <v>79</v>
      </c>
      <c r="B105" s="1282">
        <v>10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3</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12</v>
      </c>
      <c r="C123" s="335">
        <v>32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48</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155064.36402850298</v>
      </c>
      <c r="C3" s="44" t="s">
        <v>170</v>
      </c>
      <c r="D3" s="44"/>
      <c r="E3" s="157"/>
      <c r="F3" s="44"/>
      <c r="G3" s="44"/>
      <c r="H3" s="44"/>
      <c r="I3" s="44"/>
      <c r="J3" s="44"/>
      <c r="K3" s="97"/>
    </row>
    <row r="4" spans="1:11">
      <c r="A4" s="365" t="s">
        <v>171</v>
      </c>
      <c r="B4" s="50">
        <f>IF(ISERROR('SEAP template'!B78+'SEAP template'!C78),0,'SEAP template'!B78+'SEAP template'!C78)</f>
        <v>43924.458548580973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4353.5752941176479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0.18647414308464413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6219.3932773109264</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27321.428571428572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0.22763792387543258</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2359.8209999999999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2359.8209999999999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0.18647414308464413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440.04559880814799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42465.764999999999</v>
      </c>
      <c r="C5" s="18">
        <f>IF(ISERROR('Eigen informatie GS &amp; warmtenet'!B57),0,'Eigen informatie GS &amp; warmtenet'!B57)</f>
        <v>0</v>
      </c>
      <c r="D5" s="31">
        <f>(SUM(HH_hh_gas_kWh,HH_rest_gas_kWh)/1000)*0.902</f>
        <v>121940.17763399999</v>
      </c>
      <c r="E5" s="18">
        <f>B46*B57</f>
        <v>5488.5860760713967</v>
      </c>
      <c r="F5" s="18">
        <f>B51*B62</f>
        <v>8721.0808791616582</v>
      </c>
      <c r="G5" s="19"/>
      <c r="H5" s="18"/>
      <c r="I5" s="18"/>
      <c r="J5" s="18">
        <f>B50*B61+C50*C61</f>
        <v>0</v>
      </c>
      <c r="K5" s="18"/>
      <c r="L5" s="18"/>
      <c r="M5" s="18"/>
      <c r="N5" s="18">
        <f>B48*B59+C48*C59</f>
        <v>17824.416185267295</v>
      </c>
      <c r="O5" s="18">
        <f>B69*B70*B71</f>
        <v>125.06666666666666</v>
      </c>
      <c r="P5" s="18">
        <f>B77*B78*B79/1000-B77*B78*B79/1000/B80</f>
        <v>286</v>
      </c>
    </row>
    <row r="6" spans="1:16">
      <c r="A6" s="17" t="s">
        <v>639</v>
      </c>
      <c r="B6" s="780">
        <f>kWh_PV_kleiner_dan_10kW</f>
        <v>3696.2970714959597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46162.062071495959</v>
      </c>
      <c r="C8" s="22">
        <f>C5</f>
        <v>0</v>
      </c>
      <c r="D8" s="22">
        <f>D5</f>
        <v>121940.17763399999</v>
      </c>
      <c r="E8" s="22">
        <f>E5</f>
        <v>5488.5860760713967</v>
      </c>
      <c r="F8" s="22">
        <f>F5</f>
        <v>8721.0808791616582</v>
      </c>
      <c r="G8" s="22"/>
      <c r="H8" s="22"/>
      <c r="I8" s="22"/>
      <c r="J8" s="22">
        <f>J5</f>
        <v>0</v>
      </c>
      <c r="K8" s="22"/>
      <c r="L8" s="22">
        <f>L5</f>
        <v>0</v>
      </c>
      <c r="M8" s="22">
        <f>M5</f>
        <v>0</v>
      </c>
      <c r="N8" s="22">
        <f>N5</f>
        <v>17824.416185267295</v>
      </c>
      <c r="O8" s="22">
        <f>O5</f>
        <v>125.06666666666666</v>
      </c>
      <c r="P8" s="22">
        <f>P5</f>
        <v>286</v>
      </c>
    </row>
    <row r="9" spans="1:16">
      <c r="B9" s="20"/>
      <c r="C9" s="20"/>
      <c r="D9" s="262"/>
      <c r="E9" s="20"/>
      <c r="F9" s="20"/>
      <c r="G9" s="20"/>
      <c r="H9" s="20"/>
      <c r="I9" s="20"/>
      <c r="J9" s="20"/>
      <c r="K9" s="20"/>
      <c r="L9" s="20"/>
      <c r="M9" s="20"/>
      <c r="N9" s="20"/>
      <c r="O9" s="20"/>
      <c r="P9" s="20"/>
    </row>
    <row r="10" spans="1:16">
      <c r="A10" s="25" t="s">
        <v>214</v>
      </c>
      <c r="B10" s="26">
        <f ca="1">'EF ele_warmte'!B12</f>
        <v>0.18647414308464413</v>
      </c>
      <c r="C10" s="26">
        <f ca="1">'EF ele_warmte'!B22</f>
        <v>0.22763792387543258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8608.0309678023623</v>
      </c>
      <c r="C12" s="24">
        <f ca="1">C10*C8</f>
        <v>0</v>
      </c>
      <c r="D12" s="24">
        <f>D8*D10</f>
        <v>24631.915882067999</v>
      </c>
      <c r="E12" s="24">
        <f>E10*E8</f>
        <v>1245.9090392682072</v>
      </c>
      <c r="F12" s="24">
        <f>F10*F8</f>
        <v>2328.5285947361631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6352</v>
      </c>
      <c r="C18" s="169" t="s">
        <v>111</v>
      </c>
      <c r="D18" s="231"/>
      <c r="E18" s="16"/>
    </row>
    <row r="19" spans="1:7">
      <c r="A19" s="174" t="s">
        <v>72</v>
      </c>
      <c r="B19" s="38">
        <f>aantalw2001_ander</f>
        <v>0</v>
      </c>
      <c r="C19" s="169" t="s">
        <v>111</v>
      </c>
      <c r="D19" s="232"/>
      <c r="E19" s="16"/>
    </row>
    <row r="20" spans="1:7">
      <c r="A20" s="174" t="s">
        <v>73</v>
      </c>
      <c r="B20" s="38">
        <f>aantalw2001_propaan</f>
        <v>112</v>
      </c>
      <c r="C20" s="170">
        <f>IF(ISERROR(B20/SUM($B$20,$B$21,$B$22)*100),0,B20/SUM($B$20,$B$21,$B$22)*100)</f>
        <v>10.9375</v>
      </c>
      <c r="D20" s="232"/>
      <c r="E20" s="16"/>
    </row>
    <row r="21" spans="1:7">
      <c r="A21" s="174" t="s">
        <v>74</v>
      </c>
      <c r="B21" s="38">
        <f>aantalw2001_elektriciteit</f>
        <v>800</v>
      </c>
      <c r="C21" s="170">
        <f>IF(ISERROR(B21/SUM($B$20,$B$21,$B$22)*100),0,B21/SUM($B$20,$B$21,$B$22)*100)</f>
        <v>78.125</v>
      </c>
      <c r="D21" s="232"/>
      <c r="E21" s="16"/>
    </row>
    <row r="22" spans="1:7">
      <c r="A22" s="174" t="s">
        <v>75</v>
      </c>
      <c r="B22" s="38">
        <f>aantalw2001_hout</f>
        <v>112</v>
      </c>
      <c r="C22" s="170">
        <f>IF(ISERROR(B22/SUM($B$20,$B$21,$B$22)*100),0,B22/SUM($B$20,$B$21,$B$22)*100)</f>
        <v>10.9375</v>
      </c>
      <c r="D22" s="232"/>
      <c r="E22" s="16"/>
    </row>
    <row r="23" spans="1:7">
      <c r="A23" s="174" t="s">
        <v>76</v>
      </c>
      <c r="B23" s="38">
        <f>aantalw2001_niet_gespec</f>
        <v>177</v>
      </c>
      <c r="C23" s="169" t="s">
        <v>111</v>
      </c>
      <c r="D23" s="231"/>
      <c r="E23" s="16"/>
    </row>
    <row r="24" spans="1:7">
      <c r="A24" s="174" t="s">
        <v>77</v>
      </c>
      <c r="B24" s="38">
        <f>aantalw2001_steenkool</f>
        <v>204</v>
      </c>
      <c r="C24" s="169" t="s">
        <v>111</v>
      </c>
      <c r="D24" s="232"/>
      <c r="E24" s="16"/>
    </row>
    <row r="25" spans="1:7">
      <c r="A25" s="174" t="s">
        <v>78</v>
      </c>
      <c r="B25" s="38">
        <f>aantalw2001_stookolie</f>
        <v>2528</v>
      </c>
      <c r="C25" s="169" t="s">
        <v>111</v>
      </c>
      <c r="D25" s="231"/>
      <c r="E25" s="53"/>
    </row>
    <row r="26" spans="1:7">
      <c r="A26" s="174" t="s">
        <v>79</v>
      </c>
      <c r="B26" s="38">
        <f>aantalw2001_WP</f>
        <v>10</v>
      </c>
      <c r="C26" s="169" t="s">
        <v>111</v>
      </c>
      <c r="D26" s="231"/>
      <c r="E26" s="16"/>
    </row>
    <row r="27" spans="1:7" s="16" customFormat="1">
      <c r="A27" s="174"/>
      <c r="B27" s="30"/>
      <c r="C27" s="37"/>
      <c r="D27" s="231"/>
    </row>
    <row r="28" spans="1:7" s="16" customFormat="1">
      <c r="A28" s="233" t="s">
        <v>665</v>
      </c>
      <c r="B28" s="38">
        <f>aantalHuishoudens2011</f>
        <v>11404</v>
      </c>
      <c r="C28" s="37"/>
      <c r="D28" s="231"/>
    </row>
    <row r="29" spans="1:7" s="16" customFormat="1">
      <c r="A29" s="233" t="s">
        <v>666</v>
      </c>
      <c r="B29" s="38">
        <f>SUM(HH_hh_gas_aantal,HH_rest_gas_aantal)</f>
        <v>8670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8670</v>
      </c>
      <c r="C32" s="170">
        <f>IF(ISERROR(B32/SUM($B$32,$B$34,$B$35,$B$36,$B$38,$B$39)*100),0,B32/SUM($B$32,$B$34,$B$35,$B$36,$B$38,$B$39)*100)</f>
        <v>76.126086574765125</v>
      </c>
      <c r="D32" s="236"/>
      <c r="G32" s="16"/>
    </row>
    <row r="33" spans="1:7">
      <c r="A33" s="174" t="s">
        <v>72</v>
      </c>
      <c r="B33" s="35" t="s">
        <v>111</v>
      </c>
      <c r="C33" s="170"/>
      <c r="D33" s="236"/>
      <c r="G33" s="16"/>
    </row>
    <row r="34" spans="1:7">
      <c r="A34" s="174" t="s">
        <v>73</v>
      </c>
      <c r="B34" s="34">
        <f>IF((($B$28-$B$32-$B$39-$B$77-$B$38)*C20/100)&lt;0,0,($B$28-$B$32-$B$39-$B$77-$B$38)*C20/100)</f>
        <v>249.06875000000002</v>
      </c>
      <c r="C34" s="170">
        <f>IF(ISERROR(B34/SUM($B$32,$B$34,$B$35,$B$36,$B$38,$B$39)*100),0,B34/SUM($B$32,$B$34,$B$35,$B$36,$B$38,$B$39)*100)</f>
        <v>2.186923786109404</v>
      </c>
      <c r="D34" s="236"/>
      <c r="G34" s="16"/>
    </row>
    <row r="35" spans="1:7">
      <c r="A35" s="174" t="s">
        <v>74</v>
      </c>
      <c r="B35" s="34">
        <f>IF((($B$28-$B$32-$B$39-$B$77-$B$38)*C21/100)&lt;0,0,($B$28-$B$32-$B$39-$B$77-$B$38)*C21/100)</f>
        <v>1779.0625000000002</v>
      </c>
      <c r="C35" s="170">
        <f>IF(ISERROR(B35/SUM($B$32,$B$34,$B$35,$B$36,$B$38,$B$39)*100),0,B35/SUM($B$32,$B$34,$B$35,$B$36,$B$38,$B$39)*100)</f>
        <v>15.620884186495744</v>
      </c>
      <c r="D35" s="236"/>
      <c r="G35" s="16"/>
    </row>
    <row r="36" spans="1:7">
      <c r="A36" s="174" t="s">
        <v>75</v>
      </c>
      <c r="B36" s="34">
        <f>IF((($B$28-$B$32-$B$39-$B$77-$B$38)*C22/100)&lt;0,0,($B$28-$B$32-$B$39-$B$77-$B$38)*C22/100)</f>
        <v>249.06875000000002</v>
      </c>
      <c r="C36" s="170">
        <f>IF(ISERROR(B36/SUM($B$32,$B$34,$B$35,$B$36,$B$38,$B$39)*100),0,B36/SUM($B$32,$B$34,$B$35,$B$36,$B$38,$B$39)*100)</f>
        <v>2.186923786109404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441.79999999999973</v>
      </c>
      <c r="C39" s="170">
        <f>IF(ISERROR(B39/SUM($B$32,$B$34,$B$35,$B$36,$B$38,$B$39)*100),0,B39/SUM($B$32,$B$34,$B$35,$B$36,$B$38,$B$39)*100)</f>
        <v>3.8791816665203238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8670</v>
      </c>
      <c r="C44" s="35" t="s">
        <v>111</v>
      </c>
      <c r="D44" s="177"/>
    </row>
    <row r="45" spans="1:7">
      <c r="A45" s="174" t="s">
        <v>72</v>
      </c>
      <c r="B45" s="34" t="str">
        <f t="shared" si="0"/>
        <v>-</v>
      </c>
      <c r="C45" s="35" t="s">
        <v>111</v>
      </c>
      <c r="D45" s="177"/>
    </row>
    <row r="46" spans="1:7">
      <c r="A46" s="174" t="s">
        <v>73</v>
      </c>
      <c r="B46" s="34">
        <f t="shared" si="0"/>
        <v>249.06875000000002</v>
      </c>
      <c r="C46" s="35" t="s">
        <v>111</v>
      </c>
      <c r="D46" s="177"/>
    </row>
    <row r="47" spans="1:7">
      <c r="A47" s="174" t="s">
        <v>74</v>
      </c>
      <c r="B47" s="34">
        <f t="shared" si="0"/>
        <v>1779.0625000000002</v>
      </c>
      <c r="C47" s="35" t="s">
        <v>111</v>
      </c>
      <c r="D47" s="177"/>
    </row>
    <row r="48" spans="1:7">
      <c r="A48" s="174" t="s">
        <v>75</v>
      </c>
      <c r="B48" s="34">
        <f t="shared" si="0"/>
        <v>249.06875000000002</v>
      </c>
      <c r="C48" s="34">
        <f>B48*10</f>
        <v>2490.6875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441.79999999999973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57320.296999999999</v>
      </c>
      <c r="C5" s="18">
        <f>IF(ISERROR('Eigen informatie GS &amp; warmtenet'!B58),0,'Eigen informatie GS &amp; warmtenet'!B58)</f>
        <v>0</v>
      </c>
      <c r="D5" s="31">
        <f>SUM(D6:D12)</f>
        <v>93073.054008000006</v>
      </c>
      <c r="E5" s="18">
        <f>SUM(E6:E12)</f>
        <v>400.05461499414417</v>
      </c>
      <c r="F5" s="18">
        <f>SUM(F6:F12)</f>
        <v>12448.882224627654</v>
      </c>
      <c r="G5" s="19"/>
      <c r="H5" s="18"/>
      <c r="I5" s="18"/>
      <c r="J5" s="18">
        <f>SUM(J6:J12)</f>
        <v>0</v>
      </c>
      <c r="K5" s="18"/>
      <c r="L5" s="18"/>
      <c r="M5" s="18"/>
      <c r="N5" s="18">
        <f>SUM(N6:N12)</f>
        <v>7458.1336469216512</v>
      </c>
      <c r="O5" s="18">
        <f>B38*B39*B40</f>
        <v>0</v>
      </c>
      <c r="P5" s="18">
        <f>B46*B47*B48/1000-B46*B47*B48/1000/B49</f>
        <v>0</v>
      </c>
      <c r="R5" s="33"/>
    </row>
    <row r="6" spans="1:18">
      <c r="A6" s="33" t="s">
        <v>54</v>
      </c>
      <c r="B6" s="38">
        <f>B26</f>
        <v>7825.8720000000003</v>
      </c>
      <c r="C6" s="34"/>
      <c r="D6" s="38">
        <f>IF(ISERROR(TER_kantoor_gas_kWh/1000),0,TER_kantoor_gas_kWh/1000)*0.902</f>
        <v>9147.8440680000003</v>
      </c>
      <c r="E6" s="34">
        <f>$C$26*'E Balans VL '!I12/100/3.6*1000000</f>
        <v>12.843842067251607</v>
      </c>
      <c r="F6" s="34">
        <f>$C$26*('E Balans VL '!L12+'E Balans VL '!N12)/100/3.6*1000000</f>
        <v>922.48617603108619</v>
      </c>
      <c r="G6" s="35"/>
      <c r="H6" s="34"/>
      <c r="I6" s="34"/>
      <c r="J6" s="34">
        <f>$C$26*('E Balans VL '!D12+'E Balans VL '!E12)/100/3.6*1000000</f>
        <v>0</v>
      </c>
      <c r="K6" s="34"/>
      <c r="L6" s="34"/>
      <c r="M6" s="34"/>
      <c r="N6" s="34">
        <f>$C$26*'E Balans VL '!Y12/100/3.6*1000000</f>
        <v>1.5811803790621941</v>
      </c>
      <c r="O6" s="34"/>
      <c r="P6" s="34"/>
      <c r="R6" s="33"/>
    </row>
    <row r="7" spans="1:18">
      <c r="A7" s="33" t="s">
        <v>53</v>
      </c>
      <c r="B7" s="38">
        <f t="shared" ref="B7:B12" si="0">B27</f>
        <v>2002.6410000000001</v>
      </c>
      <c r="C7" s="34"/>
      <c r="D7" s="38">
        <f>IF(ISERROR(TER_horeca_gas_kWh/1000),0,TER_horeca_gas_kWh/1000)*0.902</f>
        <v>3368.7679520000002</v>
      </c>
      <c r="E7" s="34">
        <f>$C$27*'E Balans VL '!I9/100/3.6*1000000</f>
        <v>103.92257647961918</v>
      </c>
      <c r="F7" s="34">
        <f>$C$27*('E Balans VL '!L9+'E Balans VL '!N9)/100/3.6*1000000</f>
        <v>457.00412932351162</v>
      </c>
      <c r="G7" s="35"/>
      <c r="H7" s="34"/>
      <c r="I7" s="34"/>
      <c r="J7" s="34">
        <f>$C$27*('E Balans VL '!D9+'E Balans VL '!E9)/100/3.6*1000000</f>
        <v>0</v>
      </c>
      <c r="K7" s="34"/>
      <c r="L7" s="34"/>
      <c r="M7" s="34"/>
      <c r="N7" s="34">
        <f>$C$27*'E Balans VL '!Y9/100/3.6*1000000</f>
        <v>0.21147797184972272</v>
      </c>
      <c r="O7" s="34"/>
      <c r="P7" s="34"/>
      <c r="R7" s="33"/>
    </row>
    <row r="8" spans="1:18">
      <c r="A8" s="6" t="s">
        <v>52</v>
      </c>
      <c r="B8" s="38">
        <f t="shared" si="0"/>
        <v>33160.578999999998</v>
      </c>
      <c r="C8" s="34"/>
      <c r="D8" s="38">
        <f>IF(ISERROR(TER_handel_gas_kWh/1000),0,TER_handel_gas_kWh/1000)*0.902</f>
        <v>69769.911970000001</v>
      </c>
      <c r="E8" s="34">
        <f>$C$28*'E Balans VL '!I13/100/3.6*1000000</f>
        <v>178.57379280856193</v>
      </c>
      <c r="F8" s="34">
        <f>$C$28*('E Balans VL '!L13+'E Balans VL '!N13)/100/3.6*1000000</f>
        <v>6762.4275017521604</v>
      </c>
      <c r="G8" s="35"/>
      <c r="H8" s="34"/>
      <c r="I8" s="34"/>
      <c r="J8" s="34">
        <f>$C$28*('E Balans VL '!D13+'E Balans VL '!E13)/100/3.6*1000000</f>
        <v>0</v>
      </c>
      <c r="K8" s="34"/>
      <c r="L8" s="34"/>
      <c r="M8" s="34"/>
      <c r="N8" s="34">
        <f>$C$28*'E Balans VL '!Y13/100/3.6*1000000</f>
        <v>164.89004776694759</v>
      </c>
      <c r="O8" s="34"/>
      <c r="P8" s="34"/>
      <c r="R8" s="33"/>
    </row>
    <row r="9" spans="1:18">
      <c r="A9" s="33" t="s">
        <v>51</v>
      </c>
      <c r="B9" s="38">
        <f t="shared" si="0"/>
        <v>1115.3820000000001</v>
      </c>
      <c r="C9" s="34"/>
      <c r="D9" s="38">
        <f>IF(ISERROR(TER_gezond_gas_kWh/1000),0,TER_gezond_gas_kWh/1000)*0.902</f>
        <v>761.61813200000006</v>
      </c>
      <c r="E9" s="34">
        <f>$C$29*'E Balans VL '!I10/100/3.6*1000000</f>
        <v>1.1053562460716098</v>
      </c>
      <c r="F9" s="34">
        <f>$C$29*('E Balans VL '!L10+'E Balans VL '!N10)/100/3.6*1000000</f>
        <v>387.00540434725082</v>
      </c>
      <c r="G9" s="35"/>
      <c r="H9" s="34"/>
      <c r="I9" s="34"/>
      <c r="J9" s="34">
        <f>$C$29*('E Balans VL '!D10+'E Balans VL '!E10)/100/3.6*1000000</f>
        <v>0</v>
      </c>
      <c r="K9" s="34"/>
      <c r="L9" s="34"/>
      <c r="M9" s="34"/>
      <c r="N9" s="34">
        <f>$C$29*'E Balans VL '!Y10/100/3.6*1000000</f>
        <v>9.6111500689205922</v>
      </c>
      <c r="O9" s="34"/>
      <c r="P9" s="34"/>
      <c r="R9" s="33"/>
    </row>
    <row r="10" spans="1:18">
      <c r="A10" s="33" t="s">
        <v>50</v>
      </c>
      <c r="B10" s="38">
        <f t="shared" si="0"/>
        <v>12619.682000000001</v>
      </c>
      <c r="C10" s="34"/>
      <c r="D10" s="38">
        <f>IF(ISERROR(TER_ander_gas_kWh/1000),0,TER_ander_gas_kWh/1000)*0.902</f>
        <v>8485.4748</v>
      </c>
      <c r="E10" s="34">
        <f>$C$30*'E Balans VL '!I14/100/3.6*1000000</f>
        <v>103.24161123392589</v>
      </c>
      <c r="F10" s="34">
        <f>$C$30*('E Balans VL '!L14+'E Balans VL '!N14)/100/3.6*1000000</f>
        <v>3689.481248267286</v>
      </c>
      <c r="G10" s="35"/>
      <c r="H10" s="34"/>
      <c r="I10" s="34"/>
      <c r="J10" s="34">
        <f>$C$30*('E Balans VL '!D14+'E Balans VL '!E14)/100/3.6*1000000</f>
        <v>0</v>
      </c>
      <c r="K10" s="34"/>
      <c r="L10" s="34"/>
      <c r="M10" s="34"/>
      <c r="N10" s="34">
        <f>$C$30*'E Balans VL '!Y14/100/3.6*1000000</f>
        <v>7279.9006718121591</v>
      </c>
      <c r="O10" s="34"/>
      <c r="P10" s="34"/>
      <c r="R10" s="33"/>
    </row>
    <row r="11" spans="1:18">
      <c r="A11" s="33" t="s">
        <v>55</v>
      </c>
      <c r="B11" s="38">
        <f t="shared" si="0"/>
        <v>596.14099999999996</v>
      </c>
      <c r="C11" s="34"/>
      <c r="D11" s="38">
        <f>IF(ISERROR(TER_onderwijs_gas_kWh/1000),0,TER_onderwijs_gas_kWh/1000)*0.902</f>
        <v>1539.4370860000001</v>
      </c>
      <c r="E11" s="34">
        <f>$C$31*'E Balans VL '!I11/100/3.6*1000000</f>
        <v>0.36743615871390628</v>
      </c>
      <c r="F11" s="34">
        <f>$C$31*('E Balans VL '!L11+'E Balans VL '!N11)/100/3.6*1000000</f>
        <v>230.47776490635997</v>
      </c>
      <c r="G11" s="35"/>
      <c r="H11" s="34"/>
      <c r="I11" s="34"/>
      <c r="J11" s="34">
        <f>$C$31*('E Balans VL '!D11+'E Balans VL '!E11)/100/3.6*1000000</f>
        <v>0</v>
      </c>
      <c r="K11" s="34"/>
      <c r="L11" s="34"/>
      <c r="M11" s="34"/>
      <c r="N11" s="34">
        <f>$C$31*'E Balans VL '!Y11/100/3.6*1000000</f>
        <v>1.9391189227113528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1341</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-3831.4285714285716</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58661.296999999999</v>
      </c>
      <c r="C16" s="22">
        <f t="shared" ca="1" si="1"/>
        <v>0</v>
      </c>
      <c r="D16" s="22">
        <f t="shared" ca="1" si="1"/>
        <v>93073.054008000006</v>
      </c>
      <c r="E16" s="22">
        <f t="shared" si="1"/>
        <v>400.05461499414417</v>
      </c>
      <c r="F16" s="22">
        <f t="shared" ca="1" si="1"/>
        <v>12448.882224627654</v>
      </c>
      <c r="G16" s="22">
        <f t="shared" si="1"/>
        <v>0</v>
      </c>
      <c r="H16" s="22">
        <f t="shared" si="1"/>
        <v>0</v>
      </c>
      <c r="I16" s="22">
        <f t="shared" si="1"/>
        <v>0</v>
      </c>
      <c r="J16" s="22">
        <f t="shared" si="1"/>
        <v>0</v>
      </c>
      <c r="K16" s="22">
        <f t="shared" si="1"/>
        <v>0</v>
      </c>
      <c r="L16" s="22">
        <f t="shared" ca="1" si="1"/>
        <v>0</v>
      </c>
      <c r="M16" s="22">
        <f t="shared" si="1"/>
        <v>0</v>
      </c>
      <c r="N16" s="22">
        <f t="shared" ca="1" si="1"/>
        <v>3626.7050754930797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0.18647414308464413</v>
      </c>
      <c r="C18" s="26">
        <f ca="1">'EF ele_warmte'!B22</f>
        <v>0.22763792387543258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10938.815090308806</v>
      </c>
      <c r="C20" s="24">
        <f t="shared" ref="C20:P20" ca="1" si="2">C16*C18</f>
        <v>0</v>
      </c>
      <c r="D20" s="24">
        <f t="shared" ca="1" si="2"/>
        <v>18800.756909616004</v>
      </c>
      <c r="E20" s="24">
        <f t="shared" si="2"/>
        <v>90.812397603670732</v>
      </c>
      <c r="F20" s="24">
        <f t="shared" ca="1" si="2"/>
        <v>3323.851553975584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7825.8720000000003</v>
      </c>
      <c r="C26" s="40">
        <f>IF(ISERROR(B26*3.6/1000000/'E Balans VL '!Z12*100),0,B26*3.6/1000000/'E Balans VL '!Z12*100)</f>
        <v>0.1662941678242448</v>
      </c>
      <c r="D26" s="240" t="s">
        <v>707</v>
      </c>
      <c r="F26" s="6"/>
    </row>
    <row r="27" spans="1:18">
      <c r="A27" s="234" t="s">
        <v>53</v>
      </c>
      <c r="B27" s="34">
        <f>IF(ISERROR(TER_horeca_ele_kWh/1000),0,TER_horeca_ele_kWh/1000)</f>
        <v>2002.6410000000001</v>
      </c>
      <c r="C27" s="40">
        <f>IF(ISERROR(B27*3.6/1000000/'E Balans VL '!Z9*100),0,B27*3.6/1000000/'E Balans VL '!Z9*100)</f>
        <v>0.15762333305569398</v>
      </c>
      <c r="D27" s="240" t="s">
        <v>707</v>
      </c>
      <c r="F27" s="6"/>
    </row>
    <row r="28" spans="1:18">
      <c r="A28" s="174" t="s">
        <v>52</v>
      </c>
      <c r="B28" s="34">
        <f>IF(ISERROR(TER_handel_ele_kWh/1000),0,TER_handel_ele_kWh/1000)</f>
        <v>33160.578999999998</v>
      </c>
      <c r="C28" s="40">
        <f>IF(ISERROR(B28*3.6/1000000/'E Balans VL '!Z13*100),0,B28*3.6/1000000/'E Balans VL '!Z13*100)</f>
        <v>0.92884556463124057</v>
      </c>
      <c r="D28" s="240" t="s">
        <v>707</v>
      </c>
      <c r="F28" s="6"/>
    </row>
    <row r="29" spans="1:18">
      <c r="A29" s="234" t="s">
        <v>51</v>
      </c>
      <c r="B29" s="34">
        <f>IF(ISERROR(TER_gezond_ele_kWh/1000),0,TER_gezond_ele_kWh/1000)</f>
        <v>1115.3820000000001</v>
      </c>
      <c r="C29" s="40">
        <f>IF(ISERROR(B29*3.6/1000000/'E Balans VL '!Z10*100),0,B29*3.6/1000000/'E Balans VL '!Z10*100)</f>
        <v>0.14269108559331367</v>
      </c>
      <c r="D29" s="240" t="s">
        <v>707</v>
      </c>
      <c r="F29" s="6"/>
    </row>
    <row r="30" spans="1:18">
      <c r="A30" s="234" t="s">
        <v>50</v>
      </c>
      <c r="B30" s="34">
        <f>IF(ISERROR(TER_ander_ele_kWh/1000),0,TER_ander_ele_kWh/1000)</f>
        <v>12619.682000000001</v>
      </c>
      <c r="C30" s="40">
        <f>IF(ISERROR(B30*3.6/1000000/'E Balans VL '!Z14*100),0,B30*3.6/1000000/'E Balans VL '!Z14*100)</f>
        <v>0.94384587830190736</v>
      </c>
      <c r="D30" s="240" t="s">
        <v>707</v>
      </c>
      <c r="F30" s="6"/>
    </row>
    <row r="31" spans="1:18">
      <c r="A31" s="234" t="s">
        <v>55</v>
      </c>
      <c r="B31" s="34">
        <f>IF(ISERROR(TER_onderwijs_ele_kWh/1000),0,TER_onderwijs_ele_kWh/1000)</f>
        <v>596.14099999999996</v>
      </c>
      <c r="C31" s="40">
        <f>IF(ISERROR(B31*3.6/1000000/'E Balans VL '!Z11*100),0,B31*3.6/1000000/'E Balans VL '!Z11*100)</f>
        <v>0.12587594434997421</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44392.394</v>
      </c>
      <c r="C5" s="18">
        <f>IF(ISERROR('Eigen informatie GS &amp; warmtenet'!B59),0,'Eigen informatie GS &amp; warmtenet'!B59)</f>
        <v>0</v>
      </c>
      <c r="D5" s="31">
        <f>SUM(D6:D15)</f>
        <v>74922.267661999998</v>
      </c>
      <c r="E5" s="18">
        <f>SUM(E6:E15)</f>
        <v>389.12176636681272</v>
      </c>
      <c r="F5" s="18">
        <f>SUM(F6:F15)</f>
        <v>13865.218031108079</v>
      </c>
      <c r="G5" s="19"/>
      <c r="H5" s="18"/>
      <c r="I5" s="18"/>
      <c r="J5" s="18">
        <f>SUM(J6:J15)</f>
        <v>115.79297796838573</v>
      </c>
      <c r="K5" s="18"/>
      <c r="L5" s="18"/>
      <c r="M5" s="18"/>
      <c r="N5" s="18">
        <f>SUM(N6:N15)</f>
        <v>2453.1148008201303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77.387</v>
      </c>
      <c r="C7" s="34"/>
      <c r="D7" s="38">
        <f>IF( ISERROR(IND_nonf_gas_kWhh/1000),0,IND_nonf_gas_kWh/1000)*0.902</f>
        <v>0</v>
      </c>
      <c r="E7" s="34">
        <f>C29*'E Balans VL '!I17/100/3.6*1000000</f>
        <v>0.17361524974988968</v>
      </c>
      <c r="F7" s="34">
        <f>C29*'E Balans VL '!L17/100/3.6*1000000+C29*'E Balans VL '!N17/100/3.6*1000000</f>
        <v>18.867987160088283</v>
      </c>
      <c r="G7" s="35"/>
      <c r="H7" s="34"/>
      <c r="I7" s="34"/>
      <c r="J7" s="41">
        <f>C29*'E Balans VL '!D17/100/3.6*1000000+C29*'E Balans VL '!E17/100/3.6*1000000</f>
        <v>27.200717980072291</v>
      </c>
      <c r="K7" s="34"/>
      <c r="L7" s="34"/>
      <c r="M7" s="34"/>
      <c r="N7" s="34">
        <f>C29*'E Balans VL '!Y17/100/3.6*1000000</f>
        <v>0.31282292486248925</v>
      </c>
      <c r="O7" s="34"/>
      <c r="P7" s="34"/>
      <c r="R7" s="33"/>
    </row>
    <row r="8" spans="1:18">
      <c r="A8" s="6" t="s">
        <v>36</v>
      </c>
      <c r="B8" s="38">
        <f t="shared" si="0"/>
        <v>3876.799</v>
      </c>
      <c r="C8" s="34"/>
      <c r="D8" s="38">
        <f>IF( ISERROR(IND_metaal_Gas_kWH/1000),0,IND_metaal_Gas_kWH/1000)*0.902</f>
        <v>3665.562934</v>
      </c>
      <c r="E8" s="34">
        <f>C30*'E Balans VL '!I18/100/3.6*1000000</f>
        <v>35.30530984592454</v>
      </c>
      <c r="F8" s="34">
        <f>C30*'E Balans VL '!L18/100/3.6*1000000+C30*'E Balans VL '!N18/100/3.6*1000000</f>
        <v>511.32034718273025</v>
      </c>
      <c r="G8" s="35"/>
      <c r="H8" s="34"/>
      <c r="I8" s="34"/>
      <c r="J8" s="41">
        <f>C30*'E Balans VL '!D18/100/3.6*1000000+C30*'E Balans VL '!E18/100/3.6*1000000</f>
        <v>63.573874690542958</v>
      </c>
      <c r="K8" s="34"/>
      <c r="L8" s="34"/>
      <c r="M8" s="34"/>
      <c r="N8" s="34">
        <f>C30*'E Balans VL '!Y18/100/3.6*1000000</f>
        <v>13.323018108547785</v>
      </c>
      <c r="O8" s="34"/>
      <c r="P8" s="34"/>
      <c r="R8" s="33"/>
    </row>
    <row r="9" spans="1:18">
      <c r="A9" s="6" t="s">
        <v>33</v>
      </c>
      <c r="B9" s="38">
        <f t="shared" si="0"/>
        <v>13566.808000000001</v>
      </c>
      <c r="C9" s="34"/>
      <c r="D9" s="38">
        <f>IF( ISERROR(IND_andere_gas_kWh/1000),0,IND_andere_gas_kWh/1000)*0.902</f>
        <v>5473.919594</v>
      </c>
      <c r="E9" s="34">
        <f>C31*'E Balans VL '!I19/100/3.6*1000000</f>
        <v>78.418177631763982</v>
      </c>
      <c r="F9" s="34">
        <f>C31*'E Balans VL '!L19/100/3.6*1000000+C31*'E Balans VL '!N19/100/3.6*1000000</f>
        <v>10793.048572968361</v>
      </c>
      <c r="G9" s="35"/>
      <c r="H9" s="34"/>
      <c r="I9" s="34"/>
      <c r="J9" s="41">
        <f>C31*'E Balans VL '!D19/100/3.6*1000000+C31*'E Balans VL '!E19/100/3.6*1000000</f>
        <v>1.2832693409650142</v>
      </c>
      <c r="K9" s="34"/>
      <c r="L9" s="34"/>
      <c r="M9" s="34"/>
      <c r="N9" s="34">
        <f>C31*'E Balans VL '!Y19/100/3.6*1000000</f>
        <v>1027.8910166738724</v>
      </c>
      <c r="O9" s="34"/>
      <c r="P9" s="34"/>
      <c r="R9" s="33"/>
    </row>
    <row r="10" spans="1:18">
      <c r="A10" s="6" t="s">
        <v>41</v>
      </c>
      <c r="B10" s="38">
        <f t="shared" si="0"/>
        <v>4563.4610000000002</v>
      </c>
      <c r="C10" s="34"/>
      <c r="D10" s="38">
        <f>IF( ISERROR(IND_voed_gas_kWh/1000),0,IND_voed_gas_kWh/1000)*0.902</f>
        <v>9574.9762460000002</v>
      </c>
      <c r="E10" s="34">
        <f>C32*'E Balans VL '!I20/100/3.6*1000000</f>
        <v>44.870760334494769</v>
      </c>
      <c r="F10" s="34">
        <f>C32*'E Balans VL '!L20/100/3.6*1000000+C32*'E Balans VL '!N20/100/3.6*1000000</f>
        <v>506.83190928362785</v>
      </c>
      <c r="G10" s="35"/>
      <c r="H10" s="34"/>
      <c r="I10" s="34"/>
      <c r="J10" s="41">
        <f>C32*'E Balans VL '!D20/100/3.6*1000000+C32*'E Balans VL '!E20/100/3.6*1000000</f>
        <v>1.7986671487635844E-2</v>
      </c>
      <c r="K10" s="34"/>
      <c r="L10" s="34"/>
      <c r="M10" s="34"/>
      <c r="N10" s="34">
        <f>C32*'E Balans VL '!Y20/100/3.6*1000000</f>
        <v>67.574123018240172</v>
      </c>
      <c r="O10" s="34"/>
      <c r="P10" s="34"/>
      <c r="R10" s="33"/>
    </row>
    <row r="11" spans="1:18">
      <c r="A11" s="6" t="s">
        <v>40</v>
      </c>
      <c r="B11" s="38">
        <f t="shared" si="0"/>
        <v>15496.409</v>
      </c>
      <c r="C11" s="34"/>
      <c r="D11" s="38">
        <f>IF( ISERROR(IND_textiel_gas_kWh/1000),0,IND_textiel_gas_kWh/1000)*0.902</f>
        <v>47017.668235999998</v>
      </c>
      <c r="E11" s="34">
        <f>C33*'E Balans VL '!I21/100/3.6*1000000</f>
        <v>30.175106695258762</v>
      </c>
      <c r="F11" s="34">
        <f>C33*'E Balans VL '!L21/100/3.6*1000000+C33*'E Balans VL '!N21/100/3.6*1000000</f>
        <v>511.12242034164649</v>
      </c>
      <c r="G11" s="35"/>
      <c r="H11" s="34"/>
      <c r="I11" s="34"/>
      <c r="J11" s="41">
        <f>C33*'E Balans VL '!D21/100/3.6*1000000+C33*'E Balans VL '!E21/100/3.6*1000000</f>
        <v>0</v>
      </c>
      <c r="K11" s="34"/>
      <c r="L11" s="34"/>
      <c r="M11" s="34"/>
      <c r="N11" s="34">
        <f>C33*'E Balans VL '!Y21/100/3.6*1000000</f>
        <v>160.73851963308627</v>
      </c>
      <c r="O11" s="34"/>
      <c r="P11" s="34"/>
      <c r="R11" s="33"/>
    </row>
    <row r="12" spans="1:18">
      <c r="A12" s="6" t="s">
        <v>37</v>
      </c>
      <c r="B12" s="38">
        <f t="shared" si="0"/>
        <v>3568.3690000000001</v>
      </c>
      <c r="C12" s="34"/>
      <c r="D12" s="38">
        <f>IF( ISERROR(IND_min_gas_kWh/1000),0,IND_min_gas_kWh/1000)*0.902</f>
        <v>3378.1758120000004</v>
      </c>
      <c r="E12" s="34">
        <f>C34*'E Balans VL '!I22/100/3.6*1000000</f>
        <v>90.46450404507155</v>
      </c>
      <c r="F12" s="34">
        <f>C34*'E Balans VL '!L22/100/3.6*1000000+C34*'E Balans VL '!N22/100/3.6*1000000</f>
        <v>987.38014017229023</v>
      </c>
      <c r="G12" s="35"/>
      <c r="H12" s="34"/>
      <c r="I12" s="34"/>
      <c r="J12" s="41">
        <f>C34*'E Balans VL '!D22/100/3.6*1000000+C34*'E Balans VL '!E22/100/3.6*1000000</f>
        <v>23.566225943061404</v>
      </c>
      <c r="K12" s="34"/>
      <c r="L12" s="34"/>
      <c r="M12" s="34"/>
      <c r="N12" s="34">
        <f>C34*'E Balans VL '!Y22/100/3.6*1000000</f>
        <v>0</v>
      </c>
      <c r="O12" s="34"/>
      <c r="P12" s="34"/>
      <c r="R12" s="33"/>
    </row>
    <row r="13" spans="1:18">
      <c r="A13" s="6" t="s">
        <v>39</v>
      </c>
      <c r="B13" s="38">
        <f t="shared" si="0"/>
        <v>3213.1529999999998</v>
      </c>
      <c r="C13" s="34"/>
      <c r="D13" s="38">
        <f>IF( ISERROR(IND_papier_gas_kWh/1000),0,IND_papier_gas_kWh/1000)*0.902</f>
        <v>5628.5395319999998</v>
      </c>
      <c r="E13" s="34">
        <f>C35*'E Balans VL '!I23/100/3.6*1000000</f>
        <v>109.44464995064882</v>
      </c>
      <c r="F13" s="34">
        <f>C35*'E Balans VL '!L23/100/3.6*1000000+C35*'E Balans VL '!N23/100/3.6*1000000</f>
        <v>530.73746452235628</v>
      </c>
      <c r="G13" s="35"/>
      <c r="H13" s="34"/>
      <c r="I13" s="34"/>
      <c r="J13" s="41">
        <f>C35*'E Balans VL '!D23/100/3.6*1000000+C35*'E Balans VL '!E23/100/3.6*1000000</f>
        <v>0</v>
      </c>
      <c r="K13" s="34"/>
      <c r="L13" s="34"/>
      <c r="M13" s="34"/>
      <c r="N13" s="34">
        <f>C35*'E Balans VL '!Y23/100/3.6*1000000</f>
        <v>1182.3541339164494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30.007999999999999</v>
      </c>
      <c r="C15" s="34"/>
      <c r="D15" s="38">
        <f>IF( ISERROR(IND_rest_gas_kWh/1000),0,IND_rest_gas_kWh/1000)*0.902</f>
        <v>183.42530800000003</v>
      </c>
      <c r="E15" s="34">
        <f>C37*'E Balans VL '!I15/100/3.6*1000000</f>
        <v>0.26964261390039707</v>
      </c>
      <c r="F15" s="34">
        <f>C37*'E Balans VL '!L15/100/3.6*1000000+C37*'E Balans VL '!N15/100/3.6*1000000</f>
        <v>5.9091894769796935</v>
      </c>
      <c r="G15" s="35"/>
      <c r="H15" s="34"/>
      <c r="I15" s="34"/>
      <c r="J15" s="41">
        <f>C37*'E Balans VL '!D15/100/3.6*1000000+C37*'E Balans VL '!E15/100/3.6*1000000</f>
        <v>0.15090334225642288</v>
      </c>
      <c r="K15" s="34"/>
      <c r="L15" s="34"/>
      <c r="M15" s="34"/>
      <c r="N15" s="34">
        <f>C37*'E Balans VL '!Y15/100/3.6*1000000</f>
        <v>0.92116654507181939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44392.394</v>
      </c>
      <c r="C18" s="22">
        <f>C5+C16</f>
        <v>0</v>
      </c>
      <c r="D18" s="22">
        <f>MAX((D5+D16),0)</f>
        <v>74922.267661999998</v>
      </c>
      <c r="E18" s="22">
        <f>MAX((E5+E16),0)</f>
        <v>389.12176636681272</v>
      </c>
      <c r="F18" s="22">
        <f>MAX((F5+F16),0)</f>
        <v>13865.218031108079</v>
      </c>
      <c r="G18" s="22"/>
      <c r="H18" s="22"/>
      <c r="I18" s="22"/>
      <c r="J18" s="22">
        <f>MAX((J5+J16),0)</f>
        <v>115.79297796838573</v>
      </c>
      <c r="K18" s="22"/>
      <c r="L18" s="22">
        <f>MAX((L5+L16),0)</f>
        <v>0</v>
      </c>
      <c r="M18" s="22"/>
      <c r="N18" s="22">
        <f>MAX((N5+N16),0)</f>
        <v>2453.1148008201303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0.18647414308464413</v>
      </c>
      <c r="C20" s="26">
        <f ca="1">'EF ele_warmte'!B22</f>
        <v>0.22763792387543258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8278.0336306258978</v>
      </c>
      <c r="C22" s="24">
        <f ca="1">C18*C20</f>
        <v>0</v>
      </c>
      <c r="D22" s="24">
        <f>D18*D20</f>
        <v>15134.298067724001</v>
      </c>
      <c r="E22" s="24">
        <f>E18*E20</f>
        <v>88.330640965266497</v>
      </c>
      <c r="F22" s="24">
        <f>F18*F20</f>
        <v>3702.0132143058572</v>
      </c>
      <c r="G22" s="24"/>
      <c r="H22" s="24"/>
      <c r="I22" s="24"/>
      <c r="J22" s="24">
        <f>J18*J20</f>
        <v>40.990714200808547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77.387</v>
      </c>
      <c r="C29" s="40">
        <f>IF(ISERROR(B29*3.6/1000000/'E Balans VL '!Z17*100),0,B29*3.6/1000000/'E Balans VL '!Z17*100)</f>
        <v>8.0902480567885154E-2</v>
      </c>
      <c r="D29" s="240" t="s">
        <v>707</v>
      </c>
    </row>
    <row r="30" spans="1:18">
      <c r="A30" s="174" t="s">
        <v>36</v>
      </c>
      <c r="B30" s="38">
        <f>IF( ISERROR(IND_metaal_ele_kWh/1000),0,IND_metaal_ele_kWh/1000)</f>
        <v>3876.799</v>
      </c>
      <c r="C30" s="40">
        <f>IF(ISERROR(B30*3.6/1000000/'E Balans VL '!Z18*100),0,B30*3.6/1000000/'E Balans VL '!Z18*100)</f>
        <v>0.21571794041750758</v>
      </c>
      <c r="D30" s="240" t="s">
        <v>707</v>
      </c>
    </row>
    <row r="31" spans="1:18">
      <c r="A31" s="6" t="s">
        <v>33</v>
      </c>
      <c r="B31" s="38">
        <f>IF( ISERROR(IND_ander_ele_kWh/1000),0,IND_ander_ele_kWh/1000)</f>
        <v>13566.808000000001</v>
      </c>
      <c r="C31" s="40">
        <f>IF(ISERROR(B31*3.6/1000000/'E Balans VL '!Z19*100),0,B31*3.6/1000000/'E Balans VL '!Z19*100)</f>
        <v>0.63068527337529723</v>
      </c>
      <c r="D31" s="240" t="s">
        <v>707</v>
      </c>
    </row>
    <row r="32" spans="1:18">
      <c r="A32" s="174" t="s">
        <v>41</v>
      </c>
      <c r="B32" s="38">
        <f>IF( ISERROR(IND_voed_ele_kWh/1000),0,IND_voed_ele_kWh/1000)</f>
        <v>4563.4610000000002</v>
      </c>
      <c r="C32" s="40">
        <f>IF(ISERROR(B32*3.6/1000000/'E Balans VL '!Z20*100),0,B32*3.6/1000000/'E Balans VL '!Z20*100)</f>
        <v>0.16130913005019618</v>
      </c>
      <c r="D32" s="240" t="s">
        <v>707</v>
      </c>
    </row>
    <row r="33" spans="1:5">
      <c r="A33" s="174" t="s">
        <v>40</v>
      </c>
      <c r="B33" s="38">
        <f>IF( ISERROR(IND_textiel_ele_kWh/1000),0,IND_textiel_ele_kWh/1000)</f>
        <v>15496.409</v>
      </c>
      <c r="C33" s="40">
        <f>IF(ISERROR(B33*3.6/1000000/'E Balans VL '!Z21*100),0,B33*3.6/1000000/'E Balans VL '!Z21*100)</f>
        <v>2.0930251769780104</v>
      </c>
      <c r="D33" s="240" t="s">
        <v>707</v>
      </c>
    </row>
    <row r="34" spans="1:5">
      <c r="A34" s="174" t="s">
        <v>37</v>
      </c>
      <c r="B34" s="38">
        <f>IF( ISERROR(IND_min_ele_kWh/1000),0,IND_min_ele_kWh/1000)</f>
        <v>3568.3690000000001</v>
      </c>
      <c r="C34" s="40">
        <f>IF(ISERROR(B34*3.6/1000000/'E Balans VL '!Z22*100),0,B34*3.6/1000000/'E Balans VL '!Z22*100)</f>
        <v>0.71714154439371192</v>
      </c>
      <c r="D34" s="240" t="s">
        <v>707</v>
      </c>
    </row>
    <row r="35" spans="1:5">
      <c r="A35" s="174" t="s">
        <v>39</v>
      </c>
      <c r="B35" s="38">
        <f>IF( ISERROR(IND_papier_ele_kWh/1000),0,IND_papier_ele_kWh/1000)</f>
        <v>3213.1529999999998</v>
      </c>
      <c r="C35" s="40">
        <f>IF(ISERROR(B35*3.6/1000000/'E Balans VL '!Z22*100),0,B35*3.6/1000000/'E Balans VL '!Z22*100)</f>
        <v>0.64575314514650484</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30.007999999999999</v>
      </c>
      <c r="C37" s="40">
        <f>IF(ISERROR(B37*3.6/1000000/'E Balans VL '!Z15*100),0,B37*3.6/1000000/'E Balans VL '!Z15*100)</f>
        <v>2.266047285191356E-4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1899.03</v>
      </c>
      <c r="C5" s="18">
        <f>'Eigen informatie GS &amp; warmtenet'!B60</f>
        <v>0</v>
      </c>
      <c r="D5" s="31">
        <f>IF(ISERROR(SUM(LB_lb_gas_kWh,LB_rest_gas_kWh)/1000),0,SUM(LB_lb_gas_kWh,LB_rest_gas_kWh)/1000)*0.902</f>
        <v>38499.270436000006</v>
      </c>
      <c r="E5" s="18">
        <f>B17*'E Balans VL '!I25/3.6*1000000/100</f>
        <v>17.890134991838394</v>
      </c>
      <c r="F5" s="18">
        <f>B17*('E Balans VL '!L25/3.6*1000000+'E Balans VL '!N25/3.6*1000000)/100</f>
        <v>6197.1651227079074</v>
      </c>
      <c r="G5" s="19"/>
      <c r="H5" s="18"/>
      <c r="I5" s="18"/>
      <c r="J5" s="18">
        <f>('E Balans VL '!D25+'E Balans VL '!E25)/3.6*1000000*landbouw!B17/100</f>
        <v>234.91924788014569</v>
      </c>
      <c r="K5" s="18"/>
      <c r="L5" s="18">
        <f>L6*(-1)</f>
        <v>0</v>
      </c>
      <c r="M5" s="18"/>
      <c r="N5" s="18">
        <f>N6*(-1)</f>
        <v>2301.4285714285716</v>
      </c>
      <c r="O5" s="18"/>
      <c r="P5" s="18"/>
      <c r="R5" s="33"/>
    </row>
    <row r="6" spans="1:18">
      <c r="A6" s="17" t="s">
        <v>502</v>
      </c>
      <c r="B6" s="18" t="s">
        <v>211</v>
      </c>
      <c r="C6" s="18">
        <f>'lokale energieproductie'!O92+'lokale energieproductie'!O61</f>
        <v>27321.428571428572</v>
      </c>
      <c r="D6" s="312">
        <f>('lokale energieproductie'!P61+'lokale energieproductie'!P92)*(-1)</f>
        <v>-52341.42857142858</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-2301.4285714285716</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1899.03</v>
      </c>
      <c r="C8" s="22">
        <f>C5+C6</f>
        <v>27321.428571428572</v>
      </c>
      <c r="D8" s="22">
        <f>MAX((D5+D6),0)</f>
        <v>0</v>
      </c>
      <c r="E8" s="22">
        <f>MAX((E5+E6),0)</f>
        <v>17.890134991838394</v>
      </c>
      <c r="F8" s="22">
        <f>MAX((F5+F6),0)</f>
        <v>6197.1651227079074</v>
      </c>
      <c r="G8" s="22"/>
      <c r="H8" s="22"/>
      <c r="I8" s="22"/>
      <c r="J8" s="22">
        <f>MAX((J5+J6),0)</f>
        <v>234.91924788014569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0.18647414308464413</v>
      </c>
      <c r="C10" s="32">
        <f ca="1">'EF ele_warmte'!B22</f>
        <v>0.22763792387543258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354.11999194203173</v>
      </c>
      <c r="C12" s="24">
        <f ca="1">C8*C10</f>
        <v>6219.3932773109264</v>
      </c>
      <c r="D12" s="24">
        <f>D8*D10</f>
        <v>0</v>
      </c>
      <c r="E12" s="24">
        <f>E8*E10</f>
        <v>4.0610606431473153</v>
      </c>
      <c r="F12" s="24">
        <f>F8*F10</f>
        <v>1654.6430877630114</v>
      </c>
      <c r="G12" s="24"/>
      <c r="H12" s="24"/>
      <c r="I12" s="24"/>
      <c r="J12" s="24">
        <f>J8*J10</f>
        <v>83.161413749571565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0.25709831647065462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170.40297412828684</v>
      </c>
      <c r="C26" s="250">
        <f>B26*'GWP N2O_CH4'!B5</f>
        <v>3578.4624566940238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62.847367019503949</v>
      </c>
      <c r="C27" s="250">
        <f>B27*'GWP N2O_CH4'!B5</f>
        <v>1319.794707409583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2.5035990679515927</v>
      </c>
      <c r="C28" s="250">
        <f>B28*'GWP N2O_CH4'!B4</f>
        <v>776.11571106499377</v>
      </c>
      <c r="D28" s="51"/>
    </row>
    <row r="29" spans="1:4">
      <c r="A29" s="42" t="s">
        <v>277</v>
      </c>
      <c r="B29" s="250">
        <f>B34*'ha_N2O bodem landbouw'!B4</f>
        <v>6.2820005688659917</v>
      </c>
      <c r="C29" s="250">
        <f>B29*'GWP N2O_CH4'!B4</f>
        <v>1947.4201763484575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1.6959423945396312E-3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1.2776245225240312E-5</v>
      </c>
      <c r="C5" s="447" t="s">
        <v>211</v>
      </c>
      <c r="D5" s="432">
        <f>SUM(D6:D11)</f>
        <v>3.7292454178388401E-5</v>
      </c>
      <c r="E5" s="432">
        <f>SUM(E6:E11)</f>
        <v>2.3429900238396209E-3</v>
      </c>
      <c r="F5" s="445" t="s">
        <v>211</v>
      </c>
      <c r="G5" s="432">
        <f>SUM(G6:G11)</f>
        <v>0.58618031594970776</v>
      </c>
      <c r="H5" s="432">
        <f>SUM(H6:H11)</f>
        <v>8.4298606105317045E-2</v>
      </c>
      <c r="I5" s="447" t="s">
        <v>211</v>
      </c>
      <c r="J5" s="447" t="s">
        <v>211</v>
      </c>
      <c r="K5" s="447" t="s">
        <v>211</v>
      </c>
      <c r="L5" s="447" t="s">
        <v>211</v>
      </c>
      <c r="M5" s="432">
        <f>SUM(M6:M11)</f>
        <v>2.9958991626558778E-2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4.6822777725037384E-6</v>
      </c>
      <c r="C6" s="433"/>
      <c r="D6" s="433">
        <f>vkm_2011_GW_PW*SUMIFS(TableVerdeelsleutelVkm[CNG],TableVerdeelsleutelVkm[Voertuigtype],"Lichte voertuigen")*SUMIFS(TableECFTransport[EnergieConsumptieFactor (PJ per km)],TableECFTransport[Index],CONCATENATE($A6,"_CNG_CNG"))</f>
        <v>1.1434200735058403E-5</v>
      </c>
      <c r="E6" s="435">
        <f>vkm_2011_GW_PW*SUMIFS(TableVerdeelsleutelVkm[LPG],TableVerdeelsleutelVkm[Voertuigtype],"Lichte voertuigen")*SUMIFS(TableECFTransport[EnergieConsumptieFactor (PJ per km)],TableECFTransport[Index],CONCATENATE($A6,"_LPG_LPG"))</f>
        <v>6.7776032921396437E-4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9.797822840550767E-2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2.5677278802723861E-2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5.5375213383684584E-3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7.4912188347159417E-2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3.0224147417342087E-5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3.3373148131971672E-3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2.9136901530087963E-6</v>
      </c>
      <c r="C8" s="433"/>
      <c r="D8" s="435">
        <f>vkm_2011_NGW_PW*SUMIFS(TableVerdeelsleutelVkm[CNG],TableVerdeelsleutelVkm[Voertuigtype],"Lichte voertuigen")*SUMIFS(TableECFTransport[EnergieConsumptieFactor (PJ per km)],TableECFTransport[Index],CONCATENATE($A8,"_CNG_CNG"))</f>
        <v>1.2766021482137061E-5</v>
      </c>
      <c r="E8" s="435">
        <f>vkm_2011_NGW_PW*SUMIFS(TableVerdeelsleutelVkm[LPG],TableVerdeelsleutelVkm[Voertuigtype],"Lichte voertuigen")*SUMIFS(TableECFTransport[EnergieConsumptieFactor (PJ per km)],TableECFTransport[Index],CONCATENATE($A8,"_LPG_LPG"))</f>
        <v>6.9419983601228116E-4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9.4803625159747995E-2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2.745248133935585E-2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5.4773466973939734E-3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3.6342656602810101E-2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1.2766874639444737E-5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1.6189673892552693E-3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5.1802772997277767E-6</v>
      </c>
      <c r="C10" s="433"/>
      <c r="D10" s="435">
        <f>vkm_2011_SW_PW*SUMIFS(TableVerdeelsleutelVkm[CNG],TableVerdeelsleutelVkm[Voertuigtype],"Lichte voertuigen")*SUMIFS(TableECFTransport[EnergieConsumptieFactor (PJ per km)],TableECFTransport[Index],CONCATENATE($A10,"_CNG_CNG"))</f>
        <v>1.3092231961192935E-5</v>
      </c>
      <c r="E10" s="435">
        <f>vkm_2011_SW_PW*SUMIFS(TableVerdeelsleutelVkm[LPG],TableVerdeelsleutelVkm[Voertuigtype],"Lichte voertuigen")*SUMIFS(TableECFTransport[EnergieConsumptieFactor (PJ per km)],TableECFTransport[Index],CONCATENATE($A10,"_LPG_LPG"))</f>
        <v>9.7102985861337505E-4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0.12792775286988359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3.1059842625276401E-2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7.1173988868389933E-3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0.15421586456459901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6.601231590415718E-5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6.8704425015049158E-3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3.548957007011198</v>
      </c>
      <c r="C14" s="22"/>
      <c r="D14" s="22">
        <f t="shared" ref="D14:M14" si="0">((D5)*10^9/3600)+D12</f>
        <v>10.359015049552333</v>
      </c>
      <c r="E14" s="22">
        <f t="shared" si="0"/>
        <v>650.8305621776725</v>
      </c>
      <c r="F14" s="22"/>
      <c r="G14" s="22">
        <f t="shared" si="0"/>
        <v>162827.86554158549</v>
      </c>
      <c r="H14" s="22">
        <f t="shared" si="0"/>
        <v>23416.279473699178</v>
      </c>
      <c r="I14" s="22"/>
      <c r="J14" s="22"/>
      <c r="K14" s="22"/>
      <c r="L14" s="22"/>
      <c r="M14" s="22">
        <f t="shared" si="0"/>
        <v>8321.9421184885487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0.18647414308464413</v>
      </c>
      <c r="C16" s="57">
        <f ca="1">'EF ele_warmte'!B22</f>
        <v>0.22763792387543258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0.66178871672665651</v>
      </c>
      <c r="C18" s="24"/>
      <c r="D18" s="24">
        <f t="shared" ref="D18:M18" si="1">D14*D16</f>
        <v>2.0925210400095713</v>
      </c>
      <c r="E18" s="24">
        <f t="shared" si="1"/>
        <v>147.73853761433168</v>
      </c>
      <c r="F18" s="24"/>
      <c r="G18" s="24">
        <f t="shared" si="1"/>
        <v>43475.040099603328</v>
      </c>
      <c r="H18" s="24">
        <f t="shared" si="1"/>
        <v>5830.6535889510951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5.4988691651486283E-3</v>
      </c>
      <c r="H50" s="323">
        <f t="shared" si="2"/>
        <v>0</v>
      </c>
      <c r="I50" s="323">
        <f t="shared" si="2"/>
        <v>0</v>
      </c>
      <c r="J50" s="323">
        <f t="shared" si="2"/>
        <v>0</v>
      </c>
      <c r="K50" s="323">
        <f t="shared" si="2"/>
        <v>0</v>
      </c>
      <c r="L50" s="323">
        <f t="shared" si="2"/>
        <v>0</v>
      </c>
      <c r="M50" s="323">
        <f t="shared" si="2"/>
        <v>2.4146441599376208E-4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5.4988691651486283E-3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2.4146441599376208E-4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1527.46365698573</v>
      </c>
      <c r="H54" s="22">
        <f t="shared" si="3"/>
        <v>0</v>
      </c>
      <c r="I54" s="22">
        <f t="shared" si="3"/>
        <v>0</v>
      </c>
      <c r="J54" s="22">
        <f t="shared" si="3"/>
        <v>0</v>
      </c>
      <c r="K54" s="22">
        <f t="shared" si="3"/>
        <v>0</v>
      </c>
      <c r="L54" s="22">
        <f t="shared" si="3"/>
        <v>0</v>
      </c>
      <c r="M54" s="22">
        <f t="shared" si="3"/>
        <v>67.073448887156133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0.18647414308464413</v>
      </c>
      <c r="C56" s="57">
        <f ca="1">'EF ele_warmte'!B22</f>
        <v>0.22763792387543258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407.83279641518993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61021.118000000002</v>
      </c>
      <c r="D10" s="688">
        <f ca="1">tertiair!C16</f>
        <v>0</v>
      </c>
      <c r="E10" s="688">
        <f ca="1">tertiair!D16</f>
        <v>93073.054008000006</v>
      </c>
      <c r="F10" s="688">
        <f>tertiair!E16</f>
        <v>400.05461499414417</v>
      </c>
      <c r="G10" s="688">
        <f ca="1">tertiair!F16</f>
        <v>12448.882224627654</v>
      </c>
      <c r="H10" s="688">
        <f>tertiair!G16</f>
        <v>0</v>
      </c>
      <c r="I10" s="688">
        <f>tertiair!H16</f>
        <v>0</v>
      </c>
      <c r="J10" s="688">
        <f>tertiair!I16</f>
        <v>0</v>
      </c>
      <c r="K10" s="688">
        <f>tertiair!J16</f>
        <v>0</v>
      </c>
      <c r="L10" s="688">
        <f>tertiair!K16</f>
        <v>0</v>
      </c>
      <c r="M10" s="688">
        <f ca="1">tertiair!L16</f>
        <v>0</v>
      </c>
      <c r="N10" s="688">
        <f>tertiair!M16</f>
        <v>0</v>
      </c>
      <c r="O10" s="688">
        <f ca="1">tertiair!N16</f>
        <v>3626.7050754930797</v>
      </c>
      <c r="P10" s="688">
        <f>tertiair!O16</f>
        <v>0</v>
      </c>
      <c r="Q10" s="689">
        <f>tertiair!P16</f>
        <v>0</v>
      </c>
      <c r="R10" s="691">
        <f ca="1">SUM(C10:Q10)</f>
        <v>170569.81392311491</v>
      </c>
      <c r="S10" s="68"/>
    </row>
    <row r="11" spans="1:19" s="457" customFormat="1">
      <c r="A11" s="803" t="s">
        <v>225</v>
      </c>
      <c r="B11" s="808"/>
      <c r="C11" s="688">
        <f>huishoudens!B8</f>
        <v>46162.062071495959</v>
      </c>
      <c r="D11" s="688">
        <f>huishoudens!C8</f>
        <v>0</v>
      </c>
      <c r="E11" s="688">
        <f>huishoudens!D8</f>
        <v>121940.17763399999</v>
      </c>
      <c r="F11" s="688">
        <f>huishoudens!E8</f>
        <v>5488.5860760713967</v>
      </c>
      <c r="G11" s="688">
        <f>huishoudens!F8</f>
        <v>8721.0808791616582</v>
      </c>
      <c r="H11" s="688">
        <f>huishoudens!G8</f>
        <v>0</v>
      </c>
      <c r="I11" s="688">
        <f>huishoudens!H8</f>
        <v>0</v>
      </c>
      <c r="J11" s="688">
        <f>huishoudens!I8</f>
        <v>0</v>
      </c>
      <c r="K11" s="688">
        <f>huishoudens!J8</f>
        <v>0</v>
      </c>
      <c r="L11" s="688">
        <f>huishoudens!K8</f>
        <v>0</v>
      </c>
      <c r="M11" s="688">
        <f>huishoudens!L8</f>
        <v>0</v>
      </c>
      <c r="N11" s="688">
        <f>huishoudens!M8</f>
        <v>0</v>
      </c>
      <c r="O11" s="688">
        <f>huishoudens!N8</f>
        <v>17824.416185267295</v>
      </c>
      <c r="P11" s="688">
        <f>huishoudens!O8</f>
        <v>125.06666666666666</v>
      </c>
      <c r="Q11" s="689">
        <f>huishoudens!P8</f>
        <v>286</v>
      </c>
      <c r="R11" s="691">
        <f>SUM(C11:Q11)</f>
        <v>200547.38951266298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44392.394</v>
      </c>
      <c r="D13" s="688">
        <f>industrie!C18</f>
        <v>0</v>
      </c>
      <c r="E13" s="688">
        <f>industrie!D18</f>
        <v>74922.267661999998</v>
      </c>
      <c r="F13" s="688">
        <f>industrie!E18</f>
        <v>389.12176636681272</v>
      </c>
      <c r="G13" s="688">
        <f>industrie!F18</f>
        <v>13865.218031108079</v>
      </c>
      <c r="H13" s="688">
        <f>industrie!G18</f>
        <v>0</v>
      </c>
      <c r="I13" s="688">
        <f>industrie!H18</f>
        <v>0</v>
      </c>
      <c r="J13" s="688">
        <f>industrie!I18</f>
        <v>0</v>
      </c>
      <c r="K13" s="688">
        <f>industrie!J18</f>
        <v>115.79297796838573</v>
      </c>
      <c r="L13" s="688">
        <f>industrie!K18</f>
        <v>0</v>
      </c>
      <c r="M13" s="688">
        <f>industrie!L18</f>
        <v>0</v>
      </c>
      <c r="N13" s="688">
        <f>industrie!M18</f>
        <v>0</v>
      </c>
      <c r="O13" s="688">
        <f>industrie!N18</f>
        <v>2453.1148008201303</v>
      </c>
      <c r="P13" s="688">
        <f>industrie!O18</f>
        <v>0</v>
      </c>
      <c r="Q13" s="689">
        <f>industrie!P18</f>
        <v>0</v>
      </c>
      <c r="R13" s="691">
        <f>SUM(C13:Q13)</f>
        <v>136137.90923826338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151575.57407149597</v>
      </c>
      <c r="D16" s="721">
        <f t="shared" ref="D16:R16" ca="1" si="0">SUM(D9:D15)</f>
        <v>0</v>
      </c>
      <c r="E16" s="721">
        <f t="shared" ca="1" si="0"/>
        <v>289935.499304</v>
      </c>
      <c r="F16" s="721">
        <f t="shared" si="0"/>
        <v>6277.7624574323536</v>
      </c>
      <c r="G16" s="721">
        <f t="shared" ca="1" si="0"/>
        <v>35035.181134897393</v>
      </c>
      <c r="H16" s="721">
        <f t="shared" si="0"/>
        <v>0</v>
      </c>
      <c r="I16" s="721">
        <f t="shared" si="0"/>
        <v>0</v>
      </c>
      <c r="J16" s="721">
        <f t="shared" si="0"/>
        <v>0</v>
      </c>
      <c r="K16" s="721">
        <f t="shared" si="0"/>
        <v>115.79297796838573</v>
      </c>
      <c r="L16" s="721">
        <f t="shared" si="0"/>
        <v>0</v>
      </c>
      <c r="M16" s="721">
        <f t="shared" ca="1" si="0"/>
        <v>0</v>
      </c>
      <c r="N16" s="721">
        <f t="shared" si="0"/>
        <v>0</v>
      </c>
      <c r="O16" s="721">
        <f t="shared" ca="1" si="0"/>
        <v>23904.236061580505</v>
      </c>
      <c r="P16" s="721">
        <f t="shared" si="0"/>
        <v>125.06666666666666</v>
      </c>
      <c r="Q16" s="721">
        <f t="shared" si="0"/>
        <v>286</v>
      </c>
      <c r="R16" s="721">
        <f t="shared" ca="1" si="0"/>
        <v>507255.1126740413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1527.46365698573</v>
      </c>
      <c r="I19" s="688">
        <f>transport!H54</f>
        <v>0</v>
      </c>
      <c r="J19" s="688">
        <f>transport!I54</f>
        <v>0</v>
      </c>
      <c r="K19" s="688">
        <f>transport!J54</f>
        <v>0</v>
      </c>
      <c r="L19" s="688">
        <f>transport!K54</f>
        <v>0</v>
      </c>
      <c r="M19" s="688">
        <f>transport!L54</f>
        <v>0</v>
      </c>
      <c r="N19" s="688">
        <f>transport!M54</f>
        <v>67.073448887156133</v>
      </c>
      <c r="O19" s="688">
        <f>transport!N54</f>
        <v>0</v>
      </c>
      <c r="P19" s="688">
        <f>transport!O54</f>
        <v>0</v>
      </c>
      <c r="Q19" s="689">
        <f>transport!P54</f>
        <v>0</v>
      </c>
      <c r="R19" s="691">
        <f>SUM(C19:Q19)</f>
        <v>1594.5371058728861</v>
      </c>
      <c r="S19" s="68"/>
    </row>
    <row r="20" spans="1:19" s="457" customFormat="1">
      <c r="A20" s="803" t="s">
        <v>307</v>
      </c>
      <c r="B20" s="808"/>
      <c r="C20" s="688">
        <f>transport!B14</f>
        <v>3.548957007011198</v>
      </c>
      <c r="D20" s="688">
        <f>transport!C14</f>
        <v>0</v>
      </c>
      <c r="E20" s="688">
        <f>transport!D14</f>
        <v>10.359015049552333</v>
      </c>
      <c r="F20" s="688">
        <f>transport!E14</f>
        <v>650.8305621776725</v>
      </c>
      <c r="G20" s="688">
        <f>transport!F14</f>
        <v>0</v>
      </c>
      <c r="H20" s="688">
        <f>transport!G14</f>
        <v>162827.86554158549</v>
      </c>
      <c r="I20" s="688">
        <f>transport!H14</f>
        <v>23416.279473699178</v>
      </c>
      <c r="J20" s="688">
        <f>transport!I14</f>
        <v>0</v>
      </c>
      <c r="K20" s="688">
        <f>transport!J14</f>
        <v>0</v>
      </c>
      <c r="L20" s="688">
        <f>transport!K14</f>
        <v>0</v>
      </c>
      <c r="M20" s="688">
        <f>transport!L14</f>
        <v>0</v>
      </c>
      <c r="N20" s="688">
        <f>transport!M14</f>
        <v>8321.9421184885487</v>
      </c>
      <c r="O20" s="688">
        <f>transport!N14</f>
        <v>0</v>
      </c>
      <c r="P20" s="688">
        <f>transport!O14</f>
        <v>0</v>
      </c>
      <c r="Q20" s="689">
        <f>transport!P14</f>
        <v>0</v>
      </c>
      <c r="R20" s="691">
        <f>SUM(C20:Q20)</f>
        <v>195230.82566800743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3.548957007011198</v>
      </c>
      <c r="D22" s="806">
        <f t="shared" ref="D22:R22" si="1">SUM(D18:D21)</f>
        <v>0</v>
      </c>
      <c r="E22" s="806">
        <f t="shared" si="1"/>
        <v>10.359015049552333</v>
      </c>
      <c r="F22" s="806">
        <f t="shared" si="1"/>
        <v>650.8305621776725</v>
      </c>
      <c r="G22" s="806">
        <f t="shared" si="1"/>
        <v>0</v>
      </c>
      <c r="H22" s="806">
        <f t="shared" si="1"/>
        <v>164355.32919857121</v>
      </c>
      <c r="I22" s="806">
        <f t="shared" si="1"/>
        <v>23416.279473699178</v>
      </c>
      <c r="J22" s="806">
        <f t="shared" si="1"/>
        <v>0</v>
      </c>
      <c r="K22" s="806">
        <f t="shared" si="1"/>
        <v>0</v>
      </c>
      <c r="L22" s="806">
        <f t="shared" si="1"/>
        <v>0</v>
      </c>
      <c r="M22" s="806">
        <f t="shared" si="1"/>
        <v>0</v>
      </c>
      <c r="N22" s="806">
        <f t="shared" si="1"/>
        <v>8389.0155673757054</v>
      </c>
      <c r="O22" s="806">
        <f t="shared" si="1"/>
        <v>0</v>
      </c>
      <c r="P22" s="806">
        <f t="shared" si="1"/>
        <v>0</v>
      </c>
      <c r="Q22" s="806">
        <f t="shared" si="1"/>
        <v>0</v>
      </c>
      <c r="R22" s="806">
        <f t="shared" si="1"/>
        <v>196825.3627738803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1899.03</v>
      </c>
      <c r="D24" s="688">
        <f>+landbouw!C8</f>
        <v>27321.428571428572</v>
      </c>
      <c r="E24" s="688">
        <f>+landbouw!D8</f>
        <v>0</v>
      </c>
      <c r="F24" s="688">
        <f>+landbouw!E8</f>
        <v>17.890134991838394</v>
      </c>
      <c r="G24" s="688">
        <f>+landbouw!F8</f>
        <v>6197.1651227079074</v>
      </c>
      <c r="H24" s="688">
        <f>+landbouw!G8</f>
        <v>0</v>
      </c>
      <c r="I24" s="688">
        <f>+landbouw!H8</f>
        <v>0</v>
      </c>
      <c r="J24" s="688">
        <f>+landbouw!I8</f>
        <v>0</v>
      </c>
      <c r="K24" s="688">
        <f>+landbouw!J8</f>
        <v>234.91924788014569</v>
      </c>
      <c r="L24" s="688">
        <f>+landbouw!K8</f>
        <v>0</v>
      </c>
      <c r="M24" s="688">
        <f>+landbouw!L8</f>
        <v>0</v>
      </c>
      <c r="N24" s="688">
        <f>+landbouw!M8</f>
        <v>0</v>
      </c>
      <c r="O24" s="688">
        <f>+landbouw!N8</f>
        <v>0</v>
      </c>
      <c r="P24" s="688">
        <f>+landbouw!O8</f>
        <v>0</v>
      </c>
      <c r="Q24" s="689">
        <f>+landbouw!P8</f>
        <v>0</v>
      </c>
      <c r="R24" s="691">
        <f>SUM(C24:Q24)</f>
        <v>35670.433077008463</v>
      </c>
      <c r="S24" s="68"/>
    </row>
    <row r="25" spans="1:19" s="457" customFormat="1" ht="15" thickBot="1">
      <c r="A25" s="825" t="s">
        <v>912</v>
      </c>
      <c r="B25" s="1001"/>
      <c r="C25" s="1002">
        <f>IF(Onbekend_ele_kWh="---",0,Onbekend_ele_kWh)/1000+IF(REST_rest_ele_kWh="---",0,REST_rest_ele_kWh)/1000</f>
        <v>1586.211</v>
      </c>
      <c r="D25" s="1002"/>
      <c r="E25" s="1002">
        <f>IF(onbekend_gas_kWh="---",0,onbekend_gas_kWh)/1000+IF(REST_rest_gas_kWh="---",0,REST_rest_gas_kWh)/1000</f>
        <v>5317.348</v>
      </c>
      <c r="F25" s="1002"/>
      <c r="G25" s="1002"/>
      <c r="H25" s="1002"/>
      <c r="I25" s="1002"/>
      <c r="J25" s="1002"/>
      <c r="K25" s="1002"/>
      <c r="L25" s="1002"/>
      <c r="M25" s="1002"/>
      <c r="N25" s="1002"/>
      <c r="O25" s="1002"/>
      <c r="P25" s="1002"/>
      <c r="Q25" s="1003"/>
      <c r="R25" s="691">
        <f>SUM(C25:Q25)</f>
        <v>6903.5590000000002</v>
      </c>
      <c r="S25" s="68"/>
    </row>
    <row r="26" spans="1:19" s="457" customFormat="1" ht="15.75" thickBot="1">
      <c r="A26" s="694" t="s">
        <v>913</v>
      </c>
      <c r="B26" s="811"/>
      <c r="C26" s="806">
        <f>SUM(C24:C25)</f>
        <v>3485.241</v>
      </c>
      <c r="D26" s="806">
        <f t="shared" ref="D26:R26" si="2">SUM(D24:D25)</f>
        <v>27321.428571428572</v>
      </c>
      <c r="E26" s="806">
        <f t="shared" si="2"/>
        <v>5317.348</v>
      </c>
      <c r="F26" s="806">
        <f t="shared" si="2"/>
        <v>17.890134991838394</v>
      </c>
      <c r="G26" s="806">
        <f t="shared" si="2"/>
        <v>6197.1651227079074</v>
      </c>
      <c r="H26" s="806">
        <f t="shared" si="2"/>
        <v>0</v>
      </c>
      <c r="I26" s="806">
        <f t="shared" si="2"/>
        <v>0</v>
      </c>
      <c r="J26" s="806">
        <f t="shared" si="2"/>
        <v>0</v>
      </c>
      <c r="K26" s="806">
        <f t="shared" si="2"/>
        <v>234.91924788014569</v>
      </c>
      <c r="L26" s="806">
        <f t="shared" si="2"/>
        <v>0</v>
      </c>
      <c r="M26" s="806">
        <f t="shared" si="2"/>
        <v>0</v>
      </c>
      <c r="N26" s="806">
        <f t="shared" si="2"/>
        <v>0</v>
      </c>
      <c r="O26" s="806">
        <f t="shared" si="2"/>
        <v>0</v>
      </c>
      <c r="P26" s="806">
        <f t="shared" si="2"/>
        <v>0</v>
      </c>
      <c r="Q26" s="806">
        <f t="shared" si="2"/>
        <v>0</v>
      </c>
      <c r="R26" s="806">
        <f t="shared" si="2"/>
        <v>42573.992077008465</v>
      </c>
      <c r="S26" s="68"/>
    </row>
    <row r="27" spans="1:19" s="457" customFormat="1" ht="17.25" thickTop="1" thickBot="1">
      <c r="A27" s="695" t="s">
        <v>116</v>
      </c>
      <c r="B27" s="798"/>
      <c r="C27" s="696">
        <f ca="1">C22+C16+C26</f>
        <v>155064.36402850298</v>
      </c>
      <c r="D27" s="696">
        <f t="shared" ref="D27:R27" ca="1" si="3">D22+D16+D26</f>
        <v>27321.428571428572</v>
      </c>
      <c r="E27" s="696">
        <f t="shared" ca="1" si="3"/>
        <v>295263.20631904952</v>
      </c>
      <c r="F27" s="696">
        <f t="shared" si="3"/>
        <v>6946.483154601865</v>
      </c>
      <c r="G27" s="696">
        <f t="shared" ca="1" si="3"/>
        <v>41232.346257605299</v>
      </c>
      <c r="H27" s="696">
        <f t="shared" si="3"/>
        <v>164355.32919857121</v>
      </c>
      <c r="I27" s="696">
        <f t="shared" si="3"/>
        <v>23416.279473699178</v>
      </c>
      <c r="J27" s="696">
        <f t="shared" si="3"/>
        <v>0</v>
      </c>
      <c r="K27" s="696">
        <f t="shared" si="3"/>
        <v>350.71222584853143</v>
      </c>
      <c r="L27" s="696">
        <f t="shared" si="3"/>
        <v>0</v>
      </c>
      <c r="M27" s="696">
        <f t="shared" ca="1" si="3"/>
        <v>0</v>
      </c>
      <c r="N27" s="696">
        <f t="shared" si="3"/>
        <v>8389.0155673757054</v>
      </c>
      <c r="O27" s="696">
        <f t="shared" ca="1" si="3"/>
        <v>23904.236061580505</v>
      </c>
      <c r="P27" s="696">
        <f t="shared" si="3"/>
        <v>125.06666666666666</v>
      </c>
      <c r="Q27" s="696">
        <f t="shared" si="3"/>
        <v>286</v>
      </c>
      <c r="R27" s="696">
        <f t="shared" ca="1" si="3"/>
        <v>746654.46752493002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11378.860689116955</v>
      </c>
      <c r="D40" s="688">
        <f ca="1">tertiair!C20</f>
        <v>0</v>
      </c>
      <c r="E40" s="688">
        <f ca="1">tertiair!D20</f>
        <v>18800.756909616004</v>
      </c>
      <c r="F40" s="688">
        <f>tertiair!E20</f>
        <v>90.812397603670732</v>
      </c>
      <c r="G40" s="688">
        <f ca="1">tertiair!F20</f>
        <v>3323.851553975584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33594.281550312211</v>
      </c>
    </row>
    <row r="41" spans="1:18">
      <c r="A41" s="816" t="s">
        <v>225</v>
      </c>
      <c r="B41" s="823"/>
      <c r="C41" s="688">
        <f ca="1">huishoudens!B12</f>
        <v>8608.0309678023623</v>
      </c>
      <c r="D41" s="688">
        <f ca="1">huishoudens!C12</f>
        <v>0</v>
      </c>
      <c r="E41" s="688">
        <f>huishoudens!D12</f>
        <v>24631.915882067999</v>
      </c>
      <c r="F41" s="688">
        <f>huishoudens!E12</f>
        <v>1245.9090392682072</v>
      </c>
      <c r="G41" s="688">
        <f>huishoudens!F12</f>
        <v>2328.5285947361631</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36814.384483874732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8278.0336306258978</v>
      </c>
      <c r="D43" s="688">
        <f ca="1">industrie!C22</f>
        <v>0</v>
      </c>
      <c r="E43" s="688">
        <f>industrie!D22</f>
        <v>15134.298067724001</v>
      </c>
      <c r="F43" s="688">
        <f>industrie!E22</f>
        <v>88.330640965266497</v>
      </c>
      <c r="G43" s="688">
        <f>industrie!F22</f>
        <v>3702.0132143058572</v>
      </c>
      <c r="H43" s="688">
        <f>industrie!G22</f>
        <v>0</v>
      </c>
      <c r="I43" s="688">
        <f>industrie!H22</f>
        <v>0</v>
      </c>
      <c r="J43" s="688">
        <f>industrie!I22</f>
        <v>0</v>
      </c>
      <c r="K43" s="688">
        <f>industrie!J22</f>
        <v>40.990714200808547</v>
      </c>
      <c r="L43" s="688">
        <f>industrie!K22</f>
        <v>0</v>
      </c>
      <c r="M43" s="688">
        <f>industrie!L22</f>
        <v>0</v>
      </c>
      <c r="N43" s="688">
        <f>industrie!M22</f>
        <v>0</v>
      </c>
      <c r="O43" s="688">
        <f>industrie!N22</f>
        <v>0</v>
      </c>
      <c r="P43" s="688">
        <f>industrie!O22</f>
        <v>0</v>
      </c>
      <c r="Q43" s="763">
        <f>industrie!P22</f>
        <v>0</v>
      </c>
      <c r="R43" s="843">
        <f t="shared" ca="1" si="4"/>
        <v>27243.666267821831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28264.925287545215</v>
      </c>
      <c r="D46" s="721">
        <f t="shared" ref="D46:Q46" ca="1" si="5">SUM(D39:D45)</f>
        <v>0</v>
      </c>
      <c r="E46" s="721">
        <f t="shared" ca="1" si="5"/>
        <v>58566.970859408</v>
      </c>
      <c r="F46" s="721">
        <f t="shared" si="5"/>
        <v>1425.0520778371442</v>
      </c>
      <c r="G46" s="721">
        <f t="shared" ca="1" si="5"/>
        <v>9354.3933630176034</v>
      </c>
      <c r="H46" s="721">
        <f t="shared" si="5"/>
        <v>0</v>
      </c>
      <c r="I46" s="721">
        <f t="shared" si="5"/>
        <v>0</v>
      </c>
      <c r="J46" s="721">
        <f t="shared" si="5"/>
        <v>0</v>
      </c>
      <c r="K46" s="721">
        <f t="shared" si="5"/>
        <v>40.990714200808547</v>
      </c>
      <c r="L46" s="721">
        <f t="shared" si="5"/>
        <v>0</v>
      </c>
      <c r="M46" s="721">
        <f t="shared" ca="1" si="5"/>
        <v>0</v>
      </c>
      <c r="N46" s="721">
        <f t="shared" si="5"/>
        <v>0</v>
      </c>
      <c r="O46" s="721">
        <f t="shared" ca="1" si="5"/>
        <v>0</v>
      </c>
      <c r="P46" s="721">
        <f t="shared" si="5"/>
        <v>0</v>
      </c>
      <c r="Q46" s="721">
        <f t="shared" si="5"/>
        <v>0</v>
      </c>
      <c r="R46" s="721">
        <f ca="1">SUM(R39:R45)</f>
        <v>97652.33230200877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407.83279641518993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407.83279641518993</v>
      </c>
    </row>
    <row r="50" spans="1:18">
      <c r="A50" s="819" t="s">
        <v>307</v>
      </c>
      <c r="B50" s="829"/>
      <c r="C50" s="1008">
        <f ca="1">transport!B18</f>
        <v>0.66178871672665651</v>
      </c>
      <c r="D50" s="1008">
        <f>transport!C18</f>
        <v>0</v>
      </c>
      <c r="E50" s="1008">
        <f>transport!D18</f>
        <v>2.0925210400095713</v>
      </c>
      <c r="F50" s="1008">
        <f>transport!E18</f>
        <v>147.73853761433168</v>
      </c>
      <c r="G50" s="1008">
        <f>transport!F18</f>
        <v>0</v>
      </c>
      <c r="H50" s="1008">
        <f>transport!G18</f>
        <v>43475.040099603328</v>
      </c>
      <c r="I50" s="1008">
        <f>transport!H18</f>
        <v>5830.6535889510951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49456.186535925488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0.66178871672665651</v>
      </c>
      <c r="D52" s="721">
        <f t="shared" ref="D52:Q52" ca="1" si="6">SUM(D48:D51)</f>
        <v>0</v>
      </c>
      <c r="E52" s="721">
        <f t="shared" si="6"/>
        <v>2.0925210400095713</v>
      </c>
      <c r="F52" s="721">
        <f t="shared" si="6"/>
        <v>147.73853761433168</v>
      </c>
      <c r="G52" s="721">
        <f t="shared" si="6"/>
        <v>0</v>
      </c>
      <c r="H52" s="721">
        <f t="shared" si="6"/>
        <v>43882.872896018518</v>
      </c>
      <c r="I52" s="721">
        <f t="shared" si="6"/>
        <v>5830.6535889510951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49864.019332340678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354.11999194203173</v>
      </c>
      <c r="D54" s="1008">
        <f ca="1">+landbouw!C12</f>
        <v>6219.3932773109264</v>
      </c>
      <c r="E54" s="1008">
        <f>+landbouw!D12</f>
        <v>0</v>
      </c>
      <c r="F54" s="1008">
        <f>+landbouw!E12</f>
        <v>4.0610606431473153</v>
      </c>
      <c r="G54" s="1008">
        <f>+landbouw!F12</f>
        <v>1654.6430877630114</v>
      </c>
      <c r="H54" s="1008">
        <f>+landbouw!G12</f>
        <v>0</v>
      </c>
      <c r="I54" s="1008">
        <f>+landbouw!H12</f>
        <v>0</v>
      </c>
      <c r="J54" s="1008">
        <f>+landbouw!I12</f>
        <v>0</v>
      </c>
      <c r="K54" s="1008">
        <f>+landbouw!J12</f>
        <v>83.161413749571565</v>
      </c>
      <c r="L54" s="1008">
        <f>+landbouw!K12</f>
        <v>0</v>
      </c>
      <c r="M54" s="1008">
        <f>+landbouw!L12</f>
        <v>0</v>
      </c>
      <c r="N54" s="1008">
        <f>+landbouw!M12</f>
        <v>0</v>
      </c>
      <c r="O54" s="1008">
        <f>+landbouw!N12</f>
        <v>0</v>
      </c>
      <c r="P54" s="1008">
        <f>+landbouw!O12</f>
        <v>0</v>
      </c>
      <c r="Q54" s="1009">
        <f>+landbouw!P12</f>
        <v>0</v>
      </c>
      <c r="R54" s="720">
        <f ca="1">SUM(C54:Q54)</f>
        <v>8315.3788314086869</v>
      </c>
    </row>
    <row r="55" spans="1:18" ht="15" thickBot="1">
      <c r="A55" s="819" t="s">
        <v>912</v>
      </c>
      <c r="B55" s="829"/>
      <c r="C55" s="1008">
        <f ca="1">C25*'EF ele_warmte'!B12</f>
        <v>295.78733697643645</v>
      </c>
      <c r="D55" s="1008"/>
      <c r="E55" s="1008">
        <f>E25*EF_CO2_aardgas</f>
        <v>1074.104296</v>
      </c>
      <c r="F55" s="1008"/>
      <c r="G55" s="1008"/>
      <c r="H55" s="1008"/>
      <c r="I55" s="1008"/>
      <c r="J55" s="1008"/>
      <c r="K55" s="1008"/>
      <c r="L55" s="1008"/>
      <c r="M55" s="1008"/>
      <c r="N55" s="1008"/>
      <c r="O55" s="1008"/>
      <c r="P55" s="1008"/>
      <c r="Q55" s="1009"/>
      <c r="R55" s="720">
        <f ca="1">SUM(C55:Q55)</f>
        <v>1369.8916329764365</v>
      </c>
    </row>
    <row r="56" spans="1:18" ht="15.75" thickBot="1">
      <c r="A56" s="817" t="s">
        <v>913</v>
      </c>
      <c r="B56" s="830"/>
      <c r="C56" s="721">
        <f ca="1">SUM(C54:C55)</f>
        <v>649.90732891846824</v>
      </c>
      <c r="D56" s="721">
        <f t="shared" ref="D56:Q56" ca="1" si="7">SUM(D54:D55)</f>
        <v>6219.3932773109264</v>
      </c>
      <c r="E56" s="721">
        <f t="shared" si="7"/>
        <v>1074.104296</v>
      </c>
      <c r="F56" s="721">
        <f t="shared" si="7"/>
        <v>4.0610606431473153</v>
      </c>
      <c r="G56" s="721">
        <f t="shared" si="7"/>
        <v>1654.6430877630114</v>
      </c>
      <c r="H56" s="721">
        <f t="shared" si="7"/>
        <v>0</v>
      </c>
      <c r="I56" s="721">
        <f t="shared" si="7"/>
        <v>0</v>
      </c>
      <c r="J56" s="721">
        <f t="shared" si="7"/>
        <v>0</v>
      </c>
      <c r="K56" s="721">
        <f t="shared" si="7"/>
        <v>83.161413749571565</v>
      </c>
      <c r="L56" s="721">
        <f t="shared" si="7"/>
        <v>0</v>
      </c>
      <c r="M56" s="721">
        <f t="shared" si="7"/>
        <v>0</v>
      </c>
      <c r="N56" s="721">
        <f t="shared" si="7"/>
        <v>0</v>
      </c>
      <c r="O56" s="721">
        <f t="shared" si="7"/>
        <v>0</v>
      </c>
      <c r="P56" s="721">
        <f t="shared" si="7"/>
        <v>0</v>
      </c>
      <c r="Q56" s="722">
        <f t="shared" si="7"/>
        <v>0</v>
      </c>
      <c r="R56" s="723">
        <f ca="1">SUM(R54:R55)</f>
        <v>9685.270464385123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28915.494405180409</v>
      </c>
      <c r="D61" s="729">
        <f t="shared" ref="D61:Q61" ca="1" si="8">D46+D52+D56</f>
        <v>6219.3932773109264</v>
      </c>
      <c r="E61" s="729">
        <f t="shared" ca="1" si="8"/>
        <v>59643.167676448007</v>
      </c>
      <c r="F61" s="729">
        <f t="shared" si="8"/>
        <v>1576.8516760946231</v>
      </c>
      <c r="G61" s="729">
        <f t="shared" ca="1" si="8"/>
        <v>11009.036450780615</v>
      </c>
      <c r="H61" s="729">
        <f t="shared" si="8"/>
        <v>43882.872896018518</v>
      </c>
      <c r="I61" s="729">
        <f t="shared" si="8"/>
        <v>5830.6535889510951</v>
      </c>
      <c r="J61" s="729">
        <f t="shared" si="8"/>
        <v>0</v>
      </c>
      <c r="K61" s="729">
        <f t="shared" si="8"/>
        <v>124.15212795038011</v>
      </c>
      <c r="L61" s="729">
        <f t="shared" si="8"/>
        <v>0</v>
      </c>
      <c r="M61" s="729">
        <f t="shared" ca="1" si="8"/>
        <v>0</v>
      </c>
      <c r="N61" s="729">
        <f t="shared" si="8"/>
        <v>0</v>
      </c>
      <c r="O61" s="729">
        <f t="shared" ca="1" si="8"/>
        <v>0</v>
      </c>
      <c r="P61" s="729">
        <f t="shared" si="8"/>
        <v>0</v>
      </c>
      <c r="Q61" s="729">
        <f t="shared" si="8"/>
        <v>0</v>
      </c>
      <c r="R61" s="729">
        <f ca="1">R46+R52+R56</f>
        <v>157201.62209873457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0.18647414308464413</v>
      </c>
      <c r="D63" s="773">
        <f t="shared" ca="1" si="9"/>
        <v>0.22763792387543258</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10098.352393554176</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13360.106155026795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805.5</v>
      </c>
      <c r="C76" s="739">
        <f>'lokale energieproductie'!B8*IFERROR(SUM(D76:H76)/SUM(D76:O76),0)</f>
        <v>18319.5</v>
      </c>
      <c r="D76" s="1020">
        <f>'lokale energieproductie'!C8</f>
        <v>21552.352941176472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947.64705882352939</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4353.5752941176479</v>
      </c>
      <c r="R76" s="846">
        <v>0</v>
      </c>
    </row>
    <row r="77" spans="1:18" ht="30.75" thickBot="1">
      <c r="A77" s="742" t="s">
        <v>353</v>
      </c>
      <c r="B77" s="739">
        <f>'lokale energieproductie'!B9*IFERROR(SUM(I77:O77)/SUM(D77:O77),0)</f>
        <v>1341</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3831.4285714285716</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25604.958548580973</v>
      </c>
      <c r="C78" s="744">
        <f>SUM(C72:C77)</f>
        <v>18319.5</v>
      </c>
      <c r="D78" s="745">
        <f t="shared" ref="D78:H78" si="10">SUM(D76:D77)</f>
        <v>21552.352941176472</v>
      </c>
      <c r="E78" s="745">
        <f t="shared" si="10"/>
        <v>0</v>
      </c>
      <c r="F78" s="745">
        <f t="shared" si="10"/>
        <v>0</v>
      </c>
      <c r="G78" s="745">
        <f t="shared" si="10"/>
        <v>0</v>
      </c>
      <c r="H78" s="745">
        <f t="shared" si="10"/>
        <v>0</v>
      </c>
      <c r="I78" s="745">
        <f>SUM(I76:I77)</f>
        <v>0</v>
      </c>
      <c r="J78" s="745">
        <f>SUM(J76:J77)</f>
        <v>4779.0756302521013</v>
      </c>
      <c r="K78" s="745">
        <f t="shared" ref="K78:L78" si="11">SUM(K76:K77)</f>
        <v>0</v>
      </c>
      <c r="L78" s="745">
        <f t="shared" si="11"/>
        <v>0</v>
      </c>
      <c r="M78" s="745">
        <f>SUM(M76:M77)</f>
        <v>0</v>
      </c>
      <c r="N78" s="745">
        <f>SUM(N76:N77)</f>
        <v>0</v>
      </c>
      <c r="O78" s="854">
        <f>SUM(O76:O77)</f>
        <v>0</v>
      </c>
      <c r="P78" s="746">
        <v>0</v>
      </c>
      <c r="Q78" s="746">
        <f>SUM(Q76:Q77)</f>
        <v>4353.5752941176479</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1150.7142857142856</v>
      </c>
      <c r="C87" s="755">
        <f>'lokale energieproductie'!B17*IFERROR(SUM(D87:H87)/SUM(D87:O87),0)</f>
        <v>26170.714285714286</v>
      </c>
      <c r="D87" s="766">
        <f>'lokale energieproductie'!C17</f>
        <v>30789.075630252108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1353.7815126050421</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6219.3932773109264</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1150.7142857142856</v>
      </c>
      <c r="C90" s="744">
        <f>SUM(C87:C89)</f>
        <v>26170.714285714286</v>
      </c>
      <c r="D90" s="744">
        <f t="shared" ref="D90:H90" si="12">SUM(D87:D89)</f>
        <v>30789.075630252108</v>
      </c>
      <c r="E90" s="744">
        <f t="shared" si="12"/>
        <v>0</v>
      </c>
      <c r="F90" s="744">
        <f t="shared" si="12"/>
        <v>0</v>
      </c>
      <c r="G90" s="744">
        <f t="shared" si="12"/>
        <v>0</v>
      </c>
      <c r="H90" s="744">
        <f t="shared" si="12"/>
        <v>0</v>
      </c>
      <c r="I90" s="744">
        <f>SUM(I87:I89)</f>
        <v>0</v>
      </c>
      <c r="J90" s="744">
        <f>SUM(J87:J89)</f>
        <v>1353.7815126050421</v>
      </c>
      <c r="K90" s="744">
        <f t="shared" ref="K90:L90" si="13">SUM(K87:K89)</f>
        <v>0</v>
      </c>
      <c r="L90" s="744">
        <f t="shared" si="13"/>
        <v>0</v>
      </c>
      <c r="M90" s="744">
        <f>SUM(M87:M89)</f>
        <v>0</v>
      </c>
      <c r="N90" s="744">
        <f>SUM(N87:N89)</f>
        <v>0</v>
      </c>
      <c r="O90" s="744">
        <f>SUM(O87:O89)</f>
        <v>0</v>
      </c>
      <c r="P90" s="744">
        <v>0</v>
      </c>
      <c r="Q90" s="744">
        <f>SUM(Q87:Q89)</f>
        <v>6219.3932773109264</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10098.352393554176</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13360.106155026795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19125</v>
      </c>
      <c r="C8" s="558">
        <f>B101</f>
        <v>21552.352941176472</v>
      </c>
      <c r="D8" s="991"/>
      <c r="E8" s="991">
        <f>E101</f>
        <v>0</v>
      </c>
      <c r="F8" s="992"/>
      <c r="G8" s="559"/>
      <c r="H8" s="991">
        <f>I101</f>
        <v>0</v>
      </c>
      <c r="I8" s="991">
        <f>G101+F101</f>
        <v>0</v>
      </c>
      <c r="J8" s="991">
        <f>H101+D101+C101</f>
        <v>947.64705882352939</v>
      </c>
      <c r="K8" s="991"/>
      <c r="L8" s="991"/>
      <c r="M8" s="991"/>
      <c r="N8" s="560"/>
      <c r="O8" s="561">
        <f>C8*$C$12+D8*$D$12+E8*$E$12+F8*$F$12+G8*$G$12+H8*$H$12+I8*$I$12+J8*$J$12</f>
        <v>4353.5752941176479</v>
      </c>
      <c r="P8" s="1245"/>
      <c r="Q8" s="1246"/>
      <c r="S8" s="1028"/>
      <c r="T8" s="1220"/>
      <c r="U8" s="1220"/>
    </row>
    <row r="9" spans="1:21" s="546" customFormat="1" ht="17.45" customHeight="1" thickBot="1">
      <c r="A9" s="562" t="s">
        <v>248</v>
      </c>
      <c r="B9" s="993">
        <f>N89+'Eigen informatie GS &amp; warmtenet'!B12</f>
        <v>1341</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43924.458548580973</v>
      </c>
      <c r="C10" s="570">
        <f t="shared" ref="C10:L10" si="0">SUM(C8:C9)</f>
        <v>21552.352941176472</v>
      </c>
      <c r="D10" s="570">
        <f t="shared" si="0"/>
        <v>0</v>
      </c>
      <c r="E10" s="570">
        <f t="shared" si="0"/>
        <v>0</v>
      </c>
      <c r="F10" s="570">
        <f t="shared" si="0"/>
        <v>0</v>
      </c>
      <c r="G10" s="570">
        <f t="shared" si="0"/>
        <v>0</v>
      </c>
      <c r="H10" s="570">
        <f t="shared" si="0"/>
        <v>0</v>
      </c>
      <c r="I10" s="570">
        <f t="shared" si="0"/>
        <v>0</v>
      </c>
      <c r="J10" s="570">
        <f t="shared" si="0"/>
        <v>4779.0756302521013</v>
      </c>
      <c r="K10" s="570">
        <f t="shared" si="0"/>
        <v>0</v>
      </c>
      <c r="L10" s="570">
        <f t="shared" si="0"/>
        <v>0</v>
      </c>
      <c r="M10" s="995"/>
      <c r="N10" s="995"/>
      <c r="O10" s="571">
        <f>SUM(O4:O9)</f>
        <v>4353.5752941176479</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27321.428571428572</v>
      </c>
      <c r="C17" s="582">
        <f>B102</f>
        <v>30789.075630252108</v>
      </c>
      <c r="D17" s="583"/>
      <c r="E17" s="583">
        <f>E102</f>
        <v>0</v>
      </c>
      <c r="F17" s="584"/>
      <c r="G17" s="585"/>
      <c r="H17" s="582">
        <f>I102</f>
        <v>0</v>
      </c>
      <c r="I17" s="583">
        <f>G102+F102</f>
        <v>0</v>
      </c>
      <c r="J17" s="583">
        <f>H102+D102+C102</f>
        <v>1353.7815126050421</v>
      </c>
      <c r="K17" s="583"/>
      <c r="L17" s="583"/>
      <c r="M17" s="583"/>
      <c r="N17" s="998"/>
      <c r="O17" s="586">
        <f>C17*$C$22+E17*$E$22+H17*$H$22+I17*$I$22+J17*$J$22+D17*$D$22+F17*$F$22+G17*$G$22+K17*$K$22+L17*$L$22</f>
        <v>6219.3932773109264</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27321.428571428572</v>
      </c>
      <c r="C20" s="569">
        <f>SUM(C17:C19)</f>
        <v>30789.075630252108</v>
      </c>
      <c r="D20" s="569">
        <f t="shared" ref="D20:L20" si="1">SUM(D17:D19)</f>
        <v>0</v>
      </c>
      <c r="E20" s="569">
        <f t="shared" si="1"/>
        <v>0</v>
      </c>
      <c r="F20" s="569">
        <f t="shared" si="1"/>
        <v>0</v>
      </c>
      <c r="G20" s="569">
        <f t="shared" si="1"/>
        <v>0</v>
      </c>
      <c r="H20" s="569">
        <f t="shared" si="1"/>
        <v>0</v>
      </c>
      <c r="I20" s="569">
        <f t="shared" si="1"/>
        <v>0</v>
      </c>
      <c r="J20" s="569">
        <f t="shared" si="1"/>
        <v>1353.7815126050421</v>
      </c>
      <c r="K20" s="569">
        <f t="shared" si="1"/>
        <v>0</v>
      </c>
      <c r="L20" s="569">
        <f t="shared" si="1"/>
        <v>0</v>
      </c>
      <c r="M20" s="569"/>
      <c r="N20" s="569"/>
      <c r="O20" s="590">
        <f>SUM(O17:O19)</f>
        <v>6219.3932773109264</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34013</v>
      </c>
      <c r="C28" s="789">
        <v>8530</v>
      </c>
      <c r="D28" s="642" t="s">
        <v>948</v>
      </c>
      <c r="E28" s="641" t="s">
        <v>949</v>
      </c>
      <c r="F28" s="641" t="s">
        <v>950</v>
      </c>
      <c r="G28" s="641" t="s">
        <v>951</v>
      </c>
      <c r="H28" s="641" t="s">
        <v>952</v>
      </c>
      <c r="I28" s="641" t="s">
        <v>953</v>
      </c>
      <c r="J28" s="788">
        <v>39436</v>
      </c>
      <c r="K28" s="788">
        <v>40974</v>
      </c>
      <c r="L28" s="641" t="s">
        <v>954</v>
      </c>
      <c r="M28" s="641">
        <v>537</v>
      </c>
      <c r="N28" s="641">
        <v>805.5</v>
      </c>
      <c r="O28" s="641">
        <v>1150.7142857142858</v>
      </c>
      <c r="P28" s="641">
        <v>0</v>
      </c>
      <c r="Q28" s="641">
        <v>2301.4285714285716</v>
      </c>
      <c r="R28" s="641">
        <v>0</v>
      </c>
      <c r="S28" s="641">
        <v>0</v>
      </c>
      <c r="T28" s="641">
        <v>0</v>
      </c>
      <c r="U28" s="641">
        <v>0</v>
      </c>
      <c r="V28" s="641">
        <v>0</v>
      </c>
      <c r="W28" s="641"/>
      <c r="X28" s="641">
        <v>10</v>
      </c>
      <c r="Y28" s="641" t="s">
        <v>112</v>
      </c>
      <c r="Z28" s="643" t="s">
        <v>112</v>
      </c>
    </row>
    <row r="29" spans="1:26" s="595" customFormat="1" ht="25.5">
      <c r="A29" s="594"/>
      <c r="B29" s="789">
        <v>34013</v>
      </c>
      <c r="C29" s="789">
        <v>8531</v>
      </c>
      <c r="D29" s="642" t="s">
        <v>955</v>
      </c>
      <c r="E29" s="641" t="s">
        <v>956</v>
      </c>
      <c r="F29" s="641" t="s">
        <v>957</v>
      </c>
      <c r="G29" s="641" t="s">
        <v>951</v>
      </c>
      <c r="H29" s="641" t="s">
        <v>952</v>
      </c>
      <c r="I29" s="641" t="s">
        <v>956</v>
      </c>
      <c r="J29" s="788">
        <v>39652</v>
      </c>
      <c r="K29" s="788">
        <v>39652</v>
      </c>
      <c r="L29" s="641" t="s">
        <v>954</v>
      </c>
      <c r="M29" s="641">
        <v>2000</v>
      </c>
      <c r="N29" s="641">
        <v>9000</v>
      </c>
      <c r="O29" s="641">
        <v>12857.142857142857</v>
      </c>
      <c r="P29" s="641">
        <v>25714.285714285717</v>
      </c>
      <c r="Q29" s="641">
        <v>0</v>
      </c>
      <c r="R29" s="641">
        <v>0</v>
      </c>
      <c r="S29" s="641">
        <v>0</v>
      </c>
      <c r="T29" s="641">
        <v>0</v>
      </c>
      <c r="U29" s="641">
        <v>0</v>
      </c>
      <c r="V29" s="641">
        <v>0</v>
      </c>
      <c r="W29" s="641"/>
      <c r="X29" s="641">
        <v>10</v>
      </c>
      <c r="Y29" s="641" t="s">
        <v>112</v>
      </c>
      <c r="Z29" s="643" t="s">
        <v>112</v>
      </c>
    </row>
    <row r="30" spans="1:26" s="595" customFormat="1" ht="38.25">
      <c r="A30" s="594"/>
      <c r="B30" s="789">
        <v>34013</v>
      </c>
      <c r="C30" s="789">
        <v>8631</v>
      </c>
      <c r="D30" s="642" t="s">
        <v>958</v>
      </c>
      <c r="E30" s="641" t="s">
        <v>959</v>
      </c>
      <c r="F30" s="641" t="s">
        <v>960</v>
      </c>
      <c r="G30" s="641" t="s">
        <v>951</v>
      </c>
      <c r="H30" s="641" t="s">
        <v>952</v>
      </c>
      <c r="I30" s="641" t="s">
        <v>961</v>
      </c>
      <c r="J30" s="788">
        <v>40345</v>
      </c>
      <c r="K30" s="788">
        <v>40345</v>
      </c>
      <c r="L30" s="641" t="s">
        <v>954</v>
      </c>
      <c r="M30" s="641">
        <v>2057</v>
      </c>
      <c r="N30" s="641">
        <v>9256.5</v>
      </c>
      <c r="O30" s="641">
        <v>13223.571428571429</v>
      </c>
      <c r="P30" s="641">
        <v>26447.142857142859</v>
      </c>
      <c r="Q30" s="641">
        <v>0</v>
      </c>
      <c r="R30" s="641">
        <v>0</v>
      </c>
      <c r="S30" s="641">
        <v>0</v>
      </c>
      <c r="T30" s="641">
        <v>0</v>
      </c>
      <c r="U30" s="641">
        <v>0</v>
      </c>
      <c r="V30" s="641">
        <v>0</v>
      </c>
      <c r="W30" s="641"/>
      <c r="X30" s="641">
        <v>10</v>
      </c>
      <c r="Y30" s="641" t="s">
        <v>112</v>
      </c>
      <c r="Z30" s="643" t="s">
        <v>112</v>
      </c>
    </row>
    <row r="31" spans="1:26" s="595" customFormat="1" ht="25.5">
      <c r="A31" s="594"/>
      <c r="B31" s="789">
        <v>34013</v>
      </c>
      <c r="C31" s="789">
        <v>8530</v>
      </c>
      <c r="D31" s="642" t="s">
        <v>962</v>
      </c>
      <c r="E31" s="641" t="s">
        <v>963</v>
      </c>
      <c r="F31" s="641" t="s">
        <v>964</v>
      </c>
      <c r="G31" s="641" t="s">
        <v>951</v>
      </c>
      <c r="H31" s="641" t="s">
        <v>952</v>
      </c>
      <c r="I31" s="641" t="s">
        <v>965</v>
      </c>
      <c r="J31" s="788">
        <v>41253</v>
      </c>
      <c r="K31" s="788">
        <v>41037</v>
      </c>
      <c r="L31" s="641" t="s">
        <v>954</v>
      </c>
      <c r="M31" s="641">
        <v>70</v>
      </c>
      <c r="N31" s="641">
        <v>63.000000000000007</v>
      </c>
      <c r="O31" s="641">
        <v>90.000000000000014</v>
      </c>
      <c r="P31" s="641">
        <v>180.00000000000003</v>
      </c>
      <c r="Q31" s="641">
        <v>0</v>
      </c>
      <c r="R31" s="641">
        <v>0</v>
      </c>
      <c r="S31" s="641">
        <v>0</v>
      </c>
      <c r="T31" s="641">
        <v>0</v>
      </c>
      <c r="U31" s="641">
        <v>0</v>
      </c>
      <c r="V31" s="641">
        <v>0</v>
      </c>
      <c r="W31" s="641"/>
      <c r="X31" s="641">
        <v>10</v>
      </c>
      <c r="Y31" s="641" t="s">
        <v>112</v>
      </c>
      <c r="Z31" s="643" t="s">
        <v>112</v>
      </c>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4664</v>
      </c>
      <c r="N58" s="599">
        <f>SUM(N28:N57)</f>
        <v>19125</v>
      </c>
      <c r="O58" s="599">
        <f t="shared" ref="O58:W58" si="2">SUM(O28:O57)</f>
        <v>27321.428571428572</v>
      </c>
      <c r="P58" s="599">
        <f t="shared" si="2"/>
        <v>52341.42857142858</v>
      </c>
      <c r="Q58" s="599">
        <f t="shared" si="2"/>
        <v>2301.4285714285716</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4664</v>
      </c>
      <c r="N61" s="604">
        <f t="shared" si="4"/>
        <v>19125</v>
      </c>
      <c r="O61" s="604">
        <f t="shared" si="4"/>
        <v>27321.428571428572</v>
      </c>
      <c r="P61" s="604">
        <f t="shared" si="4"/>
        <v>52341.42857142858</v>
      </c>
      <c r="Q61" s="604">
        <f t="shared" si="4"/>
        <v>2301.4285714285716</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34013</v>
      </c>
      <c r="C64" s="789">
        <v>8530</v>
      </c>
      <c r="D64" s="644" t="s">
        <v>966</v>
      </c>
      <c r="E64" s="644" t="s">
        <v>967</v>
      </c>
      <c r="F64" s="644" t="s">
        <v>968</v>
      </c>
      <c r="G64" s="644" t="s">
        <v>969</v>
      </c>
      <c r="H64" s="644" t="s">
        <v>970</v>
      </c>
      <c r="I64" s="644" t="s">
        <v>971</v>
      </c>
      <c r="J64" s="788">
        <v>39156</v>
      </c>
      <c r="K64" s="788">
        <v>39173</v>
      </c>
      <c r="L64" s="644" t="s">
        <v>954</v>
      </c>
      <c r="M64" s="644">
        <v>298</v>
      </c>
      <c r="N64" s="644">
        <v>1341</v>
      </c>
      <c r="O64" s="644">
        <v>0</v>
      </c>
      <c r="P64" s="644">
        <v>0</v>
      </c>
      <c r="Q64" s="644">
        <v>3831.4285714285716</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298</v>
      </c>
      <c r="N89" s="599">
        <f t="shared" ref="N89:W89" si="5">SUM(N64:N88)</f>
        <v>1341</v>
      </c>
      <c r="O89" s="599">
        <f t="shared" si="5"/>
        <v>0</v>
      </c>
      <c r="P89" s="599">
        <f t="shared" si="5"/>
        <v>0</v>
      </c>
      <c r="Q89" s="599">
        <f t="shared" si="5"/>
        <v>3831.4285714285716</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298</v>
      </c>
      <c r="N91" s="599">
        <f t="shared" si="7"/>
        <v>1341</v>
      </c>
      <c r="O91" s="599">
        <f t="shared" si="7"/>
        <v>0</v>
      </c>
      <c r="P91" s="599">
        <f t="shared" si="7"/>
        <v>0</v>
      </c>
      <c r="Q91" s="599">
        <f t="shared" si="7"/>
        <v>3831.4285714285716</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21552.352941176472</v>
      </c>
      <c r="C101" s="633">
        <f t="shared" si="9"/>
        <v>947.64705882352939</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30789.075630252108</v>
      </c>
      <c r="C102" s="636">
        <f t="shared" si="10"/>
        <v>1353.7815126050421</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46162.062071495959</v>
      </c>
      <c r="C4" s="461">
        <f>huishoudens!C8</f>
        <v>0</v>
      </c>
      <c r="D4" s="461">
        <f>huishoudens!D8</f>
        <v>121940.17763399999</v>
      </c>
      <c r="E4" s="461">
        <f>huishoudens!E8</f>
        <v>5488.5860760713967</v>
      </c>
      <c r="F4" s="461">
        <f>huishoudens!F8</f>
        <v>8721.0808791616582</v>
      </c>
      <c r="G4" s="461">
        <f>huishoudens!G8</f>
        <v>0</v>
      </c>
      <c r="H4" s="461">
        <f>huishoudens!H8</f>
        <v>0</v>
      </c>
      <c r="I4" s="461">
        <f>huishoudens!I8</f>
        <v>0</v>
      </c>
      <c r="J4" s="461">
        <f>huishoudens!J8</f>
        <v>0</v>
      </c>
      <c r="K4" s="461">
        <f>huishoudens!K8</f>
        <v>0</v>
      </c>
      <c r="L4" s="461">
        <f>huishoudens!L8</f>
        <v>0</v>
      </c>
      <c r="M4" s="461">
        <f>huishoudens!M8</f>
        <v>0</v>
      </c>
      <c r="N4" s="461">
        <f>huishoudens!N8</f>
        <v>17824.416185267295</v>
      </c>
      <c r="O4" s="461">
        <f>huishoudens!O8</f>
        <v>125.06666666666666</v>
      </c>
      <c r="P4" s="462">
        <f>huishoudens!P8</f>
        <v>286</v>
      </c>
      <c r="Q4" s="463">
        <f>SUM(B4:P4)</f>
        <v>200547.38951266298</v>
      </c>
    </row>
    <row r="5" spans="1:17">
      <c r="A5" s="460" t="s">
        <v>156</v>
      </c>
      <c r="B5" s="461">
        <f ca="1">tertiair!B16</f>
        <v>58661.296999999999</v>
      </c>
      <c r="C5" s="461">
        <f ca="1">tertiair!C16</f>
        <v>0</v>
      </c>
      <c r="D5" s="461">
        <f ca="1">tertiair!D16</f>
        <v>93073.054008000006</v>
      </c>
      <c r="E5" s="461">
        <f>tertiair!E16</f>
        <v>400.05461499414417</v>
      </c>
      <c r="F5" s="461">
        <f ca="1">tertiair!F16</f>
        <v>12448.882224627654</v>
      </c>
      <c r="G5" s="461">
        <f>tertiair!G16</f>
        <v>0</v>
      </c>
      <c r="H5" s="461">
        <f>tertiair!H16</f>
        <v>0</v>
      </c>
      <c r="I5" s="461">
        <f>tertiair!I16</f>
        <v>0</v>
      </c>
      <c r="J5" s="461">
        <f>tertiair!J16</f>
        <v>0</v>
      </c>
      <c r="K5" s="461">
        <f>tertiair!K16</f>
        <v>0</v>
      </c>
      <c r="L5" s="461">
        <f ca="1">tertiair!L16</f>
        <v>0</v>
      </c>
      <c r="M5" s="461">
        <f>tertiair!M16</f>
        <v>0</v>
      </c>
      <c r="N5" s="461">
        <f ca="1">tertiair!N16</f>
        <v>3626.7050754930797</v>
      </c>
      <c r="O5" s="461">
        <f>tertiair!O16</f>
        <v>0</v>
      </c>
      <c r="P5" s="462">
        <f>tertiair!P16</f>
        <v>0</v>
      </c>
      <c r="Q5" s="460">
        <f t="shared" ref="Q5:Q14" ca="1" si="0">SUM(B5:P5)</f>
        <v>168209.99292311489</v>
      </c>
    </row>
    <row r="6" spans="1:17">
      <c r="A6" s="460" t="s">
        <v>194</v>
      </c>
      <c r="B6" s="461">
        <f>'openbare verlichting'!B8</f>
        <v>2359.8209999999999</v>
      </c>
      <c r="C6" s="461"/>
      <c r="D6" s="461"/>
      <c r="E6" s="461"/>
      <c r="F6" s="461"/>
      <c r="G6" s="461"/>
      <c r="H6" s="461"/>
      <c r="I6" s="461"/>
      <c r="J6" s="461"/>
      <c r="K6" s="461"/>
      <c r="L6" s="461"/>
      <c r="M6" s="461"/>
      <c r="N6" s="461"/>
      <c r="O6" s="461"/>
      <c r="P6" s="462"/>
      <c r="Q6" s="460">
        <f t="shared" si="0"/>
        <v>2359.8209999999999</v>
      </c>
    </row>
    <row r="7" spans="1:17">
      <c r="A7" s="460" t="s">
        <v>112</v>
      </c>
      <c r="B7" s="461">
        <f>landbouw!B8</f>
        <v>1899.03</v>
      </c>
      <c r="C7" s="461">
        <f>landbouw!C8</f>
        <v>27321.428571428572</v>
      </c>
      <c r="D7" s="461">
        <f>landbouw!D8</f>
        <v>0</v>
      </c>
      <c r="E7" s="461">
        <f>landbouw!E8</f>
        <v>17.890134991838394</v>
      </c>
      <c r="F7" s="461">
        <f>landbouw!F8</f>
        <v>6197.1651227079074</v>
      </c>
      <c r="G7" s="461">
        <f>landbouw!G8</f>
        <v>0</v>
      </c>
      <c r="H7" s="461">
        <f>landbouw!H8</f>
        <v>0</v>
      </c>
      <c r="I7" s="461">
        <f>landbouw!I8</f>
        <v>0</v>
      </c>
      <c r="J7" s="461">
        <f>landbouw!J8</f>
        <v>234.91924788014569</v>
      </c>
      <c r="K7" s="461">
        <f>landbouw!K8</f>
        <v>0</v>
      </c>
      <c r="L7" s="461">
        <f>landbouw!L8</f>
        <v>0</v>
      </c>
      <c r="M7" s="461">
        <f>landbouw!M8</f>
        <v>0</v>
      </c>
      <c r="N7" s="461">
        <f>landbouw!N8</f>
        <v>0</v>
      </c>
      <c r="O7" s="461">
        <f>landbouw!O8</f>
        <v>0</v>
      </c>
      <c r="P7" s="462">
        <f>landbouw!P8</f>
        <v>0</v>
      </c>
      <c r="Q7" s="460">
        <f t="shared" si="0"/>
        <v>35670.433077008463</v>
      </c>
    </row>
    <row r="8" spans="1:17">
      <c r="A8" s="460" t="s">
        <v>685</v>
      </c>
      <c r="B8" s="461">
        <f>industrie!B18</f>
        <v>44392.394</v>
      </c>
      <c r="C8" s="461">
        <f>industrie!C18</f>
        <v>0</v>
      </c>
      <c r="D8" s="461">
        <f>industrie!D18</f>
        <v>74922.267661999998</v>
      </c>
      <c r="E8" s="461">
        <f>industrie!E18</f>
        <v>389.12176636681272</v>
      </c>
      <c r="F8" s="461">
        <f>industrie!F18</f>
        <v>13865.218031108079</v>
      </c>
      <c r="G8" s="461">
        <f>industrie!G18</f>
        <v>0</v>
      </c>
      <c r="H8" s="461">
        <f>industrie!H18</f>
        <v>0</v>
      </c>
      <c r="I8" s="461">
        <f>industrie!I18</f>
        <v>0</v>
      </c>
      <c r="J8" s="461">
        <f>industrie!J18</f>
        <v>115.79297796838573</v>
      </c>
      <c r="K8" s="461">
        <f>industrie!K18</f>
        <v>0</v>
      </c>
      <c r="L8" s="461">
        <f>industrie!L18</f>
        <v>0</v>
      </c>
      <c r="M8" s="461">
        <f>industrie!M18</f>
        <v>0</v>
      </c>
      <c r="N8" s="461">
        <f>industrie!N18</f>
        <v>2453.1148008201303</v>
      </c>
      <c r="O8" s="461">
        <f>industrie!O18</f>
        <v>0</v>
      </c>
      <c r="P8" s="462">
        <f>industrie!P18</f>
        <v>0</v>
      </c>
      <c r="Q8" s="460">
        <f t="shared" si="0"/>
        <v>136137.90923826338</v>
      </c>
    </row>
    <row r="9" spans="1:17" s="466" customFormat="1">
      <c r="A9" s="464" t="s">
        <v>579</v>
      </c>
      <c r="B9" s="465">
        <f>transport!B14</f>
        <v>3.548957007011198</v>
      </c>
      <c r="C9" s="465">
        <f>transport!C14</f>
        <v>0</v>
      </c>
      <c r="D9" s="465">
        <f>transport!D14</f>
        <v>10.359015049552333</v>
      </c>
      <c r="E9" s="465">
        <f>transport!E14</f>
        <v>650.8305621776725</v>
      </c>
      <c r="F9" s="465">
        <f>transport!F14</f>
        <v>0</v>
      </c>
      <c r="G9" s="465">
        <f>transport!G14</f>
        <v>162827.86554158549</v>
      </c>
      <c r="H9" s="465">
        <f>transport!H14</f>
        <v>23416.279473699178</v>
      </c>
      <c r="I9" s="465">
        <f>transport!I14</f>
        <v>0</v>
      </c>
      <c r="J9" s="465">
        <f>transport!J14</f>
        <v>0</v>
      </c>
      <c r="K9" s="465">
        <f>transport!K14</f>
        <v>0</v>
      </c>
      <c r="L9" s="465">
        <f>transport!L14</f>
        <v>0</v>
      </c>
      <c r="M9" s="465">
        <f>transport!M14</f>
        <v>8321.9421184885487</v>
      </c>
      <c r="N9" s="465">
        <f>transport!N14</f>
        <v>0</v>
      </c>
      <c r="O9" s="465">
        <f>transport!O14</f>
        <v>0</v>
      </c>
      <c r="P9" s="465">
        <f>transport!P14</f>
        <v>0</v>
      </c>
      <c r="Q9" s="464">
        <f>SUM(B9:P9)</f>
        <v>195230.82566800743</v>
      </c>
    </row>
    <row r="10" spans="1:17">
      <c r="A10" s="460" t="s">
        <v>569</v>
      </c>
      <c r="B10" s="461">
        <f>transport!B54</f>
        <v>0</v>
      </c>
      <c r="C10" s="461">
        <f>transport!C54</f>
        <v>0</v>
      </c>
      <c r="D10" s="461">
        <f>transport!D54</f>
        <v>0</v>
      </c>
      <c r="E10" s="461">
        <f>transport!E54</f>
        <v>0</v>
      </c>
      <c r="F10" s="461">
        <f>transport!F54</f>
        <v>0</v>
      </c>
      <c r="G10" s="461">
        <f>transport!G54</f>
        <v>1527.46365698573</v>
      </c>
      <c r="H10" s="461">
        <f>transport!H54</f>
        <v>0</v>
      </c>
      <c r="I10" s="461">
        <f>transport!I54</f>
        <v>0</v>
      </c>
      <c r="J10" s="461">
        <f>transport!J54</f>
        <v>0</v>
      </c>
      <c r="K10" s="461">
        <f>transport!K54</f>
        <v>0</v>
      </c>
      <c r="L10" s="461">
        <f>transport!L54</f>
        <v>0</v>
      </c>
      <c r="M10" s="461">
        <f>transport!M54</f>
        <v>67.073448887156133</v>
      </c>
      <c r="N10" s="461">
        <f>transport!N54</f>
        <v>0</v>
      </c>
      <c r="O10" s="461">
        <f>transport!O54</f>
        <v>0</v>
      </c>
      <c r="P10" s="462">
        <f>transport!P54</f>
        <v>0</v>
      </c>
      <c r="Q10" s="460">
        <f t="shared" si="0"/>
        <v>1594.5371058728861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1586.211</v>
      </c>
      <c r="C14" s="468"/>
      <c r="D14" s="468">
        <f>'SEAP template'!E25</f>
        <v>5317.348</v>
      </c>
      <c r="E14" s="468"/>
      <c r="F14" s="468"/>
      <c r="G14" s="468"/>
      <c r="H14" s="468"/>
      <c r="I14" s="468"/>
      <c r="J14" s="468"/>
      <c r="K14" s="468"/>
      <c r="L14" s="468"/>
      <c r="M14" s="468"/>
      <c r="N14" s="468"/>
      <c r="O14" s="468"/>
      <c r="P14" s="469"/>
      <c r="Q14" s="460">
        <f t="shared" si="0"/>
        <v>6903.5590000000002</v>
      </c>
    </row>
    <row r="15" spans="1:17" s="473" customFormat="1">
      <c r="A15" s="470" t="s">
        <v>573</v>
      </c>
      <c r="B15" s="471">
        <f ca="1">SUM(B4:B14)</f>
        <v>155064.36402850295</v>
      </c>
      <c r="C15" s="471">
        <f t="shared" ref="C15:Q15" ca="1" si="1">SUM(C4:C14)</f>
        <v>27321.428571428572</v>
      </c>
      <c r="D15" s="471">
        <f t="shared" ca="1" si="1"/>
        <v>295263.20631904952</v>
      </c>
      <c r="E15" s="471">
        <f t="shared" si="1"/>
        <v>6946.483154601865</v>
      </c>
      <c r="F15" s="471">
        <f t="shared" ca="1" si="1"/>
        <v>41232.346257605299</v>
      </c>
      <c r="G15" s="471">
        <f t="shared" si="1"/>
        <v>164355.32919857121</v>
      </c>
      <c r="H15" s="471">
        <f t="shared" si="1"/>
        <v>23416.279473699178</v>
      </c>
      <c r="I15" s="471">
        <f t="shared" si="1"/>
        <v>0</v>
      </c>
      <c r="J15" s="471">
        <f t="shared" si="1"/>
        <v>350.71222584853143</v>
      </c>
      <c r="K15" s="471">
        <f t="shared" si="1"/>
        <v>0</v>
      </c>
      <c r="L15" s="471">
        <f t="shared" ca="1" si="1"/>
        <v>0</v>
      </c>
      <c r="M15" s="471">
        <f t="shared" si="1"/>
        <v>8389.0155673757054</v>
      </c>
      <c r="N15" s="471">
        <f t="shared" ca="1" si="1"/>
        <v>23904.236061580505</v>
      </c>
      <c r="O15" s="471">
        <f t="shared" si="1"/>
        <v>125.06666666666666</v>
      </c>
      <c r="P15" s="471">
        <f t="shared" si="1"/>
        <v>286</v>
      </c>
      <c r="Q15" s="471">
        <f t="shared" ca="1" si="1"/>
        <v>746654.4675249299</v>
      </c>
    </row>
    <row r="17" spans="1:17">
      <c r="A17" s="474" t="s">
        <v>574</v>
      </c>
      <c r="B17" s="778">
        <f ca="1">huishoudens!B10</f>
        <v>0.18647414308464413</v>
      </c>
      <c r="C17" s="778">
        <f ca="1">huishoudens!C10</f>
        <v>0.22763792387543258</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8608.0309678023623</v>
      </c>
      <c r="C22" s="461">
        <f t="shared" ref="C22:C32" ca="1" si="3">C4*$C$17</f>
        <v>0</v>
      </c>
      <c r="D22" s="461">
        <f t="shared" ref="D22:D32" si="4">D4*$D$17</f>
        <v>24631.915882067999</v>
      </c>
      <c r="E22" s="461">
        <f t="shared" ref="E22:E32" si="5">E4*$E$17</f>
        <v>1245.9090392682072</v>
      </c>
      <c r="F22" s="461">
        <f t="shared" ref="F22:F32" si="6">F4*$F$17</f>
        <v>2328.5285947361631</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36814.384483874732</v>
      </c>
    </row>
    <row r="23" spans="1:17">
      <c r="A23" s="460" t="s">
        <v>156</v>
      </c>
      <c r="B23" s="461">
        <f t="shared" ca="1" si="2"/>
        <v>10938.815090308806</v>
      </c>
      <c r="C23" s="461">
        <f t="shared" ca="1" si="3"/>
        <v>0</v>
      </c>
      <c r="D23" s="461">
        <f t="shared" ca="1" si="4"/>
        <v>18800.756909616004</v>
      </c>
      <c r="E23" s="461">
        <f t="shared" si="5"/>
        <v>90.812397603670732</v>
      </c>
      <c r="F23" s="461">
        <f t="shared" ca="1" si="6"/>
        <v>3323.851553975584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33154.235951504066</v>
      </c>
    </row>
    <row r="24" spans="1:17">
      <c r="A24" s="460" t="s">
        <v>194</v>
      </c>
      <c r="B24" s="461">
        <f t="shared" ca="1" si="2"/>
        <v>440.04559880814799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440.04559880814799</v>
      </c>
    </row>
    <row r="25" spans="1:17">
      <c r="A25" s="460" t="s">
        <v>112</v>
      </c>
      <c r="B25" s="461">
        <f t="shared" ca="1" si="2"/>
        <v>354.11999194203173</v>
      </c>
      <c r="C25" s="461">
        <f t="shared" ca="1" si="3"/>
        <v>6219.3932773109264</v>
      </c>
      <c r="D25" s="461">
        <f t="shared" si="4"/>
        <v>0</v>
      </c>
      <c r="E25" s="461">
        <f t="shared" si="5"/>
        <v>4.0610606431473153</v>
      </c>
      <c r="F25" s="461">
        <f t="shared" si="6"/>
        <v>1654.6430877630114</v>
      </c>
      <c r="G25" s="461">
        <f t="shared" si="7"/>
        <v>0</v>
      </c>
      <c r="H25" s="461">
        <f t="shared" si="8"/>
        <v>0</v>
      </c>
      <c r="I25" s="461">
        <f t="shared" si="9"/>
        <v>0</v>
      </c>
      <c r="J25" s="461">
        <f t="shared" si="10"/>
        <v>83.161413749571565</v>
      </c>
      <c r="K25" s="461">
        <f t="shared" si="11"/>
        <v>0</v>
      </c>
      <c r="L25" s="461">
        <f t="shared" si="12"/>
        <v>0</v>
      </c>
      <c r="M25" s="461">
        <f t="shared" si="13"/>
        <v>0</v>
      </c>
      <c r="N25" s="461">
        <f t="shared" si="14"/>
        <v>0</v>
      </c>
      <c r="O25" s="461">
        <f t="shared" si="15"/>
        <v>0</v>
      </c>
      <c r="P25" s="462">
        <f t="shared" si="16"/>
        <v>0</v>
      </c>
      <c r="Q25" s="460">
        <f t="shared" ca="1" si="17"/>
        <v>8315.3788314086869</v>
      </c>
    </row>
    <row r="26" spans="1:17">
      <c r="A26" s="460" t="s">
        <v>685</v>
      </c>
      <c r="B26" s="461">
        <f t="shared" ca="1" si="2"/>
        <v>8278.0336306258978</v>
      </c>
      <c r="C26" s="461">
        <f t="shared" ca="1" si="3"/>
        <v>0</v>
      </c>
      <c r="D26" s="461">
        <f t="shared" si="4"/>
        <v>15134.298067724001</v>
      </c>
      <c r="E26" s="461">
        <f t="shared" si="5"/>
        <v>88.330640965266497</v>
      </c>
      <c r="F26" s="461">
        <f t="shared" si="6"/>
        <v>3702.0132143058572</v>
      </c>
      <c r="G26" s="461">
        <f t="shared" si="7"/>
        <v>0</v>
      </c>
      <c r="H26" s="461">
        <f t="shared" si="8"/>
        <v>0</v>
      </c>
      <c r="I26" s="461">
        <f t="shared" si="9"/>
        <v>0</v>
      </c>
      <c r="J26" s="461">
        <f t="shared" si="10"/>
        <v>40.990714200808547</v>
      </c>
      <c r="K26" s="461">
        <f t="shared" si="11"/>
        <v>0</v>
      </c>
      <c r="L26" s="461">
        <f t="shared" si="12"/>
        <v>0</v>
      </c>
      <c r="M26" s="461">
        <f t="shared" si="13"/>
        <v>0</v>
      </c>
      <c r="N26" s="461">
        <f t="shared" si="14"/>
        <v>0</v>
      </c>
      <c r="O26" s="461">
        <f t="shared" si="15"/>
        <v>0</v>
      </c>
      <c r="P26" s="462">
        <f t="shared" si="16"/>
        <v>0</v>
      </c>
      <c r="Q26" s="460">
        <f t="shared" ca="1" si="17"/>
        <v>27243.666267821831</v>
      </c>
    </row>
    <row r="27" spans="1:17" s="466" customFormat="1">
      <c r="A27" s="464" t="s">
        <v>579</v>
      </c>
      <c r="B27" s="772">
        <f t="shared" ca="1" si="2"/>
        <v>0.66178871672665651</v>
      </c>
      <c r="C27" s="465">
        <f t="shared" ca="1" si="3"/>
        <v>0</v>
      </c>
      <c r="D27" s="465">
        <f t="shared" si="4"/>
        <v>2.0925210400095713</v>
      </c>
      <c r="E27" s="465">
        <f t="shared" si="5"/>
        <v>147.73853761433168</v>
      </c>
      <c r="F27" s="465">
        <f t="shared" si="6"/>
        <v>0</v>
      </c>
      <c r="G27" s="465">
        <f t="shared" si="7"/>
        <v>43475.040099603328</v>
      </c>
      <c r="H27" s="465">
        <f t="shared" si="8"/>
        <v>5830.6535889510951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49456.186535925488</v>
      </c>
    </row>
    <row r="28" spans="1:17">
      <c r="A28" s="460" t="s">
        <v>569</v>
      </c>
      <c r="B28" s="461">
        <f t="shared" ca="1" si="2"/>
        <v>0</v>
      </c>
      <c r="C28" s="461">
        <f t="shared" ca="1" si="3"/>
        <v>0</v>
      </c>
      <c r="D28" s="461">
        <f t="shared" si="4"/>
        <v>0</v>
      </c>
      <c r="E28" s="461">
        <f t="shared" si="5"/>
        <v>0</v>
      </c>
      <c r="F28" s="461">
        <f t="shared" si="6"/>
        <v>0</v>
      </c>
      <c r="G28" s="461">
        <f t="shared" si="7"/>
        <v>407.83279641518993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407.83279641518993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295.78733697643645</v>
      </c>
      <c r="C32" s="461">
        <f t="shared" ca="1" si="3"/>
        <v>0</v>
      </c>
      <c r="D32" s="461">
        <f t="shared" si="4"/>
        <v>1074.104296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1369.8916329764365</v>
      </c>
    </row>
    <row r="33" spans="1:17" s="473" customFormat="1">
      <c r="A33" s="470" t="s">
        <v>573</v>
      </c>
      <c r="B33" s="471">
        <f ca="1">SUM(B22:B32)</f>
        <v>28915.494405180409</v>
      </c>
      <c r="C33" s="471">
        <f t="shared" ref="C33:Q33" ca="1" si="18">SUM(C22:C32)</f>
        <v>6219.3932773109264</v>
      </c>
      <c r="D33" s="471">
        <f t="shared" ca="1" si="18"/>
        <v>59643.167676448007</v>
      </c>
      <c r="E33" s="471">
        <f t="shared" si="18"/>
        <v>1576.8516760946231</v>
      </c>
      <c r="F33" s="471">
        <f t="shared" ca="1" si="18"/>
        <v>11009.036450780615</v>
      </c>
      <c r="G33" s="471">
        <f t="shared" si="18"/>
        <v>43882.872896018518</v>
      </c>
      <c r="H33" s="471">
        <f t="shared" si="18"/>
        <v>5830.6535889510951</v>
      </c>
      <c r="I33" s="471">
        <f t="shared" si="18"/>
        <v>0</v>
      </c>
      <c r="J33" s="471">
        <f t="shared" si="18"/>
        <v>124.15212795038011</v>
      </c>
      <c r="K33" s="471">
        <f t="shared" si="18"/>
        <v>0</v>
      </c>
      <c r="L33" s="471">
        <f t="shared" ca="1" si="18"/>
        <v>0</v>
      </c>
      <c r="M33" s="471">
        <f t="shared" si="18"/>
        <v>0</v>
      </c>
      <c r="N33" s="471">
        <f t="shared" ca="1" si="18"/>
        <v>0</v>
      </c>
      <c r="O33" s="471">
        <f t="shared" si="18"/>
        <v>0</v>
      </c>
      <c r="P33" s="471">
        <f t="shared" si="18"/>
        <v>0</v>
      </c>
      <c r="Q33" s="471">
        <f t="shared" ca="1" si="18"/>
        <v>157201.6220987346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10098.352393554176</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13360.106155026795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805.5</v>
      </c>
      <c r="C8" s="1037">
        <f>'SEAP template'!C76</f>
        <v>18319.5</v>
      </c>
      <c r="D8" s="1037">
        <f>'SEAP template'!D76</f>
        <v>21552.352941176472</v>
      </c>
      <c r="E8" s="1037">
        <f>'SEAP template'!E76</f>
        <v>0</v>
      </c>
      <c r="F8" s="1037">
        <f>'SEAP template'!F76</f>
        <v>0</v>
      </c>
      <c r="G8" s="1037">
        <f>'SEAP template'!G76</f>
        <v>0</v>
      </c>
      <c r="H8" s="1037">
        <f>'SEAP template'!H76</f>
        <v>0</v>
      </c>
      <c r="I8" s="1037">
        <f>'SEAP template'!I76</f>
        <v>0</v>
      </c>
      <c r="J8" s="1037">
        <f>'SEAP template'!J76</f>
        <v>947.64705882352939</v>
      </c>
      <c r="K8" s="1037">
        <f>'SEAP template'!K76</f>
        <v>0</v>
      </c>
      <c r="L8" s="1037">
        <f>'SEAP template'!L76</f>
        <v>0</v>
      </c>
      <c r="M8" s="1037">
        <f>'SEAP template'!M76</f>
        <v>0</v>
      </c>
      <c r="N8" s="1037">
        <f>'SEAP template'!N76</f>
        <v>0</v>
      </c>
      <c r="O8" s="1037">
        <f>'SEAP template'!O76</f>
        <v>0</v>
      </c>
      <c r="P8" s="1038">
        <f>'SEAP template'!Q76</f>
        <v>4353.5752941176479</v>
      </c>
    </row>
    <row r="9" spans="1:16">
      <c r="A9" s="1040" t="s">
        <v>924</v>
      </c>
      <c r="B9" s="1037">
        <f>'SEAP template'!B77</f>
        <v>1341</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3831.4285714285716</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25604.958548580973</v>
      </c>
      <c r="C10" s="1041">
        <f>SUM(C4:C9)</f>
        <v>18319.5</v>
      </c>
      <c r="D10" s="1041">
        <f t="shared" ref="D10:H10" si="0">SUM(D8:D9)</f>
        <v>21552.352941176472</v>
      </c>
      <c r="E10" s="1041">
        <f t="shared" si="0"/>
        <v>0</v>
      </c>
      <c r="F10" s="1041">
        <f t="shared" si="0"/>
        <v>0</v>
      </c>
      <c r="G10" s="1041">
        <f t="shared" si="0"/>
        <v>0</v>
      </c>
      <c r="H10" s="1041">
        <f t="shared" si="0"/>
        <v>0</v>
      </c>
      <c r="I10" s="1041">
        <f>SUM(I8:I9)</f>
        <v>0</v>
      </c>
      <c r="J10" s="1041">
        <f>SUM(J8:J9)</f>
        <v>4779.0756302521013</v>
      </c>
      <c r="K10" s="1041">
        <f t="shared" ref="K10:L10" si="1">SUM(K8:K9)</f>
        <v>0</v>
      </c>
      <c r="L10" s="1041">
        <f t="shared" si="1"/>
        <v>0</v>
      </c>
      <c r="M10" s="1041">
        <f>SUM(M8:M9)</f>
        <v>0</v>
      </c>
      <c r="N10" s="1041">
        <f>SUM(N8:N9)</f>
        <v>0</v>
      </c>
      <c r="O10" s="1041">
        <f>SUM(O8:O9)</f>
        <v>0</v>
      </c>
      <c r="P10" s="1041">
        <f>SUM(P8:P9)</f>
        <v>4353.5752941176479</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0.18647414308464413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1150.7142857142856</v>
      </c>
      <c r="C17" s="1044">
        <f>'SEAP template'!C87</f>
        <v>26170.714285714286</v>
      </c>
      <c r="D17" s="1038">
        <f>'SEAP template'!D87</f>
        <v>30789.075630252108</v>
      </c>
      <c r="E17" s="1038">
        <f>'SEAP template'!E87</f>
        <v>0</v>
      </c>
      <c r="F17" s="1038">
        <f>'SEAP template'!F87</f>
        <v>0</v>
      </c>
      <c r="G17" s="1038">
        <f>'SEAP template'!G87</f>
        <v>0</v>
      </c>
      <c r="H17" s="1038">
        <f>'SEAP template'!H87</f>
        <v>0</v>
      </c>
      <c r="I17" s="1038">
        <f>'SEAP template'!I87</f>
        <v>0</v>
      </c>
      <c r="J17" s="1038">
        <f>'SEAP template'!J87</f>
        <v>1353.7815126050421</v>
      </c>
      <c r="K17" s="1038">
        <f>'SEAP template'!K87</f>
        <v>0</v>
      </c>
      <c r="L17" s="1038">
        <f>'SEAP template'!L87</f>
        <v>0</v>
      </c>
      <c r="M17" s="1038">
        <f>'SEAP template'!M87</f>
        <v>0</v>
      </c>
      <c r="N17" s="1038">
        <f>'SEAP template'!N87</f>
        <v>0</v>
      </c>
      <c r="O17" s="1038">
        <f>'SEAP template'!O87</f>
        <v>0</v>
      </c>
      <c r="P17" s="1038">
        <f>'SEAP template'!Q87</f>
        <v>6219.3932773109264</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1150.7142857142856</v>
      </c>
      <c r="C20" s="1041">
        <f>SUM(C17:C19)</f>
        <v>26170.714285714286</v>
      </c>
      <c r="D20" s="1041">
        <f t="shared" ref="D20:H20" si="2">SUM(D17:D19)</f>
        <v>30789.075630252108</v>
      </c>
      <c r="E20" s="1041">
        <f t="shared" si="2"/>
        <v>0</v>
      </c>
      <c r="F20" s="1041">
        <f t="shared" si="2"/>
        <v>0</v>
      </c>
      <c r="G20" s="1041">
        <f t="shared" si="2"/>
        <v>0</v>
      </c>
      <c r="H20" s="1041">
        <f t="shared" si="2"/>
        <v>0</v>
      </c>
      <c r="I20" s="1041">
        <f>SUM(I17:I19)</f>
        <v>0</v>
      </c>
      <c r="J20" s="1041">
        <f>SUM(J17:J19)</f>
        <v>1353.7815126050421</v>
      </c>
      <c r="K20" s="1041">
        <f t="shared" ref="K20:L20" si="3">SUM(K17:K19)</f>
        <v>0</v>
      </c>
      <c r="L20" s="1041">
        <f t="shared" si="3"/>
        <v>0</v>
      </c>
      <c r="M20" s="1041">
        <f>SUM(M17:M19)</f>
        <v>0</v>
      </c>
      <c r="N20" s="1041">
        <f>SUM(N17:N19)</f>
        <v>0</v>
      </c>
      <c r="O20" s="1041">
        <f>SUM(O17:O19)</f>
        <v>0</v>
      </c>
      <c r="P20" s="1041">
        <f>SUM(P17:P19)</f>
        <v>6219.3932773109264</v>
      </c>
    </row>
    <row r="22" spans="1:16">
      <c r="A22" s="474" t="s">
        <v>932</v>
      </c>
      <c r="B22" s="778" t="s">
        <v>926</v>
      </c>
      <c r="C22" s="778">
        <f ca="1">'EF ele_warmte'!B22</f>
        <v>0.22763792387543258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0.18647414308464413</v>
      </c>
      <c r="C17" s="510">
        <f ca="1">'EF ele_warmte'!B22</f>
        <v>0.22763792387543258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3</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4.6900000000000004</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2019-08-12T07:54:32Z</dcterms:modified>
</cp:coreProperties>
</file>