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<sst xmlns="http://schemas.openxmlformats.org/spreadsheetml/2006/main" count="2522" uniqueCount="971">
  <si>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</si>
  <si>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</si>
  <si>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</si>
  <si>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</si>
  <si>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</si>
  <si>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</si>
  <si>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</si>
  <si>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</si>
  <si>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</si>
  <si>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</si>
  <si>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</si>
  <si>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</si>
  <si>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</si>
  <si>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</si>
  <si>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</si>
  <si>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</si>
  <si>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</si>
  <si>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</si>
  <si>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</si>
  <si>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</si>
  <si>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</si>
  <si>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</si>
  <si>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</si>
  <si>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</si>
  <si>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</si>
  <si>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</si>
  <si>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</si>
  <si>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</si>
  <si>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</si>
  <si>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</si>
  <si>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</si>
  <si>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</si>
  <si>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</si>
  <si>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</si>
  <si>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</si>
  <si>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</si>
  <si>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</si>
  <si>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</si>
  <si>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</si>
  <si>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</si>
  <si>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</si>
  <si>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</si>
  <si>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</si>
  <si>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</si>
  <si>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</si>
  <si>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</si>
  <si>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</si>
  <si>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</si>
  <si>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</si>
  <si>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</si>
  <si>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</si>
  <si>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</si>
  <si>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</si>
  <si>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</si>
  <si>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</si>
  <si>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</si>
  <si>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</si>
  <si>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</si>
  <si>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</si>
  <si>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</si>
  <si>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</si>
  <si>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</si>
  <si>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</si>
  <si>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</si>
  <si>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</si>
  <si>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</si>
  <si>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</si>
  <si>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</si>
  <si>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</si>
  <si>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</si>
  <si>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</si>
  <si>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</si>
  <si>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</si>
  <si>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</si>
  <si>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</si>
  <si>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</si>
  <si>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</si>
  <si>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</si>
  <si>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</si>
  <si>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</si>
  <si>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</si>
  <si>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</si>
  <si>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</si>
  <si>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</si>
  <si>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</si>
  <si>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</si>
  <si>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</si>
  <si>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</si>
  <si>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</si>
  <si>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</si>
  <si>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</si>
  <si>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</si>
  <si>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</si>
  <si>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</si>
  <si>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</si>
  <si>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</si>
  <si>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</si>
  <si>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</si>
  <si>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</si>
  <si>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</si>
  <si>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</si>
  <si>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</si>
  <si>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</si>
  <si>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</si>
  <si>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</si>
  <si>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</si>
  <si>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</si>
  <si>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</si>
  <si>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</si>
  <si>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</si>
  <si>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</si>
  <si>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</si>
  <si>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</si>
  <si>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</si>
  <si>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</si>
  <si>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</si>
  <si>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</si>
  <si>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</si>
  <si>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</si>
  <si>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</si>
  <si>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</si>
  <si>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</si>
  <si>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</si>
  <si>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</si>
  <si>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</si>
  <si>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</si>
  <si>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</si>
  <si>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</si>
  <si>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</si>
  <si>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</si>
  <si>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</si>
  <si>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</si>
  <si>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</si>
  <si>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</si>
  <si>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</si>
  <si>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</si>
  <si>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</si>
  <si>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</si>
  <si>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</si>
  <si>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</si>
  <si>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</si>
  <si>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</si>
  <si>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</si>
  <si>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</si>
  <si>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</si>
  <si>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</si>
  <si>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</si>
  <si>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</si>
  <si>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</si>
  <si>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</si>
  <si>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</si>
  <si>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</si>
  <si>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</si>
  <si>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</si>
  <si>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</si>
  <si>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</si>
  <si>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</si>
  <si>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</si>
  <si>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</si>
  <si>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</si>
  <si>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</si>
  <si>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</si>
  <si>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</si>
  <si>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</si>
  <si>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</si>
  <si>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</si>
  <si>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</si>
  <si>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</si>
  <si>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</si>
  <si>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</si>
  <si>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</si>
  <si>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</si>
  <si>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</si>
  <si>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</si>
  <si>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</si>
  <si>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</si>
  <si>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</si>
  <si>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</si>
  <si>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</si>
  <si>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</si>
  <si>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</si>
  <si>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</si>
  <si>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</si>
  <si>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</si>
  <si>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</si>
  <si>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</si>
  <si>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</si>
  <si>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</si>
  <si>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</si>
  <si>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</si>
  <si>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</si>
  <si>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</si>
  <si>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</si>
  <si>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</si>
  <si>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</si>
  <si>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</si>
  <si>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</si>
  <si>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</si>
  <si>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</si>
  <si>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</si>
  <si>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</si>
  <si>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</si>
  <si>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</si>
  <si>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</si>
  <si>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</si>
  <si>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</si>
  <si>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</si>
  <si>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</si>
  <si>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</si>
  <si>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</si>
  <si>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</si>
  <si>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</si>
  <si>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</si>
  <si>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</si>
  <si>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</si>
  <si>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</si>
  <si>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</si>
  <si>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</si>
  <si>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</si>
  <si>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</si>
  <si>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</si>
  <si>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</si>
  <si>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</si>
  <si>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</si>
  <si>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</si>
  <si>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</si>
  <si>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</si>
  <si>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</si>
  <si>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</si>
  <si>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</si>
  <si>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</si>
  <si>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</si>
  <si>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</si>
  <si>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</si>
  <si>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</si>
  <si>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</si>
  <si>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</si>
  <si>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</si>
  <si>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</si>
  <si>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</si>
  <si>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</si>
  <si>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</si>
  <si>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</si>
  <si>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</si>
  <si>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</si>
  <si>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</si>
  <si>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</si>
  <si>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</si>
  <si>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</si>
  <si>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</si>
  <si>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</si>
  <si>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</si>
  <si>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</si>
  <si>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</si>
  <si>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</si>
  <si>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</si>
  <si>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</si>
  <si>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</si>
  <si>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</si>
  <si>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</si>
  <si>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</si>
  <si>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</si>
  <si>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</si>
  <si>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</si>
  <si>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</si>
  <si>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</si>
  <si>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</si>
  <si>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</si>
  <si>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</si>
  <si>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</si>
  <si>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</si>
  <si>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</si>
  <si>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</si>
  <si>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</si>
  <si>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</si>
  <si>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</si>
  <si>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</si>
  <si>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</si>
  <si>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</si>
  <si>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</si>
  <si>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</si>
  <si>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</si>
  <si>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</si>
  <si>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</si>
  <si>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</si>
  <si>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</si>
  <si>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</si>
  <si>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</si>
  <si>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</si>
  <si>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</si>
  <si>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</si>
  <si>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</si>
  <si>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</si>
  <si>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</si>
  <si>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</si>
  <si>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</si>
  <si>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</si>
  <si>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</si>
  <si>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</si>
  <si>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</si>
  <si>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</si>
  <si>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</si>
  <si>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</si>
  <si>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</si>
  <si>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</si>
  <si>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</si>
  <si>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</si>
  <si>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</si>
  <si>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</si>
  <si>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</si>
  <si>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</si>
  <si>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</si>
  <si>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</si>
  <si>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</si>
  <si>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</si>
  <si>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</si>
  <si>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</si>
  <si>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</si>
  <si>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</si>
  <si>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</si>
  <si>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</si>
  <si>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</si>
  <si>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</si>
  <si>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</si>
  <si>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</si>
  <si>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</si>
  <si>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</si>
  <si>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</si>
  <si>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</si>
  <si>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</si>
  <si>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</si>
  <si>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</si>
  <si>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</si>
  <si>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</si>
  <si>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</si>
  <si>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</si>
  <si>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</si>
  <si>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</si>
  <si>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</si>
  <si>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</si>
  <si>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</si>
  <si>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</si>
  <si>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</si>
  <si>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</si>
  <si>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</si>
  <si>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</si>
  <si>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</si>
  <si>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</si>
  <si>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</si>
  <si>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</si>
  <si>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</si>
  <si>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</si>
  <si>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</si>
  <si>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</si>
  <si>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</si>
  <si>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</si>
  <si>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</si>
  <si>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</si>
  <si>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</si>
  <si>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</si>
  <si>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</si>
  <si>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</si>
  <si>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</si>
  <si>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</si>
  <si>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</si>
  <si>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</si>
  <si>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</si>
  <si>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</si>
  <si>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</si>
  <si>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</si>
  <si>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</si>
  <si>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</si>
  <si>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</si>
  <si>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</si>
  <si>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</si>
  <si>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</si>
  <si>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</si>
  <si>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</si>
  <si>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</si>
  <si>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</si>
  <si>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</si>
  <si>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</si>
  <si>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</si>
  <si>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</si>
  <si>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</si>
  <si>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</si>
  <si>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</si>
  <si>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</si>
  <si>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</si>
  <si>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</si>
  <si>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</si>
  <si>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</si>
  <si>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</si>
  <si>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</si>
  <si>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</si>
  <si>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</si>
  <si>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</si>
  <si>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</si>
  <si>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</si>
  <si>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</si>
  <si>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</si>
  <si>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</si>
  <si>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</si>
  <si>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</si>
  <si>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</si>
  <si>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</si>
  <si>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</si>
  <si>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</si>
  <si>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</si>
  <si>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</si>
  <si>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</si>
  <si>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</si>
  <si>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</si>
  <si>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</si>
  <si>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</si>
  <si>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</si>
  <si>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</si>
  <si>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</si>
  <si>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</si>
  <si>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</si>
  <si>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</si>
  <si>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</si>
  <si>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</si>
  <si>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</si>
  <si>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</si>
  <si>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</si>
  <si>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</si>
  <si>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</si>
  <si>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</si>
  <si>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</si>
  <si>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</si>
  <si>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</si>
  <si>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</si>
  <si>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</si>
  <si>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</si>
  <si>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</si>
  <si>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</si>
  <si>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</si>
  <si>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</si>
  <si>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</si>
  <si>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</si>
  <si>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</si>
  <si>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</si>
  <si>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</si>
  <si>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</si>
  <si>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</si>
  <si>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</si>
  <si>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</si>
  <si>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</si>
  <si>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</si>
  <si>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</si>
  <si>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</si>
  <si>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</si>
  <si>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</si>
  <si>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</si>
  <si>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</si>
  <si>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</si>
  <si>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</si>
  <si>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</si>
  <si>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</si>
  <si>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</si>
  <si>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</si>
  <si>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</si>
  <si>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</si>
  <si>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</si>
  <si>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</si>
  <si>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</si>
  <si>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</si>
  <si>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</si>
  <si>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</si>
  <si>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</si>
  <si>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</si>
  <si>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</si>
  <si>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</si>
  <si>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</si>
  <si>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</si>
  <si>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</si>
  <si>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</si>
  <si>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</si>
  <si>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</si>
  <si>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</si>
  <si>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</si>
  <si>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</si>
  <si>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</si>
  <si>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</si>
  <si>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</si>
  <si>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</si>
  <si>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</si>
  <si>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</si>
  <si>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</si>
  <si>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</si>
  <si>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</si>
  <si>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</si>
  <si>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</si>
  <si>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</si>
  <si>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</si>
  <si>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</si>
  <si>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</si>
  <si>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</si>
  <si>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</si>
  <si>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</si>
  <si>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</si>
  <si>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</si>
  <si>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</si>
  <si>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</si>
  <si>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</si>
  <si>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</si>
  <si>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</si>
  <si>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</si>
  <si>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</si>
  <si>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</si>
  <si>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</si>
  <si>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</si>
  <si>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</si>
  <si>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</si>
  <si>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</si>
  <si>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</si>
  <si>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</si>
  <si>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</si>
  <si>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</si>
  <si>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</si>
  <si>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</si>
  <si>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</si>
  <si>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</si>
  <si>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</si>
  <si>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</si>
  <si>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</si>
  <si>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</si>
  <si>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</si>
  <si>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</si>
  <si>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</si>
  <si>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</si>
  <si>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</si>
  <si>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</si>
  <si>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</si>
  <si>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</si>
  <si>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</si>
  <si>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</si>
  <si>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</si>
  <si>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</si>
  <si>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</si>
  <si>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</si>
  <si>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</si>
  <si>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</si>
  <si>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</si>
  <si>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</si>
  <si>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</si>
  <si>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</si>
  <si>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</si>
  <si>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</si>
  <si>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</si>
  <si>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</si>
  <si>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</si>
  <si>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</si>
  <si>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</si>
  <si>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</si>
  <si>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</si>
  <si>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</si>
  <si>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</si>
  <si>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</si>
  <si>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</si>
  <si>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</si>
  <si>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</si>
  <si>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</si>
  <si>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</si>
  <si>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</si>
  <si>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</si>
  <si>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</si>
  <si>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</si>
  <si>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</si>
  <si>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</si>
  <si>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</si>
  <si>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</si>
  <si>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</si>
  <si>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</si>
  <si>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</si>
  <si>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</si>
  <si>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</si>
  <si>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</si>
  <si>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</si>
  <si>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</si>
  <si>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</si>
  <si>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</si>
  <si>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</si>
  <si>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</si>
  <si>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</si>
  <si>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</si>
  <si>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</si>
  <si>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</si>
  <si>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</si>
  <si>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</si>
  <si>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</si>
  <si>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</si>
  <si>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</si>
  <si>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</si>
  <si>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</si>
  <si>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</si>
  <si>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</si>
  <si>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</si>
  <si>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</si>
  <si>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</si>
  <si>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</si>
  <si>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</si>
  <si>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</si>
  <si>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</si>
  <si>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</si>
  <si>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</si>
  <si>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</si>
  <si>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</si>
  <si>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</si>
  <si>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</si>
  <si>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</si>
  <si>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</si>
  <si>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</si>
  <si>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</si>
  <si>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</si>
  <si>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</si>
  <si>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</si>
  <si>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</si>
  <si>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</si>
  <si>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</si>
  <si>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</si>
  <si>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</si>
  <si>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</si>
  <si>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</si>
  <si>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</si>
  <si>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</si>
  <si>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</si>
  <si>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</si>
  <si>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</si>
  <si>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</si>
  <si>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</si>
  <si>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</si>
  <si>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</si>
  <si>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</si>
  <si>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</si>
  <si>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</si>
  <si>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</si>
  <si>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</si>
  <si>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</si>
  <si>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</si>
  <si>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</si>
  <si>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</si>
  <si>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</si>
  <si>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</si>
  <si>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</si>
  <si>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</si>
  <si>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</si>
  <si>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</si>
  <si>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</si>
  <si>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</si>
  <si>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</si>
  <si>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</si>
  <si>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</si>
  <si>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</si>
  <si>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</si>
  <si>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</si>
  <si>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</si>
  <si>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</si>
  <si>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</si>
  <si>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</si>
  <si>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</si>
  <si>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</si>
  <si>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</si>
  <si>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</si>
  <si>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</si>
  <si>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</si>
  <si>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</si>
  <si>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</si>
  <si>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</si>
  <si>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</si>
  <si>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</si>
  <si>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</si>
  <si>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</si>
  <si>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</si>
  <si>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</si>
  <si>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</si>
  <si>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</si>
  <si>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</si>
  <si>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</si>
  <si>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</si>
  <si>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</si>
  <si>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</si>
  <si>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</si>
  <si>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</si>
  <si>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</si>
  <si>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</si>
  <si>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</si>
  <si>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</si>
  <si>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</si>
  <si>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</si>
  <si>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</si>
  <si>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</si>
  <si>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</si>
  <si>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</si>
  <si>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</si>
  <si>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</si>
  <si>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</si>
  <si>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</si>
  <si>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</si>
  <si>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</si>
  <si>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</si>
  <si>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</si>
  <si>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</si>
  <si>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</si>
  <si>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</si>
  <si>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</si>
  <si>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</si>
  <si>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</si>
  <si>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</si>
  <si>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</si>
  <si>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</si>
  <si>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</si>
  <si>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</si>
  <si>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</si>
  <si>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</si>
  <si>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</si>
  <si>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</si>
  <si>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</si>
  <si>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</si>
  <si>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</si>
  <si>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</si>
  <si>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</si>
  <si>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</si>
  <si>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</si>
  <si>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</si>
  <si>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</si>
  <si>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</si>
  <si>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</si>
  <si>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</si>
  <si>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</si>
  <si>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</si>
  <si>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</si>
  <si>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</si>
  <si>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</si>
  <si>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</si>
  <si>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</si>
  <si>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</si>
  <si>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</si>
  <si>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</si>
  <si>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</si>
  <si>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</si>
  <si>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</si>
  <si>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</si>
  <si>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</si>
  <si>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</si>
  <si>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</si>
  <si>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</si>
  <si>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</si>
  <si>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</si>
  <si>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</si>
  <si>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</si>
  <si>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</si>
  <si>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</si>
  <si>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</si>
  <si>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</si>
  <si>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</si>
  <si>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</si>
  <si>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</si>
  <si>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</si>
  <si>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</si>
  <si>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</si>
  <si>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</si>
  <si>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</si>
  <si>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</si>
  <si>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</si>
  <si>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</si>
  <si>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</si>
  <si>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</si>
  <si>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</si>
  <si>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</si>
  <si>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</si>
  <si>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</si>
  <si>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</si>
  <si>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</si>
  <si>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</si>
  <si>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</si>
  <si>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</si>
  <si>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</si>
  <si>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</si>
  <si>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</si>
  <si>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</si>
  <si>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</si>
  <si>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</si>
  <si>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</si>
  <si>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</si>
  <si>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</si>
  <si>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</si>
  <si>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</si>
  <si>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</si>
  <si>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</si>
  <si>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</si>
  <si>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</si>
  <si>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</si>
  <si>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</si>
  <si>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</si>
  <si>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</si>
  <si>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</si>
  <si>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</si>
  <si>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</si>
  <si>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</si>
  <si>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</si>
  <si>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</si>
  <si>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</si>
  <si>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</si>
  <si>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</si>
  <si>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</si>
  <si>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</si>
  <si>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</si>
  <si>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</si>
  <si>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</si>
  <si>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</si>
  <si>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</si>
  <si>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</si>
  <si>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</si>
  <si>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</si>
  <si>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</si>
  <si>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</si>
  <si>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</si>
  <si>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</si>
  <si>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</si>
  <si>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</si>
  <si>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</si>
  <si>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</si>
  <si>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</si>
  <si>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</si>
  <si>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</si>
  <si>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</si>
  <si>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</si>
  <si>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</si>
  <si>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</si>
  <si>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</si>
  <si>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</si>
  <si>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</si>
  <si>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</si>
  <si>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</si>
  <si>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</si>
  <si>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</si>
  <si>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</si>
  <si>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</si>
  <si>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</si>
  <si>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</si>
  <si>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</si>
  <si>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</si>
  <si>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</si>
  <si>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</si>
  <si>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</si>
  <si>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</si>
  <si>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</si>
  <si>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</si>
  <si>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</si>
  <si>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</si>
  <si>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</si>
  <si>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</si>
  <si>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</si>
  <si>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</si>
  <si>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</si>
  <si>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</si>
  <si>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</si>
  <si>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</si>
  <si>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</si>
  <si>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</si>
  <si>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</si>
  <si>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</si>
  <si>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</si>
  <si>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</si>
  <si>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</si>
  <si>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</si>
  <si>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</si>
  <si>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</si>
  <si>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</si>
  <si>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</si>
  <si>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</si>
  <si>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</si>
  <si>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</si>
  <si>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</si>
  <si>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</si>
  <si>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</si>
  <si>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</si>
  <si>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</si>
  <si>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</si>
  <si>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</si>
  <si>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</si>
  <si>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</si>
  <si>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</si>
  <si>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</si>
  <si>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</si>
  <si>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</si>
  <si>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</si>
  <si>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</si>
  <si>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</si>
  <si>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</si>
  <si>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</si>
  <si>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</si>
  <si>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</si>
  <si>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</si>
  <si>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</si>
  <si>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</si>
  <si>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</si>
  <si>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</si>
  <si>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</si>
  <si>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</si>
  <si>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</si>
  <si>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</si>
  <si>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</si>
  <si>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</si>
  <si>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</si>
  <si>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</si>
  <si>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</si>
  <si>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</si>
  <si>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</si>
  <si>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</si>
  <si>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</si>
  <si>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</si>
  <si>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</si>
  <si>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</si>
  <si>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</si>
  <si>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</si>
  <si>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</si>
  <si>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</si>
  <si>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</si>
  <si>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</si>
  <si>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</si>
  <si>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</si>
  <si>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</si>
  <si>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</si>
  <si>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</si>
  <si>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</si>
  <si>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</si>
  <si>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</si>
  <si>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</si>
  <si>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</si>
  <si>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</si>
  <si>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</si>
  <si>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</si>
  <si>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</si>
  <si>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</si>
  <si>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</si>
  <si>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</si>
  <si>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</si>
  <si>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</si>
  <si>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</si>
  <si>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32003</t>
  </si>
  <si>
    <t>DIKSMUIDE</t>
  </si>
  <si>
    <t>Paarden&amp;pony's 200 - 600 kg</t>
  </si>
  <si>
    <t>Paarden&amp;pony's &lt; 200 kg</t>
  </si>
  <si>
    <t>op basis van VEA (maart 2018) en Inventaris Hernieuwbare Energiebronnen (juni 2018)</t>
  </si>
  <si>
    <t>VEA (juni 2018)</t>
  </si>
  <si>
    <t>Biolectric nv</t>
  </si>
  <si>
    <t>Jan de Malschelaan 4 B, 9140 Temse</t>
  </si>
  <si>
    <t>WKK-0452 Johan Hollevoet</t>
  </si>
  <si>
    <t>interne verbrandingsmotor</t>
  </si>
  <si>
    <t>WKK interne verbrandinsgmotor (gas)</t>
  </si>
  <si>
    <t>Pervijzestraat 69 , 8600 Diksmuide</t>
  </si>
  <si>
    <t>Infrax West</t>
  </si>
  <si>
    <t>Pascal Mattheeuws</t>
  </si>
  <si>
    <t>Diepenbeek 2 , 9931 Oostwinkel</t>
  </si>
  <si>
    <t>WKK-0458 Pascal Mattheeuws</t>
  </si>
  <si>
    <t>IMEWO</t>
  </si>
  <si>
    <t>Ijzer Energie nv in faling</t>
  </si>
  <si>
    <t>Zandvoortstraat C47/11, 8790 Waregem</t>
  </si>
  <si>
    <t>BGS-0060 Ijzer Energie -agr.verg</t>
  </si>
  <si>
    <t>biogas - hoofdzakelijk agrarische stromen</t>
  </si>
  <si>
    <t>niet WKK interne verbrandingsmotor (gas)</t>
  </si>
  <si>
    <t>Jagersstraat 4 A, 8600 Diksmuide</t>
  </si>
  <si>
    <t>Stuwekinswal – Beuselinck LV</t>
  </si>
  <si>
    <t>Viconiastraat 27 , 8600 Diksmuide</t>
  </si>
  <si>
    <t>BMS-0070 Beuselinck</t>
  </si>
  <si>
    <t>biomassa uit land- of bosbouw</t>
  </si>
  <si>
    <t>niet WKK interne verbrandingsmotor (vloeibaar)</t>
  </si>
  <si>
    <t>eilandwerking</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</si>
</sst>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32003</v>
      </c>
      <c r="B6" s="397"/>
      <c r="C6" s="398"/>
    </row>
    <row r="7" spans="1:7" s="395" customFormat="1" ht="15.75" customHeight="1">
      <c r="A7" s="399" t="str">
        <f>txtMunicipality</f>
        <v>DIKSMUIDE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0.19337800736930513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0.19337800736930513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32003</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6858</v>
      </c>
      <c r="C9" s="338">
        <v>7181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12366</v>
      </c>
    </row>
    <row r="15" spans="1:6">
      <c r="A15" s="1286" t="s">
        <v>184</v>
      </c>
      <c r="B15" s="335">
        <v>173</v>
      </c>
    </row>
    <row r="16" spans="1:6">
      <c r="A16" s="1286" t="s">
        <v>6</v>
      </c>
      <c r="B16" s="335">
        <v>6283</v>
      </c>
    </row>
    <row r="17" spans="1:6">
      <c r="A17" s="1286" t="s">
        <v>7</v>
      </c>
      <c r="B17" s="335">
        <v>3458</v>
      </c>
    </row>
    <row r="18" spans="1:6">
      <c r="A18" s="1286" t="s">
        <v>8</v>
      </c>
      <c r="B18" s="335">
        <v>5872</v>
      </c>
    </row>
    <row r="19" spans="1:6">
      <c r="A19" s="1286" t="s">
        <v>9</v>
      </c>
      <c r="B19" s="335">
        <v>5807</v>
      </c>
    </row>
    <row r="20" spans="1:6">
      <c r="A20" s="1286" t="s">
        <v>10</v>
      </c>
      <c r="B20" s="335">
        <v>4143</v>
      </c>
    </row>
    <row r="21" spans="1:6">
      <c r="A21" s="1286" t="s">
        <v>11</v>
      </c>
      <c r="B21" s="335">
        <v>55032</v>
      </c>
    </row>
    <row r="22" spans="1:6">
      <c r="A22" s="1286" t="s">
        <v>12</v>
      </c>
      <c r="B22" s="335">
        <v>106848</v>
      </c>
    </row>
    <row r="23" spans="1:6">
      <c r="A23" s="1286" t="s">
        <v>13</v>
      </c>
      <c r="B23" s="335">
        <v>1736</v>
      </c>
    </row>
    <row r="24" spans="1:6">
      <c r="A24" s="1286" t="s">
        <v>14</v>
      </c>
      <c r="B24" s="335">
        <v>107</v>
      </c>
    </row>
    <row r="25" spans="1:6">
      <c r="A25" s="1286" t="s">
        <v>15</v>
      </c>
      <c r="B25" s="335">
        <v>12764</v>
      </c>
    </row>
    <row r="26" spans="1:6">
      <c r="A26" s="1286" t="s">
        <v>16</v>
      </c>
      <c r="B26" s="335">
        <v>1523</v>
      </c>
    </row>
    <row r="27" spans="1:6">
      <c r="A27" s="1286" t="s">
        <v>17</v>
      </c>
      <c r="B27" s="335">
        <v>7</v>
      </c>
    </row>
    <row r="28" spans="1:6" s="341" customFormat="1">
      <c r="A28" s="1287" t="s">
        <v>18</v>
      </c>
      <c r="B28" s="1287">
        <v>287442</v>
      </c>
    </row>
    <row r="29" spans="1:6">
      <c r="A29" s="1287" t="s">
        <v>944</v>
      </c>
      <c r="B29" s="1287">
        <v>150</v>
      </c>
      <c r="C29" s="341"/>
      <c r="D29" s="341"/>
      <c r="E29" s="341"/>
      <c r="F29" s="341"/>
    </row>
    <row r="30" spans="1:6">
      <c r="A30" s="1282" t="s">
        <v>945</v>
      </c>
      <c r="B30" s="1282">
        <v>40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11</v>
      </c>
      <c r="F36" s="335">
        <v>98015</v>
      </c>
    </row>
    <row r="37" spans="1:6">
      <c r="A37" s="1286" t="s">
        <v>25</v>
      </c>
      <c r="B37" s="1286" t="s">
        <v>28</v>
      </c>
      <c r="C37" s="335">
        <v>0</v>
      </c>
      <c r="D37" s="335">
        <v>0</v>
      </c>
      <c r="E37" s="335">
        <v>0</v>
      </c>
      <c r="F37" s="335">
        <v>0</v>
      </c>
    </row>
    <row r="38" spans="1:6">
      <c r="A38" s="1286" t="s">
        <v>25</v>
      </c>
      <c r="B38" s="1286" t="s">
        <v>29</v>
      </c>
      <c r="C38" s="335">
        <v>1</v>
      </c>
      <c r="D38" s="335">
        <v>1489</v>
      </c>
      <c r="E38" s="335">
        <v>0</v>
      </c>
      <c r="F38" s="335">
        <v>0</v>
      </c>
    </row>
    <row r="39" spans="1:6">
      <c r="A39" s="1286" t="s">
        <v>30</v>
      </c>
      <c r="B39" s="1286" t="s">
        <v>31</v>
      </c>
      <c r="C39" s="335">
        <v>4139</v>
      </c>
      <c r="D39" s="335">
        <v>65574476</v>
      </c>
      <c r="E39" s="335">
        <v>6524</v>
      </c>
      <c r="F39" s="335">
        <v>26625214.408852082</v>
      </c>
    </row>
    <row r="40" spans="1:6">
      <c r="A40" s="1286" t="s">
        <v>30</v>
      </c>
      <c r="B40" s="1286" t="s">
        <v>29</v>
      </c>
      <c r="C40" s="335">
        <v>0</v>
      </c>
      <c r="D40" s="335">
        <v>0</v>
      </c>
      <c r="E40" s="335">
        <v>0</v>
      </c>
      <c r="F40" s="335">
        <v>0</v>
      </c>
    </row>
    <row r="41" spans="1:6">
      <c r="A41" s="1286" t="s">
        <v>32</v>
      </c>
      <c r="B41" s="1286" t="s">
        <v>33</v>
      </c>
      <c r="C41" s="335">
        <v>94</v>
      </c>
      <c r="D41" s="335">
        <v>8983752</v>
      </c>
      <c r="E41" s="335">
        <v>195</v>
      </c>
      <c r="F41" s="335">
        <v>9990363</v>
      </c>
    </row>
    <row r="42" spans="1:6">
      <c r="A42" s="1286" t="s">
        <v>32</v>
      </c>
      <c r="B42" s="1286" t="s">
        <v>34</v>
      </c>
      <c r="C42" s="335">
        <v>0</v>
      </c>
      <c r="D42" s="335">
        <v>0</v>
      </c>
      <c r="E42" s="335">
        <v>3</v>
      </c>
      <c r="F42" s="335">
        <v>42396</v>
      </c>
    </row>
    <row r="43" spans="1:6">
      <c r="A43" s="1286" t="s">
        <v>32</v>
      </c>
      <c r="B43" s="1286" t="s">
        <v>35</v>
      </c>
      <c r="C43" s="335">
        <v>0</v>
      </c>
      <c r="D43" s="335">
        <v>0</v>
      </c>
      <c r="E43" s="335">
        <v>0</v>
      </c>
      <c r="F43" s="335">
        <v>0</v>
      </c>
    </row>
    <row r="44" spans="1:6">
      <c r="A44" s="1286" t="s">
        <v>32</v>
      </c>
      <c r="B44" s="1286" t="s">
        <v>36</v>
      </c>
      <c r="C44" s="335">
        <v>15</v>
      </c>
      <c r="D44" s="335">
        <v>1387689</v>
      </c>
      <c r="E44" s="335">
        <v>54</v>
      </c>
      <c r="F44" s="335">
        <v>4032330</v>
      </c>
    </row>
    <row r="45" spans="1:6">
      <c r="A45" s="1286" t="s">
        <v>32</v>
      </c>
      <c r="B45" s="1286" t="s">
        <v>37</v>
      </c>
      <c r="C45" s="335">
        <v>0</v>
      </c>
      <c r="D45" s="335">
        <v>0</v>
      </c>
      <c r="E45" s="335">
        <v>3</v>
      </c>
      <c r="F45" s="335">
        <v>306982</v>
      </c>
    </row>
    <row r="46" spans="1:6">
      <c r="A46" s="1286" t="s">
        <v>32</v>
      </c>
      <c r="B46" s="1286" t="s">
        <v>38</v>
      </c>
      <c r="C46" s="335">
        <v>0</v>
      </c>
      <c r="D46" s="335">
        <v>0</v>
      </c>
      <c r="E46" s="335">
        <v>0</v>
      </c>
      <c r="F46" s="335">
        <v>0</v>
      </c>
    </row>
    <row r="47" spans="1:6">
      <c r="A47" s="1286" t="s">
        <v>32</v>
      </c>
      <c r="B47" s="1286" t="s">
        <v>39</v>
      </c>
      <c r="C47" s="335">
        <v>4</v>
      </c>
      <c r="D47" s="335">
        <v>116967</v>
      </c>
      <c r="E47" s="335">
        <v>5</v>
      </c>
      <c r="F47" s="335">
        <v>145815</v>
      </c>
    </row>
    <row r="48" spans="1:6">
      <c r="A48" s="1286" t="s">
        <v>32</v>
      </c>
      <c r="B48" s="1286" t="s">
        <v>29</v>
      </c>
      <c r="C48" s="335">
        <v>1</v>
      </c>
      <c r="D48" s="335">
        <v>246985</v>
      </c>
      <c r="E48" s="335">
        <v>0</v>
      </c>
      <c r="F48" s="335">
        <v>0</v>
      </c>
    </row>
    <row r="49" spans="1:6">
      <c r="A49" s="1286" t="s">
        <v>32</v>
      </c>
      <c r="B49" s="1286" t="s">
        <v>40</v>
      </c>
      <c r="C49" s="335">
        <v>0</v>
      </c>
      <c r="D49" s="335">
        <v>0</v>
      </c>
      <c r="E49" s="335">
        <v>0</v>
      </c>
      <c r="F49" s="335">
        <v>0</v>
      </c>
    </row>
    <row r="50" spans="1:6">
      <c r="A50" s="1286" t="s">
        <v>32</v>
      </c>
      <c r="B50" s="1286" t="s">
        <v>41</v>
      </c>
      <c r="C50" s="335">
        <v>20</v>
      </c>
      <c r="D50" s="335">
        <v>1307322</v>
      </c>
      <c r="E50" s="335">
        <v>43</v>
      </c>
      <c r="F50" s="335">
        <v>6279074</v>
      </c>
    </row>
    <row r="51" spans="1:6">
      <c r="A51" s="1286" t="s">
        <v>42</v>
      </c>
      <c r="B51" s="1286" t="s">
        <v>43</v>
      </c>
      <c r="C51" s="335">
        <v>36</v>
      </c>
      <c r="D51" s="335">
        <v>1954202</v>
      </c>
      <c r="E51" s="335">
        <v>380</v>
      </c>
      <c r="F51" s="335">
        <v>9752807</v>
      </c>
    </row>
    <row r="52" spans="1:6">
      <c r="A52" s="1286" t="s">
        <v>42</v>
      </c>
      <c r="B52" s="1286" t="s">
        <v>29</v>
      </c>
      <c r="C52" s="335">
        <v>0</v>
      </c>
      <c r="D52" s="335">
        <v>0</v>
      </c>
      <c r="E52" s="335">
        <v>1</v>
      </c>
      <c r="F52" s="335">
        <v>40524.273988988003</v>
      </c>
    </row>
    <row r="53" spans="1:6">
      <c r="A53" s="1286" t="s">
        <v>44</v>
      </c>
      <c r="B53" s="1286" t="s">
        <v>45</v>
      </c>
      <c r="C53" s="335">
        <v>0</v>
      </c>
      <c r="D53" s="335">
        <v>0</v>
      </c>
      <c r="E53" s="335">
        <v>0</v>
      </c>
      <c r="F53" s="335">
        <v>0</v>
      </c>
    </row>
    <row r="54" spans="1:6">
      <c r="A54" s="1286" t="s">
        <v>46</v>
      </c>
      <c r="B54" s="1286" t="s">
        <v>47</v>
      </c>
      <c r="C54" s="335">
        <v>0</v>
      </c>
      <c r="D54" s="335">
        <v>0</v>
      </c>
      <c r="E54" s="335">
        <v>77</v>
      </c>
      <c r="F54" s="335">
        <v>1366240</v>
      </c>
    </row>
    <row r="55" spans="1:6">
      <c r="A55" s="1286" t="s">
        <v>46</v>
      </c>
      <c r="B55" s="1286" t="s">
        <v>29</v>
      </c>
      <c r="C55" s="335">
        <v>0</v>
      </c>
      <c r="D55" s="335">
        <v>0</v>
      </c>
      <c r="E55" s="335">
        <v>0</v>
      </c>
      <c r="F55" s="335">
        <v>0</v>
      </c>
    </row>
    <row r="56" spans="1:6">
      <c r="A56" s="1286" t="s">
        <v>48</v>
      </c>
      <c r="B56" s="1286" t="s">
        <v>29</v>
      </c>
      <c r="C56" s="335">
        <v>61</v>
      </c>
      <c r="D56" s="335">
        <v>3304615</v>
      </c>
      <c r="E56" s="335">
        <v>116</v>
      </c>
      <c r="F56" s="335">
        <v>590765</v>
      </c>
    </row>
    <row r="57" spans="1:6">
      <c r="A57" s="1286" t="s">
        <v>49</v>
      </c>
      <c r="B57" s="1286" t="s">
        <v>50</v>
      </c>
      <c r="C57" s="335">
        <v>33</v>
      </c>
      <c r="D57" s="335">
        <v>1515497</v>
      </c>
      <c r="E57" s="335">
        <v>108</v>
      </c>
      <c r="F57" s="335">
        <v>9175225</v>
      </c>
    </row>
    <row r="58" spans="1:6">
      <c r="A58" s="1286" t="s">
        <v>49</v>
      </c>
      <c r="B58" s="1286" t="s">
        <v>51</v>
      </c>
      <c r="C58" s="335">
        <v>20</v>
      </c>
      <c r="D58" s="335">
        <v>1374115</v>
      </c>
      <c r="E58" s="335">
        <v>36</v>
      </c>
      <c r="F58" s="335">
        <v>928810</v>
      </c>
    </row>
    <row r="59" spans="1:6">
      <c r="A59" s="1286" t="s">
        <v>49</v>
      </c>
      <c r="B59" s="1286" t="s">
        <v>52</v>
      </c>
      <c r="C59" s="335">
        <v>150</v>
      </c>
      <c r="D59" s="335">
        <v>5120635</v>
      </c>
      <c r="E59" s="335">
        <v>325</v>
      </c>
      <c r="F59" s="335">
        <v>9243044</v>
      </c>
    </row>
    <row r="60" spans="1:6">
      <c r="A60" s="1286" t="s">
        <v>49</v>
      </c>
      <c r="B60" s="1286" t="s">
        <v>53</v>
      </c>
      <c r="C60" s="335">
        <v>61</v>
      </c>
      <c r="D60" s="335">
        <v>2928720</v>
      </c>
      <c r="E60" s="335">
        <v>96</v>
      </c>
      <c r="F60" s="335">
        <v>2371566</v>
      </c>
    </row>
    <row r="61" spans="1:6">
      <c r="A61" s="1286" t="s">
        <v>49</v>
      </c>
      <c r="B61" s="1286" t="s">
        <v>54</v>
      </c>
      <c r="C61" s="335">
        <v>108</v>
      </c>
      <c r="D61" s="335">
        <v>3637485</v>
      </c>
      <c r="E61" s="335">
        <v>359</v>
      </c>
      <c r="F61" s="335">
        <v>4681461</v>
      </c>
    </row>
    <row r="62" spans="1:6">
      <c r="A62" s="1286" t="s">
        <v>49</v>
      </c>
      <c r="B62" s="1286" t="s">
        <v>55</v>
      </c>
      <c r="C62" s="335">
        <v>12</v>
      </c>
      <c r="D62" s="335">
        <v>1443536</v>
      </c>
      <c r="E62" s="335">
        <v>25</v>
      </c>
      <c r="F62" s="335">
        <v>1125362</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2</v>
      </c>
      <c r="D65" s="335">
        <v>115299</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15</v>
      </c>
      <c r="F68" s="335">
        <v>402155</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127312443</v>
      </c>
      <c r="E73" s="335">
        <v>135485807.81049928</v>
      </c>
    </row>
    <row r="74" spans="1:6">
      <c r="A74" s="1286" t="s">
        <v>64</v>
      </c>
      <c r="B74" s="1286" t="s">
        <v>772</v>
      </c>
      <c r="C74" s="1297" t="s">
        <v>766</v>
      </c>
      <c r="D74" s="335">
        <v>12291441.82387704</v>
      </c>
      <c r="E74" s="335">
        <v>12984598.960014697</v>
      </c>
    </row>
    <row r="75" spans="1:6">
      <c r="A75" s="1286" t="s">
        <v>65</v>
      </c>
      <c r="B75" s="1286" t="s">
        <v>771</v>
      </c>
      <c r="C75" s="1297" t="s">
        <v>767</v>
      </c>
      <c r="D75" s="335">
        <v>22841366</v>
      </c>
      <c r="E75" s="335">
        <v>24100944.661640592</v>
      </c>
    </row>
    <row r="76" spans="1:6">
      <c r="A76" s="1286" t="s">
        <v>65</v>
      </c>
      <c r="B76" s="1286" t="s">
        <v>772</v>
      </c>
      <c r="C76" s="1297" t="s">
        <v>768</v>
      </c>
      <c r="D76" s="335">
        <v>656789.82387703983</v>
      </c>
      <c r="E76" s="335">
        <v>665465.54947109765</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565762.35224592022</v>
      </c>
      <c r="C83" s="335">
        <v>533993.85480109043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2648.7481688010957</v>
      </c>
    </row>
    <row r="91" spans="1:6">
      <c r="A91" s="1286" t="s">
        <v>68</v>
      </c>
      <c r="B91" s="335">
        <v>3178.1454578481876</v>
      </c>
    </row>
    <row r="92" spans="1:6">
      <c r="A92" s="1282" t="s">
        <v>69</v>
      </c>
      <c r="B92" s="338">
        <v>3554.518718173581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2561</v>
      </c>
    </row>
    <row r="98" spans="1:6">
      <c r="A98" s="1286" t="s">
        <v>72</v>
      </c>
      <c r="B98" s="335">
        <v>4</v>
      </c>
    </row>
    <row r="99" spans="1:6">
      <c r="A99" s="1286" t="s">
        <v>73</v>
      </c>
      <c r="B99" s="335">
        <v>213</v>
      </c>
    </row>
    <row r="100" spans="1:6">
      <c r="A100" s="1286" t="s">
        <v>74</v>
      </c>
      <c r="B100" s="335">
        <v>556</v>
      </c>
    </row>
    <row r="101" spans="1:6">
      <c r="A101" s="1286" t="s">
        <v>75</v>
      </c>
      <c r="B101" s="335">
        <v>182</v>
      </c>
    </row>
    <row r="102" spans="1:6">
      <c r="A102" s="1286" t="s">
        <v>76</v>
      </c>
      <c r="B102" s="335">
        <v>108</v>
      </c>
    </row>
    <row r="103" spans="1:6">
      <c r="A103" s="1286" t="s">
        <v>77</v>
      </c>
      <c r="B103" s="335">
        <v>282</v>
      </c>
    </row>
    <row r="104" spans="1:6">
      <c r="A104" s="1286" t="s">
        <v>78</v>
      </c>
      <c r="B104" s="335">
        <v>2006</v>
      </c>
    </row>
    <row r="105" spans="1:6">
      <c r="A105" s="1282" t="s">
        <v>79</v>
      </c>
      <c r="B105" s="1282">
        <v>12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4</v>
      </c>
      <c r="C123" s="335">
        <v>4</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42</v>
      </c>
    </row>
    <row r="130" spans="1:6">
      <c r="A130" s="1286" t="s">
        <v>295</v>
      </c>
      <c r="B130" s="335">
        <v>0</v>
      </c>
    </row>
    <row r="131" spans="1:6">
      <c r="A131" s="1286" t="s">
        <v>296</v>
      </c>
      <c r="B131" s="335">
        <v>0</v>
      </c>
    </row>
    <row r="132" spans="1:6">
      <c r="A132" s="1282" t="s">
        <v>297</v>
      </c>
      <c r="B132" s="338">
        <v>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89879.283381135232</v>
      </c>
      <c r="C3" s="44" t="s">
        <v>170</v>
      </c>
      <c r="D3" s="44"/>
      <c r="E3" s="157"/>
      <c r="F3" s="44"/>
      <c r="G3" s="44"/>
      <c r="H3" s="44"/>
      <c r="I3" s="44"/>
      <c r="J3" s="44"/>
      <c r="K3" s="97"/>
    </row>
    <row r="4" spans="1:11">
      <c r="A4" s="365" t="s">
        <v>171</v>
      </c>
      <c r="B4" s="50">
        <f>IF(ISERROR('SEAP template'!B78+'SEAP template'!C78),0,'SEAP template'!B78+'SEAP template'!C78)</f>
        <v>11233.687344822863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0.19337800736930513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10.392857142857141</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1366.24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1366.24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0.19337800736930513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264.20076878823943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26625.21440885208</v>
      </c>
      <c r="C5" s="18">
        <f>IF(ISERROR('Eigen informatie GS &amp; warmtenet'!B57),0,'Eigen informatie GS &amp; warmtenet'!B57)</f>
        <v>0</v>
      </c>
      <c r="D5" s="31">
        <f>(SUM(HH_hh_gas_kWh,HH_rest_gas_kWh)/1000)*0.902</f>
        <v>59148.177351999999</v>
      </c>
      <c r="E5" s="18">
        <f>B46*B57</f>
        <v>9876.1439980778778</v>
      </c>
      <c r="F5" s="18">
        <f>B51*B62</f>
        <v>11563.624216869403</v>
      </c>
      <c r="G5" s="19"/>
      <c r="H5" s="18"/>
      <c r="I5" s="18"/>
      <c r="J5" s="18">
        <f>B50*B61+C50*C61</f>
        <v>3919.3817376315524</v>
      </c>
      <c r="K5" s="18"/>
      <c r="L5" s="18"/>
      <c r="M5" s="18"/>
      <c r="N5" s="18">
        <f>B48*B59+C48*C59</f>
        <v>27405.266680141733</v>
      </c>
      <c r="O5" s="18">
        <f>B69*B70*B71</f>
        <v>73.476666666666674</v>
      </c>
      <c r="P5" s="18">
        <f>B77*B78*B79/1000-B77*B78*B79/1000/B80</f>
        <v>152.53333333333333</v>
      </c>
    </row>
    <row r="6" spans="1:16">
      <c r="A6" s="17" t="s">
        <v>639</v>
      </c>
      <c r="B6" s="780">
        <f>kWh_PV_kleiner_dan_10kW</f>
        <v>3178.1454578481876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29803.359866700266</v>
      </c>
      <c r="C8" s="22">
        <f>C5</f>
        <v>0</v>
      </c>
      <c r="D8" s="22">
        <f>D5</f>
        <v>59148.177351999999</v>
      </c>
      <c r="E8" s="22">
        <f>E5</f>
        <v>9876.1439980778778</v>
      </c>
      <c r="F8" s="22">
        <f>F5</f>
        <v>11563.624216869403</v>
      </c>
      <c r="G8" s="22"/>
      <c r="H8" s="22"/>
      <c r="I8" s="22"/>
      <c r="J8" s="22">
        <f>J5</f>
        <v>3919.3817376315524</v>
      </c>
      <c r="K8" s="22"/>
      <c r="L8" s="22">
        <f>L5</f>
        <v>0</v>
      </c>
      <c r="M8" s="22">
        <f>M5</f>
        <v>0</v>
      </c>
      <c r="N8" s="22">
        <f>N5</f>
        <v>27405.266680141733</v>
      </c>
      <c r="O8" s="22">
        <f>O5</f>
        <v>73.476666666666674</v>
      </c>
      <c r="P8" s="22">
        <f>P5</f>
        <v>152.53333333333333</v>
      </c>
    </row>
    <row r="9" spans="1:16">
      <c r="B9" s="20"/>
      <c r="C9" s="20"/>
      <c r="D9" s="262"/>
      <c r="E9" s="20"/>
      <c r="F9" s="20"/>
      <c r="G9" s="20"/>
      <c r="H9" s="20"/>
      <c r="I9" s="20"/>
      <c r="J9" s="20"/>
      <c r="K9" s="20"/>
      <c r="L9" s="20"/>
      <c r="M9" s="20"/>
      <c r="N9" s="20"/>
      <c r="O9" s="20"/>
      <c r="P9" s="20"/>
    </row>
    <row r="10" spans="1:16">
      <c r="A10" s="25" t="s">
        <v>214</v>
      </c>
      <c r="B10" s="26">
        <f ca="1">'EF ele_warmte'!B12</f>
        <v>0.19337800736930513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5763.3143439328169</v>
      </c>
      <c r="C12" s="24">
        <f ca="1">C10*C8</f>
        <v>0</v>
      </c>
      <c r="D12" s="24">
        <f>D8*D10</f>
        <v>11947.931825104</v>
      </c>
      <c r="E12" s="24">
        <f>E10*E8</f>
        <v>2241.8846875636782</v>
      </c>
      <c r="F12" s="24">
        <f>F10*F8</f>
        <v>3087.4876659041306</v>
      </c>
      <c r="G12" s="24"/>
      <c r="H12" s="24"/>
      <c r="I12" s="24"/>
      <c r="J12" s="24">
        <f>J10*J8</f>
        <v>1387.4611351215694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2561</v>
      </c>
      <c r="C18" s="169" t="s">
        <v>111</v>
      </c>
      <c r="D18" s="231"/>
      <c r="E18" s="16"/>
    </row>
    <row r="19" spans="1:7">
      <c r="A19" s="174" t="s">
        <v>72</v>
      </c>
      <c r="B19" s="38">
        <f>aantalw2001_ander</f>
        <v>4</v>
      </c>
      <c r="C19" s="169" t="s">
        <v>111</v>
      </c>
      <c r="D19" s="232"/>
      <c r="E19" s="16"/>
    </row>
    <row r="20" spans="1:7">
      <c r="A20" s="174" t="s">
        <v>73</v>
      </c>
      <c r="B20" s="38">
        <f>aantalw2001_propaan</f>
        <v>213</v>
      </c>
      <c r="C20" s="170">
        <f>IF(ISERROR(B20/SUM($B$20,$B$21,$B$22)*100),0,B20/SUM($B$20,$B$21,$B$22)*100)</f>
        <v>22.397476340694006</v>
      </c>
      <c r="D20" s="232"/>
      <c r="E20" s="16"/>
    </row>
    <row r="21" spans="1:7">
      <c r="A21" s="174" t="s">
        <v>74</v>
      </c>
      <c r="B21" s="38">
        <f>aantalw2001_elektriciteit</f>
        <v>556</v>
      </c>
      <c r="C21" s="170">
        <f>IF(ISERROR(B21/SUM($B$20,$B$21,$B$22)*100),0,B21/SUM($B$20,$B$21,$B$22)*100)</f>
        <v>58.464773922187177</v>
      </c>
      <c r="D21" s="232"/>
      <c r="E21" s="16"/>
    </row>
    <row r="22" spans="1:7">
      <c r="A22" s="174" t="s">
        <v>75</v>
      </c>
      <c r="B22" s="38">
        <f>aantalw2001_hout</f>
        <v>182</v>
      </c>
      <c r="C22" s="170">
        <f>IF(ISERROR(B22/SUM($B$20,$B$21,$B$22)*100),0,B22/SUM($B$20,$B$21,$B$22)*100)</f>
        <v>19.137749737118824</v>
      </c>
      <c r="D22" s="232"/>
      <c r="E22" s="16"/>
    </row>
    <row r="23" spans="1:7">
      <c r="A23" s="174" t="s">
        <v>76</v>
      </c>
      <c r="B23" s="38">
        <f>aantalw2001_niet_gespec</f>
        <v>108</v>
      </c>
      <c r="C23" s="169" t="s">
        <v>111</v>
      </c>
      <c r="D23" s="231"/>
      <c r="E23" s="16"/>
    </row>
    <row r="24" spans="1:7">
      <c r="A24" s="174" t="s">
        <v>77</v>
      </c>
      <c r="B24" s="38">
        <f>aantalw2001_steenkool</f>
        <v>282</v>
      </c>
      <c r="C24" s="169" t="s">
        <v>111</v>
      </c>
      <c r="D24" s="232"/>
      <c r="E24" s="16"/>
    </row>
    <row r="25" spans="1:7">
      <c r="A25" s="174" t="s">
        <v>78</v>
      </c>
      <c r="B25" s="38">
        <f>aantalw2001_stookolie</f>
        <v>2006</v>
      </c>
      <c r="C25" s="169" t="s">
        <v>111</v>
      </c>
      <c r="D25" s="231"/>
      <c r="E25" s="53"/>
    </row>
    <row r="26" spans="1:7">
      <c r="A26" s="174" t="s">
        <v>79</v>
      </c>
      <c r="B26" s="38">
        <f>aantalw2001_WP</f>
        <v>12</v>
      </c>
      <c r="C26" s="169" t="s">
        <v>111</v>
      </c>
      <c r="D26" s="231"/>
      <c r="E26" s="16"/>
    </row>
    <row r="27" spans="1:7" s="16" customFormat="1">
      <c r="A27" s="174"/>
      <c r="B27" s="30"/>
      <c r="C27" s="37"/>
      <c r="D27" s="231"/>
    </row>
    <row r="28" spans="1:7" s="16" customFormat="1">
      <c r="A28" s="233" t="s">
        <v>665</v>
      </c>
      <c r="B28" s="38">
        <f>aantalHuishoudens2011</f>
        <v>6858</v>
      </c>
      <c r="C28" s="37"/>
      <c r="D28" s="231"/>
    </row>
    <row r="29" spans="1:7" s="16" customFormat="1">
      <c r="A29" s="233" t="s">
        <v>666</v>
      </c>
      <c r="B29" s="38">
        <f>SUM(HH_hh_gas_aantal,HH_rest_gas_aantal)</f>
        <v>4139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4139</v>
      </c>
      <c r="C32" s="170">
        <f>IF(ISERROR(B32/SUM($B$32,$B$34,$B$35,$B$36,$B$38,$B$39)*100),0,B32/SUM($B$32,$B$34,$B$35,$B$36,$B$38,$B$39)*100)</f>
        <v>60.423357664233571</v>
      </c>
      <c r="D32" s="236"/>
      <c r="G32" s="16"/>
    </row>
    <row r="33" spans="1:7">
      <c r="A33" s="174" t="s">
        <v>72</v>
      </c>
      <c r="B33" s="35" t="s">
        <v>111</v>
      </c>
      <c r="C33" s="170"/>
      <c r="D33" s="236"/>
      <c r="G33" s="16"/>
    </row>
    <row r="34" spans="1:7">
      <c r="A34" s="174" t="s">
        <v>73</v>
      </c>
      <c r="B34" s="34">
        <f>IF((($B$28-$B$32-$B$39-$B$77-$B$38)*C20/100)&lt;0,0,($B$28-$B$32-$B$39-$B$77-$B$38)*C20/100)</f>
        <v>448.17350157728703</v>
      </c>
      <c r="C34" s="170">
        <f>IF(ISERROR(B34/SUM($B$32,$B$34,$B$35,$B$36,$B$38,$B$39)*100),0,B34/SUM($B$32,$B$34,$B$35,$B$36,$B$38,$B$39)*100)</f>
        <v>6.5426788551428752</v>
      </c>
      <c r="D34" s="236"/>
      <c r="G34" s="16"/>
    </row>
    <row r="35" spans="1:7">
      <c r="A35" s="174" t="s">
        <v>74</v>
      </c>
      <c r="B35" s="34">
        <f>IF((($B$28-$B$32-$B$39-$B$77-$B$38)*C21/100)&lt;0,0,($B$28-$B$32-$B$39-$B$77-$B$38)*C21/100)</f>
        <v>1169.8801261829653</v>
      </c>
      <c r="C35" s="170">
        <f>IF(ISERROR(B35/SUM($B$32,$B$34,$B$35,$B$36,$B$38,$B$39)*100),0,B35/SUM($B$32,$B$34,$B$35,$B$36,$B$38,$B$39)*100)</f>
        <v>17.078541988072484</v>
      </c>
      <c r="D35" s="236"/>
      <c r="G35" s="16"/>
    </row>
    <row r="36" spans="1:7">
      <c r="A36" s="174" t="s">
        <v>75</v>
      </c>
      <c r="B36" s="34">
        <f>IF((($B$28-$B$32-$B$39-$B$77-$B$38)*C22/100)&lt;0,0,($B$28-$B$32-$B$39-$B$77-$B$38)*C22/100)</f>
        <v>382.94637223974763</v>
      </c>
      <c r="C36" s="170">
        <f>IF(ISERROR(B36/SUM($B$32,$B$34,$B$35,$B$36,$B$38,$B$39)*100),0,B36/SUM($B$32,$B$34,$B$35,$B$36,$B$38,$B$39)*100)</f>
        <v>5.5904579889014245</v>
      </c>
      <c r="D36" s="236"/>
      <c r="G36" s="16"/>
    </row>
    <row r="37" spans="1:7">
      <c r="A37" s="174" t="s">
        <v>76</v>
      </c>
      <c r="B37" s="35" t="s">
        <v>111</v>
      </c>
      <c r="C37" s="170"/>
      <c r="D37" s="176"/>
      <c r="G37" s="16"/>
    </row>
    <row r="38" spans="1:7">
      <c r="A38" s="174" t="s">
        <v>77</v>
      </c>
      <c r="B38" s="34">
        <f>IF((B24-(B29-B18)*0.1)&lt;0,0,B24-(B29-B18)*0.1)</f>
        <v>124.19999999999999</v>
      </c>
      <c r="C38" s="170">
        <f>IF(ISERROR(B38/SUM($B$32,$B$34,$B$35,$B$36,$B$38,$B$39)*100),0,B38/SUM($B$32,$B$34,$B$35,$B$36,$B$38,$B$39)*100)</f>
        <v>1.8131386861313863</v>
      </c>
      <c r="D38" s="237"/>
      <c r="G38" s="16"/>
    </row>
    <row r="39" spans="1:7">
      <c r="A39" s="174" t="s">
        <v>78</v>
      </c>
      <c r="B39" s="34">
        <f>IF((B25-(B29-B18))&lt;0,0,B25-(B29-B18)*0.9)</f>
        <v>585.79999999999995</v>
      </c>
      <c r="C39" s="170">
        <f>IF(ISERROR(B39/SUM($B$32,$B$34,$B$35,$B$36,$B$38,$B$39)*100),0,B39/SUM($B$32,$B$34,$B$35,$B$36,$B$38,$B$39)*100)</f>
        <v>8.551824817518245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4139</v>
      </c>
      <c r="C44" s="35" t="s">
        <v>111</v>
      </c>
      <c r="D44" s="177"/>
    </row>
    <row r="45" spans="1:7">
      <c r="A45" s="174" t="s">
        <v>72</v>
      </c>
      <c r="B45" s="34" t="str">
        <f t="shared" si="0"/>
        <v>-</v>
      </c>
      <c r="C45" s="35" t="s">
        <v>111</v>
      </c>
      <c r="D45" s="177"/>
    </row>
    <row r="46" spans="1:7">
      <c r="A46" s="174" t="s">
        <v>73</v>
      </c>
      <c r="B46" s="34">
        <f t="shared" si="0"/>
        <v>448.17350157728703</v>
      </c>
      <c r="C46" s="35" t="s">
        <v>111</v>
      </c>
      <c r="D46" s="177"/>
    </row>
    <row r="47" spans="1:7">
      <c r="A47" s="174" t="s">
        <v>74</v>
      </c>
      <c r="B47" s="34">
        <f t="shared" si="0"/>
        <v>1169.8801261829653</v>
      </c>
      <c r="C47" s="35" t="s">
        <v>111</v>
      </c>
      <c r="D47" s="177"/>
    </row>
    <row r="48" spans="1:7">
      <c r="A48" s="174" t="s">
        <v>75</v>
      </c>
      <c r="B48" s="34">
        <f t="shared" si="0"/>
        <v>382.94637223974763</v>
      </c>
      <c r="C48" s="34">
        <f>B48*10</f>
        <v>3829.4637223974764</v>
      </c>
      <c r="D48" s="237"/>
    </row>
    <row r="49" spans="1:6">
      <c r="A49" s="174" t="s">
        <v>76</v>
      </c>
      <c r="B49" s="34" t="str">
        <f t="shared" si="0"/>
        <v>-</v>
      </c>
      <c r="C49" s="35" t="s">
        <v>111</v>
      </c>
      <c r="D49" s="237"/>
    </row>
    <row r="50" spans="1:6">
      <c r="A50" s="174" t="s">
        <v>77</v>
      </c>
      <c r="B50" s="34">
        <f t="shared" si="0"/>
        <v>124.19999999999999</v>
      </c>
      <c r="C50" s="34">
        <f>B50*2</f>
        <v>248.39999999999998</v>
      </c>
      <c r="D50" s="237"/>
    </row>
    <row r="51" spans="1:6">
      <c r="A51" s="174" t="s">
        <v>78</v>
      </c>
      <c r="B51" s="34">
        <f t="shared" si="0"/>
        <v>585.79999999999995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27525.468000000001</v>
      </c>
      <c r="C5" s="18">
        <f>IF(ISERROR('Eigen informatie GS &amp; warmtenet'!B58),0,'Eigen informatie GS &amp; warmtenet'!B58)</f>
        <v>0</v>
      </c>
      <c r="D5" s="31">
        <f>SUM(D6:D12)</f>
        <v>14450.029176</v>
      </c>
      <c r="E5" s="18">
        <f>SUM(E6:E12)</f>
        <v>257.20186587018719</v>
      </c>
      <c r="F5" s="18">
        <f>SUM(F6:F12)</f>
        <v>6417.7742585132082</v>
      </c>
      <c r="G5" s="19"/>
      <c r="H5" s="18"/>
      <c r="I5" s="18"/>
      <c r="J5" s="18">
        <f>SUM(J6:J12)</f>
        <v>0</v>
      </c>
      <c r="K5" s="18"/>
      <c r="L5" s="18"/>
      <c r="M5" s="18"/>
      <c r="N5" s="18">
        <f>SUM(N6:N12)</f>
        <v>5351.7220505011564</v>
      </c>
      <c r="O5" s="18">
        <f>B38*B39*B40</f>
        <v>0</v>
      </c>
      <c r="P5" s="18">
        <f>B46*B47*B48/1000-B46*B47*B48/1000/B49</f>
        <v>0</v>
      </c>
      <c r="R5" s="33"/>
    </row>
    <row r="6" spans="1:18">
      <c r="A6" s="33" t="s">
        <v>54</v>
      </c>
      <c r="B6" s="38">
        <f>B26</f>
        <v>4681.4610000000002</v>
      </c>
      <c r="C6" s="34"/>
      <c r="D6" s="38">
        <f>IF(ISERROR(TER_kantoor_gas_kWh/1000),0,TER_kantoor_gas_kWh/1000)*0.902</f>
        <v>3281.0114700000004</v>
      </c>
      <c r="E6" s="34">
        <f>$C$26*'E Balans VL '!I12/100/3.6*1000000</f>
        <v>7.6832263200826381</v>
      </c>
      <c r="F6" s="34">
        <f>$C$26*('E Balans VL '!L12+'E Balans VL '!N12)/100/3.6*1000000</f>
        <v>551.83410310425006</v>
      </c>
      <c r="G6" s="35"/>
      <c r="H6" s="34"/>
      <c r="I6" s="34"/>
      <c r="J6" s="34">
        <f>$C$26*('E Balans VL '!D12+'E Balans VL '!E12)/100/3.6*1000000</f>
        <v>0</v>
      </c>
      <c r="K6" s="34"/>
      <c r="L6" s="34"/>
      <c r="M6" s="34"/>
      <c r="N6" s="34">
        <f>$C$26*'E Balans VL '!Y12/100/3.6*1000000</f>
        <v>0.94586702651728483</v>
      </c>
      <c r="O6" s="34"/>
      <c r="P6" s="34"/>
      <c r="R6" s="33"/>
    </row>
    <row r="7" spans="1:18">
      <c r="A7" s="33" t="s">
        <v>53</v>
      </c>
      <c r="B7" s="38">
        <f t="shared" ref="B7:B12" si="0">B27</f>
        <v>2371.5659999999998</v>
      </c>
      <c r="C7" s="34"/>
      <c r="D7" s="38">
        <f>IF(ISERROR(TER_horeca_gas_kWh/1000),0,TER_horeca_gas_kWh/1000)*0.902</f>
        <v>2641.7054399999997</v>
      </c>
      <c r="E7" s="34">
        <f>$C$27*'E Balans VL '!I9/100/3.6*1000000</f>
        <v>123.06711438119189</v>
      </c>
      <c r="F7" s="34">
        <f>$C$27*('E Balans VL '!L9+'E Balans VL '!N9)/100/3.6*1000000</f>
        <v>541.19308201681827</v>
      </c>
      <c r="G7" s="35"/>
      <c r="H7" s="34"/>
      <c r="I7" s="34"/>
      <c r="J7" s="34">
        <f>$C$27*('E Balans VL '!D9+'E Balans VL '!E9)/100/3.6*1000000</f>
        <v>0</v>
      </c>
      <c r="K7" s="34"/>
      <c r="L7" s="34"/>
      <c r="M7" s="34"/>
      <c r="N7" s="34">
        <f>$C$27*'E Balans VL '!Y9/100/3.6*1000000</f>
        <v>0.25043628278246549</v>
      </c>
      <c r="O7" s="34"/>
      <c r="P7" s="34"/>
      <c r="R7" s="33"/>
    </row>
    <row r="8" spans="1:18">
      <c r="A8" s="6" t="s">
        <v>52</v>
      </c>
      <c r="B8" s="38">
        <f t="shared" si="0"/>
        <v>9243.0439999999999</v>
      </c>
      <c r="C8" s="34"/>
      <c r="D8" s="38">
        <f>IF(ISERROR(TER_handel_gas_kWh/1000),0,TER_handel_gas_kWh/1000)*0.902</f>
        <v>4618.8127700000005</v>
      </c>
      <c r="E8" s="34">
        <f>$C$28*'E Balans VL '!I13/100/3.6*1000000</f>
        <v>49.774927759145051</v>
      </c>
      <c r="F8" s="34">
        <f>$C$28*('E Balans VL '!L13+'E Balans VL '!N13)/100/3.6*1000000</f>
        <v>1884.9313501282745</v>
      </c>
      <c r="G8" s="35"/>
      <c r="H8" s="34"/>
      <c r="I8" s="34"/>
      <c r="J8" s="34">
        <f>$C$28*('E Balans VL '!D13+'E Balans VL '!E13)/100/3.6*1000000</f>
        <v>0</v>
      </c>
      <c r="K8" s="34"/>
      <c r="L8" s="34"/>
      <c r="M8" s="34"/>
      <c r="N8" s="34">
        <f>$C$28*'E Balans VL '!Y13/100/3.6*1000000</f>
        <v>45.960776700310298</v>
      </c>
      <c r="O8" s="34"/>
      <c r="P8" s="34"/>
      <c r="R8" s="33"/>
    </row>
    <row r="9" spans="1:18">
      <c r="A9" s="33" t="s">
        <v>51</v>
      </c>
      <c r="B9" s="38">
        <f t="shared" si="0"/>
        <v>928.81</v>
      </c>
      <c r="C9" s="34"/>
      <c r="D9" s="38">
        <f>IF(ISERROR(TER_gezond_gas_kWh/1000),0,TER_gezond_gas_kWh/1000)*0.902</f>
        <v>1239.45173</v>
      </c>
      <c r="E9" s="34">
        <f>$C$29*'E Balans VL '!I10/100/3.6*1000000</f>
        <v>0.92046127238360642</v>
      </c>
      <c r="F9" s="34">
        <f>$C$29*('E Balans VL '!L10+'E Balans VL '!N10)/100/3.6*1000000</f>
        <v>322.27029807883753</v>
      </c>
      <c r="G9" s="35"/>
      <c r="H9" s="34"/>
      <c r="I9" s="34"/>
      <c r="J9" s="34">
        <f>$C$29*('E Balans VL '!D10+'E Balans VL '!E10)/100/3.6*1000000</f>
        <v>0</v>
      </c>
      <c r="K9" s="34"/>
      <c r="L9" s="34"/>
      <c r="M9" s="34"/>
      <c r="N9" s="34">
        <f>$C$29*'E Balans VL '!Y10/100/3.6*1000000</f>
        <v>8.0034753075754619</v>
      </c>
      <c r="O9" s="34"/>
      <c r="P9" s="34"/>
      <c r="R9" s="33"/>
    </row>
    <row r="10" spans="1:18">
      <c r="A10" s="33" t="s">
        <v>50</v>
      </c>
      <c r="B10" s="38">
        <f t="shared" si="0"/>
        <v>9175.2250000000004</v>
      </c>
      <c r="C10" s="34"/>
      <c r="D10" s="38">
        <f>IF(ISERROR(TER_ander_gas_kWh/1000),0,TER_ander_gas_kWh/1000)*0.902</f>
        <v>1366.978294</v>
      </c>
      <c r="E10" s="34">
        <f>$C$30*'E Balans VL '!I14/100/3.6*1000000</f>
        <v>75.062510484321066</v>
      </c>
      <c r="F10" s="34">
        <f>$C$30*('E Balans VL '!L14+'E Balans VL '!N14)/100/3.6*1000000</f>
        <v>2682.4622511195785</v>
      </c>
      <c r="G10" s="35"/>
      <c r="H10" s="34"/>
      <c r="I10" s="34"/>
      <c r="J10" s="34">
        <f>$C$30*('E Balans VL '!D14+'E Balans VL '!E14)/100/3.6*1000000</f>
        <v>0</v>
      </c>
      <c r="K10" s="34"/>
      <c r="L10" s="34"/>
      <c r="M10" s="34"/>
      <c r="N10" s="34">
        <f>$C$30*'E Balans VL '!Y14/100/3.6*1000000</f>
        <v>5292.9009337578982</v>
      </c>
      <c r="O10" s="34"/>
      <c r="P10" s="34"/>
      <c r="R10" s="33"/>
    </row>
    <row r="11" spans="1:18">
      <c r="A11" s="33" t="s">
        <v>55</v>
      </c>
      <c r="B11" s="38">
        <f t="shared" si="0"/>
        <v>1125.3620000000001</v>
      </c>
      <c r="C11" s="34"/>
      <c r="D11" s="38">
        <f>IF(ISERROR(TER_onderwijs_gas_kWh/1000),0,TER_onderwijs_gas_kWh/1000)*0.902</f>
        <v>1302.0694720000001</v>
      </c>
      <c r="E11" s="34">
        <f>$C$31*'E Balans VL '!I11/100/3.6*1000000</f>
        <v>0.69362565306294821</v>
      </c>
      <c r="F11" s="34">
        <f>$C$31*('E Balans VL '!L11+'E Balans VL '!N11)/100/3.6*1000000</f>
        <v>435.08317406544938</v>
      </c>
      <c r="G11" s="35"/>
      <c r="H11" s="34"/>
      <c r="I11" s="34"/>
      <c r="J11" s="34">
        <f>$C$31*('E Balans VL '!D11+'E Balans VL '!E11)/100/3.6*1000000</f>
        <v>0</v>
      </c>
      <c r="K11" s="34"/>
      <c r="L11" s="34"/>
      <c r="M11" s="34"/>
      <c r="N11" s="34">
        <f>$C$31*'E Balans VL '!Y11/100/3.6*1000000</f>
        <v>3.6605614260725123</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27525.468000000001</v>
      </c>
      <c r="C16" s="22">
        <f t="shared" ca="1" si="1"/>
        <v>0</v>
      </c>
      <c r="D16" s="22">
        <f t="shared" ca="1" si="1"/>
        <v>14450.029176</v>
      </c>
      <c r="E16" s="22">
        <f t="shared" si="1"/>
        <v>257.20186587018719</v>
      </c>
      <c r="F16" s="22">
        <f t="shared" ca="1" si="1"/>
        <v>6417.7742585132082</v>
      </c>
      <c r="G16" s="22">
        <f t="shared" si="1"/>
        <v>0</v>
      </c>
      <c r="H16" s="22">
        <f t="shared" si="1"/>
        <v>0</v>
      </c>
      <c r="I16" s="22">
        <f t="shared" si="1"/>
        <v>0</v>
      </c>
      <c r="J16" s="22">
        <f t="shared" si="1"/>
        <v>0</v>
      </c>
      <c r="K16" s="22">
        <f t="shared" si="1"/>
        <v>0</v>
      </c>
      <c r="L16" s="22">
        <f t="shared" ca="1" si="1"/>
        <v>0</v>
      </c>
      <c r="M16" s="22">
        <f t="shared" si="1"/>
        <v>0</v>
      </c>
      <c r="N16" s="22">
        <f t="shared" ca="1" si="1"/>
        <v>5351.7220505011564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0.19337800736930513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5322.8201537475725</v>
      </c>
      <c r="C20" s="24">
        <f t="shared" ref="C20:P20" ca="1" si="2">C16*C18</f>
        <v>0</v>
      </c>
      <c r="D20" s="24">
        <f t="shared" ca="1" si="2"/>
        <v>2918.9058935520002</v>
      </c>
      <c r="E20" s="24">
        <f t="shared" si="2"/>
        <v>58.384823552532495</v>
      </c>
      <c r="F20" s="24">
        <f t="shared" ca="1" si="2"/>
        <v>1713.5457270230268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4681.4610000000002</v>
      </c>
      <c r="C26" s="40">
        <f>IF(ISERROR(B26*3.6/1000000/'E Balans VL '!Z12*100),0,B26*3.6/1000000/'E Balans VL '!Z12*100)</f>
        <v>9.9477689028987015E-2</v>
      </c>
      <c r="D26" s="240" t="s">
        <v>707</v>
      </c>
      <c r="F26" s="6"/>
    </row>
    <row r="27" spans="1:18">
      <c r="A27" s="234" t="s">
        <v>53</v>
      </c>
      <c r="B27" s="34">
        <f>IF(ISERROR(TER_horeca_ele_kWh/1000),0,TER_horeca_ele_kWh/1000)</f>
        <v>2371.5659999999998</v>
      </c>
      <c r="C27" s="40">
        <f>IF(ISERROR(B27*3.6/1000000/'E Balans VL '!Z9*100),0,B27*3.6/1000000/'E Balans VL '!Z9*100)</f>
        <v>0.18666058344034697</v>
      </c>
      <c r="D27" s="240" t="s">
        <v>707</v>
      </c>
      <c r="F27" s="6"/>
    </row>
    <row r="28" spans="1:18">
      <c r="A28" s="174" t="s">
        <v>52</v>
      </c>
      <c r="B28" s="34">
        <f>IF(ISERROR(TER_handel_ele_kWh/1000),0,TER_handel_ele_kWh/1000)</f>
        <v>9243.0439999999999</v>
      </c>
      <c r="C28" s="40">
        <f>IF(ISERROR(B28*3.6/1000000/'E Balans VL '!Z13*100),0,B28*3.6/1000000/'E Balans VL '!Z13*100)</f>
        <v>0.25890260912185531</v>
      </c>
      <c r="D28" s="240" t="s">
        <v>707</v>
      </c>
      <c r="F28" s="6"/>
    </row>
    <row r="29" spans="1:18">
      <c r="A29" s="234" t="s">
        <v>51</v>
      </c>
      <c r="B29" s="34">
        <f>IF(ISERROR(TER_gezond_ele_kWh/1000),0,TER_gezond_ele_kWh/1000)</f>
        <v>928.81</v>
      </c>
      <c r="C29" s="40">
        <f>IF(ISERROR(B29*3.6/1000000/'E Balans VL '!Z10*100),0,B29*3.6/1000000/'E Balans VL '!Z10*100)</f>
        <v>0.11882288508325008</v>
      </c>
      <c r="D29" s="240" t="s">
        <v>707</v>
      </c>
      <c r="F29" s="6"/>
    </row>
    <row r="30" spans="1:18">
      <c r="A30" s="234" t="s">
        <v>50</v>
      </c>
      <c r="B30" s="34">
        <f>IF(ISERROR(TER_ander_ele_kWh/1000),0,TER_ander_ele_kWh/1000)</f>
        <v>9175.2250000000004</v>
      </c>
      <c r="C30" s="40">
        <f>IF(ISERROR(B30*3.6/1000000/'E Balans VL '!Z14*100),0,B30*3.6/1000000/'E Balans VL '!Z14*100)</f>
        <v>0.68622951820359812</v>
      </c>
      <c r="D30" s="240" t="s">
        <v>707</v>
      </c>
      <c r="F30" s="6"/>
    </row>
    <row r="31" spans="1:18">
      <c r="A31" s="234" t="s">
        <v>55</v>
      </c>
      <c r="B31" s="34">
        <f>IF(ISERROR(TER_onderwijs_ele_kWh/1000),0,TER_onderwijs_ele_kWh/1000)</f>
        <v>1125.3620000000001</v>
      </c>
      <c r="C31" s="40">
        <f>IF(ISERROR(B31*3.6/1000000/'E Balans VL '!Z11*100),0,B31*3.6/1000000/'E Balans VL '!Z11*100)</f>
        <v>0.23762164401639158</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20796.96</v>
      </c>
      <c r="C5" s="18">
        <f>IF(ISERROR('Eigen informatie GS &amp; warmtenet'!B59),0,'Eigen informatie GS &amp; warmtenet'!B59)</f>
        <v>0</v>
      </c>
      <c r="D5" s="31">
        <f>SUM(D6:D15)</f>
        <v>10862.528929999999</v>
      </c>
      <c r="E5" s="18">
        <f>SUM(E6:E15)</f>
        <v>169.27696485875302</v>
      </c>
      <c r="F5" s="18">
        <f>SUM(F6:F15)</f>
        <v>9286.8339633510714</v>
      </c>
      <c r="G5" s="19"/>
      <c r="H5" s="18"/>
      <c r="I5" s="18"/>
      <c r="J5" s="18">
        <f>SUM(J6:J15)</f>
        <v>69.121454135133291</v>
      </c>
      <c r="K5" s="18"/>
      <c r="L5" s="18"/>
      <c r="M5" s="18"/>
      <c r="N5" s="18">
        <f>SUM(N6:N15)</f>
        <v>917.425320146535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4032.33</v>
      </c>
      <c r="C8" s="34"/>
      <c r="D8" s="38">
        <f>IF( ISERROR(IND_metaal_Gas_kWH/1000),0,IND_metaal_Gas_kWH/1000)*0.902</f>
        <v>1251.6954780000001</v>
      </c>
      <c r="E8" s="34">
        <f>C30*'E Balans VL '!I18/100/3.6*1000000</f>
        <v>36.721702634316848</v>
      </c>
      <c r="F8" s="34">
        <f>C30*'E Balans VL '!L18/100/3.6*1000000+C30*'E Balans VL '!N18/100/3.6*1000000</f>
        <v>531.83370496002999</v>
      </c>
      <c r="G8" s="35"/>
      <c r="H8" s="34"/>
      <c r="I8" s="34"/>
      <c r="J8" s="41">
        <f>C30*'E Balans VL '!D18/100/3.6*1000000+C30*'E Balans VL '!E18/100/3.6*1000000</f>
        <v>66.124357267662617</v>
      </c>
      <c r="K8" s="34"/>
      <c r="L8" s="34"/>
      <c r="M8" s="34"/>
      <c r="N8" s="34">
        <f>C30*'E Balans VL '!Y18/100/3.6*1000000</f>
        <v>13.857516371016528</v>
      </c>
      <c r="O8" s="34"/>
      <c r="P8" s="34"/>
      <c r="R8" s="33"/>
    </row>
    <row r="9" spans="1:18">
      <c r="A9" s="6" t="s">
        <v>33</v>
      </c>
      <c r="B9" s="38">
        <f t="shared" si="0"/>
        <v>9990.3629999999994</v>
      </c>
      <c r="C9" s="34"/>
      <c r="D9" s="38">
        <f>IF( ISERROR(IND_andere_gas_kWh/1000),0,IND_andere_gas_kWh/1000)*0.902</f>
        <v>8103.3443040000002</v>
      </c>
      <c r="E9" s="34">
        <f>C31*'E Balans VL '!I19/100/3.6*1000000</f>
        <v>57.745791076265142</v>
      </c>
      <c r="F9" s="34">
        <f>C31*'E Balans VL '!L19/100/3.6*1000000+C31*'E Balans VL '!N19/100/3.6*1000000</f>
        <v>7947.814483744879</v>
      </c>
      <c r="G9" s="35"/>
      <c r="H9" s="34"/>
      <c r="I9" s="34"/>
      <c r="J9" s="41">
        <f>C31*'E Balans VL '!D19/100/3.6*1000000+C31*'E Balans VL '!E19/100/3.6*1000000</f>
        <v>0.94497736999088233</v>
      </c>
      <c r="K9" s="34"/>
      <c r="L9" s="34"/>
      <c r="M9" s="34"/>
      <c r="N9" s="34">
        <f>C31*'E Balans VL '!Y19/100/3.6*1000000</f>
        <v>756.9211844828227</v>
      </c>
      <c r="O9" s="34"/>
      <c r="P9" s="34"/>
      <c r="R9" s="33"/>
    </row>
    <row r="10" spans="1:18">
      <c r="A10" s="6" t="s">
        <v>41</v>
      </c>
      <c r="B10" s="38">
        <f t="shared" si="0"/>
        <v>6279.0739999999996</v>
      </c>
      <c r="C10" s="34"/>
      <c r="D10" s="38">
        <f>IF( ISERROR(IND_voed_gas_kWh/1000),0,IND_voed_gas_kWh/1000)*0.902</f>
        <v>1179.204444</v>
      </c>
      <c r="E10" s="34">
        <f>C32*'E Balans VL '!I20/100/3.6*1000000</f>
        <v>61.739724427700239</v>
      </c>
      <c r="F10" s="34">
        <f>C32*'E Balans VL '!L20/100/3.6*1000000+C32*'E Balans VL '!N20/100/3.6*1000000</f>
        <v>697.37312622003014</v>
      </c>
      <c r="G10" s="35"/>
      <c r="H10" s="34"/>
      <c r="I10" s="34"/>
      <c r="J10" s="41">
        <f>C32*'E Balans VL '!D20/100/3.6*1000000+C32*'E Balans VL '!E20/100/3.6*1000000</f>
        <v>2.4748681162073152E-2</v>
      </c>
      <c r="K10" s="34"/>
      <c r="L10" s="34"/>
      <c r="M10" s="34"/>
      <c r="N10" s="34">
        <f>C32*'E Balans VL '!Y20/100/3.6*1000000</f>
        <v>92.978316001086284</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306.98200000000003</v>
      </c>
      <c r="C12" s="34"/>
      <c r="D12" s="38">
        <f>IF( ISERROR(IND_min_gas_kWh/1000),0,IND_min_gas_kWh/1000)*0.902</f>
        <v>0</v>
      </c>
      <c r="E12" s="34">
        <f>C34*'E Balans VL '!I22/100/3.6*1000000</f>
        <v>7.7825399729579967</v>
      </c>
      <c r="F12" s="34">
        <f>C34*'E Balans VL '!L22/100/3.6*1000000+C34*'E Balans VL '!N22/100/3.6*1000000</f>
        <v>84.942989413474322</v>
      </c>
      <c r="G12" s="35"/>
      <c r="H12" s="34"/>
      <c r="I12" s="34"/>
      <c r="J12" s="41">
        <f>C34*'E Balans VL '!D22/100/3.6*1000000+C34*'E Balans VL '!E22/100/3.6*1000000</f>
        <v>2.027370816317728</v>
      </c>
      <c r="K12" s="34"/>
      <c r="L12" s="34"/>
      <c r="M12" s="34"/>
      <c r="N12" s="34">
        <f>C34*'E Balans VL '!Y22/100/3.6*1000000</f>
        <v>0</v>
      </c>
      <c r="O12" s="34"/>
      <c r="P12" s="34"/>
      <c r="R12" s="33"/>
    </row>
    <row r="13" spans="1:18">
      <c r="A13" s="6" t="s">
        <v>39</v>
      </c>
      <c r="B13" s="38">
        <f t="shared" si="0"/>
        <v>145.815</v>
      </c>
      <c r="C13" s="34"/>
      <c r="D13" s="38">
        <f>IF( ISERROR(IND_papier_gas_kWh/1000),0,IND_papier_gas_kWh/1000)*0.902</f>
        <v>105.504234</v>
      </c>
      <c r="E13" s="34">
        <f>C35*'E Balans VL '!I23/100/3.6*1000000</f>
        <v>4.9666703180812917</v>
      </c>
      <c r="F13" s="34">
        <f>C35*'E Balans VL '!L23/100/3.6*1000000+C35*'E Balans VL '!N23/100/3.6*1000000</f>
        <v>24.085215795614893</v>
      </c>
      <c r="G13" s="35"/>
      <c r="H13" s="34"/>
      <c r="I13" s="34"/>
      <c r="J13" s="41">
        <f>C35*'E Balans VL '!D23/100/3.6*1000000+C35*'E Balans VL '!E23/100/3.6*1000000</f>
        <v>0</v>
      </c>
      <c r="K13" s="34"/>
      <c r="L13" s="34"/>
      <c r="M13" s="34"/>
      <c r="N13" s="34">
        <f>C35*'E Balans VL '!Y23/100/3.6*1000000</f>
        <v>53.656009544838689</v>
      </c>
      <c r="O13" s="34"/>
      <c r="P13" s="34"/>
      <c r="R13" s="33"/>
    </row>
    <row r="14" spans="1:18">
      <c r="A14" s="6" t="s">
        <v>34</v>
      </c>
      <c r="B14" s="38">
        <f t="shared" si="0"/>
        <v>42.396000000000001</v>
      </c>
      <c r="C14" s="34"/>
      <c r="D14" s="38">
        <f>IF( ISERROR(IND_chemie_gas_kWh/1000),0,IND_chemie_gas_kWh/1000)*0.902</f>
        <v>0</v>
      </c>
      <c r="E14" s="34">
        <f>C36*'E Balans VL '!I24/100/3.6*1000000</f>
        <v>0.3205364294314979</v>
      </c>
      <c r="F14" s="34">
        <f>C36*'E Balans VL '!L24/100/3.6*1000000+C36*'E Balans VL '!N24/100/3.6*1000000</f>
        <v>0.78444321704381448</v>
      </c>
      <c r="G14" s="35"/>
      <c r="H14" s="34"/>
      <c r="I14" s="34"/>
      <c r="J14" s="41">
        <f>C36*'E Balans VL '!D24/100/3.6*1000000+C36*'E Balans VL '!E24/100/3.6*1000000</f>
        <v>0</v>
      </c>
      <c r="K14" s="34"/>
      <c r="L14" s="34"/>
      <c r="M14" s="34"/>
      <c r="N14" s="34">
        <f>C36*'E Balans VL '!Y24/100/3.6*1000000</f>
        <v>1.2293746770873569E-2</v>
      </c>
      <c r="O14" s="34"/>
      <c r="P14" s="34"/>
      <c r="R14" s="33"/>
    </row>
    <row r="15" spans="1:18">
      <c r="A15" s="6" t="s">
        <v>270</v>
      </c>
      <c r="B15" s="38">
        <f t="shared" si="0"/>
        <v>0</v>
      </c>
      <c r="C15" s="34"/>
      <c r="D15" s="38">
        <f>IF( ISERROR(IND_rest_gas_kWh/1000),0,IND_rest_gas_kWh/1000)*0.902</f>
        <v>222.78047000000001</v>
      </c>
      <c r="E15" s="34">
        <f>C37*'E Balans VL '!I15/100/3.6*1000000</f>
        <v>0</v>
      </c>
      <c r="F15" s="34">
        <f>C37*'E Balans VL '!L15/100/3.6*1000000+C37*'E Balans VL '!N15/100/3.6*1000000</f>
        <v>0</v>
      </c>
      <c r="G15" s="35"/>
      <c r="H15" s="34"/>
      <c r="I15" s="34"/>
      <c r="J15" s="41">
        <f>C37*'E Balans VL '!D15/100/3.6*1000000+C37*'E Balans VL '!E15/100/3.6*1000000</f>
        <v>0</v>
      </c>
      <c r="K15" s="34"/>
      <c r="L15" s="34"/>
      <c r="M15" s="34"/>
      <c r="N15" s="34">
        <f>C37*'E Balans VL '!Y15/100/3.6*1000000</f>
        <v>0</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20796.96</v>
      </c>
      <c r="C18" s="22">
        <f>C5+C16</f>
        <v>0</v>
      </c>
      <c r="D18" s="22">
        <f>MAX((D5+D16),0)</f>
        <v>10862.528929999999</v>
      </c>
      <c r="E18" s="22">
        <f>MAX((E5+E16),0)</f>
        <v>169.27696485875302</v>
      </c>
      <c r="F18" s="22">
        <f>MAX((F5+F16),0)</f>
        <v>9286.8339633510714</v>
      </c>
      <c r="G18" s="22"/>
      <c r="H18" s="22"/>
      <c r="I18" s="22"/>
      <c r="J18" s="22">
        <f>MAX((J5+J16),0)</f>
        <v>69.121454135133291</v>
      </c>
      <c r="K18" s="22"/>
      <c r="L18" s="22">
        <f>MAX((L5+L16),0)</f>
        <v>0</v>
      </c>
      <c r="M18" s="22"/>
      <c r="N18" s="22">
        <f>MAX((N5+N16),0)</f>
        <v>917.425320146535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0.19337800736930513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4021.6746841391441</v>
      </c>
      <c r="C22" s="24">
        <f ca="1">C18*C20</f>
        <v>0</v>
      </c>
      <c r="D22" s="24">
        <f>D18*D20</f>
        <v>2194.2308438599998</v>
      </c>
      <c r="E22" s="24">
        <f>E18*E20</f>
        <v>38.425871022936938</v>
      </c>
      <c r="F22" s="24">
        <f>F18*F20</f>
        <v>2479.5846682147362</v>
      </c>
      <c r="G22" s="24"/>
      <c r="H22" s="24"/>
      <c r="I22" s="24"/>
      <c r="J22" s="24">
        <f>J18*J20</f>
        <v>24.468994763837184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4032.33</v>
      </c>
      <c r="C30" s="40">
        <f>IF(ISERROR(B30*3.6/1000000/'E Balans VL '!Z18*100),0,B30*3.6/1000000/'E Balans VL '!Z18*100)</f>
        <v>0.22437220054063378</v>
      </c>
      <c r="D30" s="240" t="s">
        <v>707</v>
      </c>
    </row>
    <row r="31" spans="1:18">
      <c r="A31" s="6" t="s">
        <v>33</v>
      </c>
      <c r="B31" s="38">
        <f>IF( ISERROR(IND_ander_ele_kWh/1000),0,IND_ander_ele_kWh/1000)</f>
        <v>9990.3629999999994</v>
      </c>
      <c r="C31" s="40">
        <f>IF(ISERROR(B31*3.6/1000000/'E Balans VL '!Z19*100),0,B31*3.6/1000000/'E Balans VL '!Z19*100)</f>
        <v>0.46442573815251559</v>
      </c>
      <c r="D31" s="240" t="s">
        <v>707</v>
      </c>
    </row>
    <row r="32" spans="1:18">
      <c r="A32" s="174" t="s">
        <v>41</v>
      </c>
      <c r="B32" s="38">
        <f>IF( ISERROR(IND_voed_ele_kWh/1000),0,IND_voed_ele_kWh/1000)</f>
        <v>6279.0739999999996</v>
      </c>
      <c r="C32" s="40">
        <f>IF(ISERROR(B32*3.6/1000000/'E Balans VL '!Z20*100),0,B32*3.6/1000000/'E Balans VL '!Z20*100)</f>
        <v>0.22195258477300567</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306.98200000000003</v>
      </c>
      <c r="C34" s="40">
        <f>IF(ISERROR(B34*3.6/1000000/'E Balans VL '!Z22*100),0,B34*3.6/1000000/'E Balans VL '!Z22*100)</f>
        <v>6.1694725400055446E-2</v>
      </c>
      <c r="D34" s="240" t="s">
        <v>707</v>
      </c>
    </row>
    <row r="35" spans="1:5">
      <c r="A35" s="174" t="s">
        <v>39</v>
      </c>
      <c r="B35" s="38">
        <f>IF( ISERROR(IND_papier_ele_kWh/1000),0,IND_papier_ele_kWh/1000)</f>
        <v>145.815</v>
      </c>
      <c r="C35" s="40">
        <f>IF(ISERROR(B35*3.6/1000000/'E Balans VL '!Z22*100),0,B35*3.6/1000000/'E Balans VL '!Z22*100)</f>
        <v>2.9304703155914956E-2</v>
      </c>
      <c r="D35" s="240" t="s">
        <v>707</v>
      </c>
    </row>
    <row r="36" spans="1:5">
      <c r="A36" s="174" t="s">
        <v>34</v>
      </c>
      <c r="B36" s="38">
        <f>IF( ISERROR(IND_chemie_ele_kWh/1000),0,IND_chemie_ele_kWh/1000)</f>
        <v>42.396000000000001</v>
      </c>
      <c r="C36" s="40">
        <f>IF(ISERROR(B36*3.6/1000000/'E Balans VL '!Z24*100),0,B36*3.6/1000000/'E Balans VL '!Z24*100)</f>
        <v>1.0440109898452218E-3</v>
      </c>
      <c r="D36" s="240" t="s">
        <v>707</v>
      </c>
    </row>
    <row r="37" spans="1:5">
      <c r="A37" s="174" t="s">
        <v>270</v>
      </c>
      <c r="B37" s="38">
        <f>IF( ISERROR(IND_rest_ele_kWh/1000),0,IND_rest_ele_kWh/1000)</f>
        <v>0</v>
      </c>
      <c r="C37" s="40">
        <f>IF(ISERROR(B37*3.6/1000000/'E Balans VL '!Z15*100),0,B37*3.6/1000000/'E Balans VL '!Z15*100)</f>
        <v>0</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9793.331273988988</v>
      </c>
      <c r="C5" s="18">
        <f>'Eigen informatie GS &amp; warmtenet'!B60</f>
        <v>0</v>
      </c>
      <c r="D5" s="31">
        <f>IF(ISERROR(SUM(LB_lb_gas_kWh,LB_rest_gas_kWh)/1000),0,SUM(LB_lb_gas_kWh,LB_rest_gas_kWh)/1000)*0.902</f>
        <v>1762.690204</v>
      </c>
      <c r="E5" s="18">
        <f>B17*'E Balans VL '!I25/3.6*1000000/100</f>
        <v>92.259742348175465</v>
      </c>
      <c r="F5" s="18">
        <f>B17*('E Balans VL '!L25/3.6*1000000+'E Balans VL '!N25/3.6*1000000)/100</f>
        <v>31958.890068239652</v>
      </c>
      <c r="G5" s="19"/>
      <c r="H5" s="18"/>
      <c r="I5" s="18"/>
      <c r="J5" s="18">
        <f>('E Balans VL '!D25+'E Balans VL '!E25)/3.6*1000000*landbouw!B17/100</f>
        <v>1211.4827133466042</v>
      </c>
      <c r="K5" s="18"/>
      <c r="L5" s="18">
        <f>L6*(-1)</f>
        <v>0</v>
      </c>
      <c r="M5" s="18"/>
      <c r="N5" s="18">
        <f>N6*(-1)</f>
        <v>5240.7857142857147</v>
      </c>
      <c r="O5" s="18"/>
      <c r="P5" s="18"/>
      <c r="R5" s="33"/>
    </row>
    <row r="6" spans="1:18">
      <c r="A6" s="17" t="s">
        <v>502</v>
      </c>
      <c r="B6" s="18" t="s">
        <v>211</v>
      </c>
      <c r="C6" s="18">
        <f>'lokale energieproductie'!O92+'lokale energieproductie'!O61</f>
        <v>10.392857142857141</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-5240.7857142857147</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9793.331273988988</v>
      </c>
      <c r="C8" s="22">
        <f>C5+C6</f>
        <v>10.392857142857141</v>
      </c>
      <c r="D8" s="22">
        <f>MAX((D5+D6),0)</f>
        <v>1762.690204</v>
      </c>
      <c r="E8" s="22">
        <f>MAX((E5+E6),0)</f>
        <v>92.259742348175465</v>
      </c>
      <c r="F8" s="22">
        <f>MAX((F5+F6),0)</f>
        <v>31958.890068239652</v>
      </c>
      <c r="G8" s="22"/>
      <c r="H8" s="22"/>
      <c r="I8" s="22"/>
      <c r="J8" s="22">
        <f>MAX((J5+J6),0)</f>
        <v>1211.4827133466042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0.19337800736930513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1893.8148872714889</v>
      </c>
      <c r="C12" s="24">
        <f ca="1">C8*C10</f>
        <v>0</v>
      </c>
      <c r="D12" s="24">
        <f>D8*D10</f>
        <v>356.06342120800002</v>
      </c>
      <c r="E12" s="24">
        <f>E8*E10</f>
        <v>20.942961513035833</v>
      </c>
      <c r="F12" s="24">
        <f>F8*F10</f>
        <v>8533.0236482199871</v>
      </c>
      <c r="G12" s="24"/>
      <c r="H12" s="24"/>
      <c r="I12" s="24"/>
      <c r="J12" s="24">
        <f>J8*J10</f>
        <v>428.86488052469787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1.3258605620669393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2165.1280747045735</v>
      </c>
      <c r="C26" s="250">
        <f>B26*'GWP N2O_CH4'!B5</f>
        <v>45467.689568796042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1098.4578974039362</v>
      </c>
      <c r="C27" s="250">
        <f>B27*'GWP N2O_CH4'!B5</f>
        <v>23067.615845482658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29.760341470855842</v>
      </c>
      <c r="C28" s="250">
        <f>B28*'GWP N2O_CH4'!B4</f>
        <v>9225.7058559653105</v>
      </c>
      <c r="D28" s="51"/>
    </row>
    <row r="29" spans="1:4">
      <c r="A29" s="42" t="s">
        <v>277</v>
      </c>
      <c r="B29" s="250">
        <f>B34*'ha_N2O bodem landbouw'!B4</f>
        <v>68.203001786301016</v>
      </c>
      <c r="C29" s="250">
        <f>B29*'GWP N2O_CH4'!B4</f>
        <v>21142.930553753315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1.8412663433605866E-2</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1.1373265605602592E-5</v>
      </c>
      <c r="C5" s="447" t="s">
        <v>211</v>
      </c>
      <c r="D5" s="432">
        <f>SUM(D6:D11)</f>
        <v>3.1129017480291262E-5</v>
      </c>
      <c r="E5" s="432">
        <f>SUM(E6:E11)</f>
        <v>1.8080535253944552E-3</v>
      </c>
      <c r="F5" s="445" t="s">
        <v>211</v>
      </c>
      <c r="G5" s="432">
        <f>SUM(G6:G11)</f>
        <v>0.38082543798829815</v>
      </c>
      <c r="H5" s="432">
        <f>SUM(H6:H11)</f>
        <v>6.9232331982143833E-2</v>
      </c>
      <c r="I5" s="447" t="s">
        <v>211</v>
      </c>
      <c r="J5" s="447" t="s">
        <v>211</v>
      </c>
      <c r="K5" s="447" t="s">
        <v>211</v>
      </c>
      <c r="L5" s="447" t="s">
        <v>211</v>
      </c>
      <c r="M5" s="432">
        <f>SUM(M6:M11)</f>
        <v>2.0125182310682044E-2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9.6431668219428282E-6</v>
      </c>
      <c r="C6" s="433"/>
      <c r="D6" s="433">
        <f>vkm_2011_GW_PW*SUMIFS(TableVerdeelsleutelVkm[CNG],TableVerdeelsleutelVkm[Voertuigtype],"Lichte voertuigen")*SUMIFS(TableECFTransport[EnergieConsumptieFactor (PJ per km)],TableECFTransport[Index],CONCATENATE($A6,"_CNG_CNG"))</f>
        <v>2.3548774874325649E-5</v>
      </c>
      <c r="E6" s="435">
        <f>vkm_2011_GW_PW*SUMIFS(TableVerdeelsleutelVkm[LPG],TableVerdeelsleutelVkm[Voertuigtype],"Lichte voertuigen")*SUMIFS(TableECFTransport[EnergieConsumptieFactor (PJ per km)],TableECFTransport[Index],CONCATENATE($A6,"_LPG_LPG"))</f>
        <v>1.3958496777542325E-3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0.20178649096409917</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5.2882442063192411E-2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1.1404543822568041E-2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0.11428017760003444</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4.610759625198491E-5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5.0911465540421606E-3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1.7300987836597636E-6</v>
      </c>
      <c r="C8" s="433"/>
      <c r="D8" s="435">
        <f>vkm_2011_NGW_PW*SUMIFS(TableVerdeelsleutelVkm[CNG],TableVerdeelsleutelVkm[Voertuigtype],"Lichte voertuigen")*SUMIFS(TableECFTransport[EnergieConsumptieFactor (PJ per km)],TableECFTransport[Index],CONCATENATE($A8,"_CNG_CNG"))</f>
        <v>7.5802426059656118E-6</v>
      </c>
      <c r="E8" s="435">
        <f>vkm_2011_NGW_PW*SUMIFS(TableVerdeelsleutelVkm[LPG],TableVerdeelsleutelVkm[Voertuigtype],"Lichte voertuigen")*SUMIFS(TableECFTransport[EnergieConsumptieFactor (PJ per km)],TableECFTransport[Index],CONCATENATE($A8,"_LPG_LPG"))</f>
        <v>4.1220384764022264E-4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5.6292751789699655E-2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1.6300808280735032E-2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3.2523536687861154E-3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8.4660176344648723E-3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2.9740419644001515E-6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3.7713826528572677E-4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3.15924044600072</v>
      </c>
      <c r="C14" s="22"/>
      <c r="D14" s="22">
        <f t="shared" ref="D14:M14" si="0">((D5)*10^9/3600)+D12</f>
        <v>8.646949300080907</v>
      </c>
      <c r="E14" s="22">
        <f t="shared" si="0"/>
        <v>502.23709038734864</v>
      </c>
      <c r="F14" s="22"/>
      <c r="G14" s="22">
        <f t="shared" si="0"/>
        <v>105784.84388563839</v>
      </c>
      <c r="H14" s="22">
        <f t="shared" si="0"/>
        <v>19231.203328373289</v>
      </c>
      <c r="I14" s="22"/>
      <c r="J14" s="22"/>
      <c r="K14" s="22"/>
      <c r="L14" s="22"/>
      <c r="M14" s="22">
        <f t="shared" si="0"/>
        <v>5590.3284196339009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0.19337800736930513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0.61092762224813402</v>
      </c>
      <c r="C18" s="24"/>
      <c r="D18" s="24">
        <f t="shared" ref="D18:M18" si="1">D14*D16</f>
        <v>1.7466837586163433</v>
      </c>
      <c r="E18" s="24">
        <f t="shared" si="1"/>
        <v>114.00781951792814</v>
      </c>
      <c r="F18" s="24"/>
      <c r="G18" s="24">
        <f t="shared" si="1"/>
        <v>28244.553317465452</v>
      </c>
      <c r="H18" s="24">
        <f t="shared" si="1"/>
        <v>4788.5696287649489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7.415598996094867E-3</v>
      </c>
      <c r="H50" s="323">
        <f t="shared" si="2"/>
        <v>0</v>
      </c>
      <c r="I50" s="323">
        <f t="shared" si="2"/>
        <v>0</v>
      </c>
      <c r="J50" s="323">
        <f t="shared" si="2"/>
        <v>0</v>
      </c>
      <c r="K50" s="323">
        <f t="shared" si="2"/>
        <v>0</v>
      </c>
      <c r="L50" s="323">
        <f t="shared" si="2"/>
        <v>0</v>
      </c>
      <c r="M50" s="323">
        <f t="shared" si="2"/>
        <v>3.2563118471424444E-4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7.415598996094867E-3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3.2563118471424444E-4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2059.8886100263517</v>
      </c>
      <c r="H54" s="22">
        <f t="shared" si="3"/>
        <v>0</v>
      </c>
      <c r="I54" s="22">
        <f t="shared" si="3"/>
        <v>0</v>
      </c>
      <c r="J54" s="22">
        <f t="shared" si="3"/>
        <v>0</v>
      </c>
      <c r="K54" s="22">
        <f t="shared" si="3"/>
        <v>0</v>
      </c>
      <c r="L54" s="22">
        <f t="shared" si="3"/>
        <v>0</v>
      </c>
      <c r="M54" s="22">
        <f t="shared" si="3"/>
        <v>90.453106865067895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0.19337800736930513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549.9902588770359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28891.708000000002</v>
      </c>
      <c r="D10" s="688">
        <f ca="1">tertiair!C16</f>
        <v>0</v>
      </c>
      <c r="E10" s="688">
        <f ca="1">tertiair!D16</f>
        <v>14450.029176</v>
      </c>
      <c r="F10" s="688">
        <f>tertiair!E16</f>
        <v>257.20186587018719</v>
      </c>
      <c r="G10" s="688">
        <f ca="1">tertiair!F16</f>
        <v>6417.7742585132082</v>
      </c>
      <c r="H10" s="688">
        <f>tertiair!G16</f>
        <v>0</v>
      </c>
      <c r="I10" s="688">
        <f>tertiair!H16</f>
        <v>0</v>
      </c>
      <c r="J10" s="688">
        <f>tertiair!I16</f>
        <v>0</v>
      </c>
      <c r="K10" s="688">
        <f>tertiair!J16</f>
        <v>0</v>
      </c>
      <c r="L10" s="688">
        <f>tertiair!K16</f>
        <v>0</v>
      </c>
      <c r="M10" s="688">
        <f ca="1">tertiair!L16</f>
        <v>0</v>
      </c>
      <c r="N10" s="688">
        <f>tertiair!M16</f>
        <v>0</v>
      </c>
      <c r="O10" s="688">
        <f ca="1">tertiair!N16</f>
        <v>5351.7220505011564</v>
      </c>
      <c r="P10" s="688">
        <f>tertiair!O16</f>
        <v>0</v>
      </c>
      <c r="Q10" s="689">
        <f>tertiair!P16</f>
        <v>0</v>
      </c>
      <c r="R10" s="691">
        <f ca="1">SUM(C10:Q10)</f>
        <v>55368.435350884552</v>
      </c>
      <c r="S10" s="68"/>
    </row>
    <row r="11" spans="1:19" s="457" customFormat="1">
      <c r="A11" s="803" t="s">
        <v>225</v>
      </c>
      <c r="B11" s="808"/>
      <c r="C11" s="688">
        <f>huishoudens!B8</f>
        <v>29803.359866700266</v>
      </c>
      <c r="D11" s="688">
        <f>huishoudens!C8</f>
        <v>0</v>
      </c>
      <c r="E11" s="688">
        <f>huishoudens!D8</f>
        <v>59148.177351999999</v>
      </c>
      <c r="F11" s="688">
        <f>huishoudens!E8</f>
        <v>9876.1439980778778</v>
      </c>
      <c r="G11" s="688">
        <f>huishoudens!F8</f>
        <v>11563.624216869403</v>
      </c>
      <c r="H11" s="688">
        <f>huishoudens!G8</f>
        <v>0</v>
      </c>
      <c r="I11" s="688">
        <f>huishoudens!H8</f>
        <v>0</v>
      </c>
      <c r="J11" s="688">
        <f>huishoudens!I8</f>
        <v>0</v>
      </c>
      <c r="K11" s="688">
        <f>huishoudens!J8</f>
        <v>3919.3817376315524</v>
      </c>
      <c r="L11" s="688">
        <f>huishoudens!K8</f>
        <v>0</v>
      </c>
      <c r="M11" s="688">
        <f>huishoudens!L8</f>
        <v>0</v>
      </c>
      <c r="N11" s="688">
        <f>huishoudens!M8</f>
        <v>0</v>
      </c>
      <c r="O11" s="688">
        <f>huishoudens!N8</f>
        <v>27405.266680141733</v>
      </c>
      <c r="P11" s="688">
        <f>huishoudens!O8</f>
        <v>73.476666666666674</v>
      </c>
      <c r="Q11" s="689">
        <f>huishoudens!P8</f>
        <v>152.53333333333333</v>
      </c>
      <c r="R11" s="691">
        <f>SUM(C11:Q11)</f>
        <v>141941.96385142082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20796.96</v>
      </c>
      <c r="D13" s="688">
        <f>industrie!C18</f>
        <v>0</v>
      </c>
      <c r="E13" s="688">
        <f>industrie!D18</f>
        <v>10862.528929999999</v>
      </c>
      <c r="F13" s="688">
        <f>industrie!E18</f>
        <v>169.27696485875302</v>
      </c>
      <c r="G13" s="688">
        <f>industrie!F18</f>
        <v>9286.8339633510714</v>
      </c>
      <c r="H13" s="688">
        <f>industrie!G18</f>
        <v>0</v>
      </c>
      <c r="I13" s="688">
        <f>industrie!H18</f>
        <v>0</v>
      </c>
      <c r="J13" s="688">
        <f>industrie!I18</f>
        <v>0</v>
      </c>
      <c r="K13" s="688">
        <f>industrie!J18</f>
        <v>69.121454135133291</v>
      </c>
      <c r="L13" s="688">
        <f>industrie!K18</f>
        <v>0</v>
      </c>
      <c r="M13" s="688">
        <f>industrie!L18</f>
        <v>0</v>
      </c>
      <c r="N13" s="688">
        <f>industrie!M18</f>
        <v>0</v>
      </c>
      <c r="O13" s="688">
        <f>industrie!N18</f>
        <v>917.425320146535</v>
      </c>
      <c r="P13" s="688">
        <f>industrie!O18</f>
        <v>0</v>
      </c>
      <c r="Q13" s="689">
        <f>industrie!P18</f>
        <v>0</v>
      </c>
      <c r="R13" s="691">
        <f>SUM(C13:Q13)</f>
        <v>42102.146632491495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79492.027866700257</v>
      </c>
      <c r="D16" s="721">
        <f t="shared" ref="D16:R16" ca="1" si="0">SUM(D9:D15)</f>
        <v>0</v>
      </c>
      <c r="E16" s="721">
        <f t="shared" ca="1" si="0"/>
        <v>84460.735457999996</v>
      </c>
      <c r="F16" s="721">
        <f t="shared" si="0"/>
        <v>10302.622828806818</v>
      </c>
      <c r="G16" s="721">
        <f t="shared" ca="1" si="0"/>
        <v>27268.232438733685</v>
      </c>
      <c r="H16" s="721">
        <f t="shared" si="0"/>
        <v>0</v>
      </c>
      <c r="I16" s="721">
        <f t="shared" si="0"/>
        <v>0</v>
      </c>
      <c r="J16" s="721">
        <f t="shared" si="0"/>
        <v>0</v>
      </c>
      <c r="K16" s="721">
        <f t="shared" si="0"/>
        <v>3988.5031917666856</v>
      </c>
      <c r="L16" s="721">
        <f t="shared" si="0"/>
        <v>0</v>
      </c>
      <c r="M16" s="721">
        <f t="shared" ca="1" si="0"/>
        <v>0</v>
      </c>
      <c r="N16" s="721">
        <f t="shared" si="0"/>
        <v>0</v>
      </c>
      <c r="O16" s="721">
        <f t="shared" ca="1" si="0"/>
        <v>33674.414050789426</v>
      </c>
      <c r="P16" s="721">
        <f t="shared" si="0"/>
        <v>73.476666666666674</v>
      </c>
      <c r="Q16" s="721">
        <f t="shared" si="0"/>
        <v>152.53333333333333</v>
      </c>
      <c r="R16" s="721">
        <f t="shared" ca="1" si="0"/>
        <v>239412.54583479685</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2059.8886100263517</v>
      </c>
      <c r="I19" s="688">
        <f>transport!H54</f>
        <v>0</v>
      </c>
      <c r="J19" s="688">
        <f>transport!I54</f>
        <v>0</v>
      </c>
      <c r="K19" s="688">
        <f>transport!J54</f>
        <v>0</v>
      </c>
      <c r="L19" s="688">
        <f>transport!K54</f>
        <v>0</v>
      </c>
      <c r="M19" s="688">
        <f>transport!L54</f>
        <v>0</v>
      </c>
      <c r="N19" s="688">
        <f>transport!M54</f>
        <v>90.453106865067895</v>
      </c>
      <c r="O19" s="688">
        <f>transport!N54</f>
        <v>0</v>
      </c>
      <c r="P19" s="688">
        <f>transport!O54</f>
        <v>0</v>
      </c>
      <c r="Q19" s="689">
        <f>transport!P54</f>
        <v>0</v>
      </c>
      <c r="R19" s="691">
        <f>SUM(C19:Q19)</f>
        <v>2150.3417168914198</v>
      </c>
      <c r="S19" s="68"/>
    </row>
    <row r="20" spans="1:19" s="457" customFormat="1">
      <c r="A20" s="803" t="s">
        <v>307</v>
      </c>
      <c r="B20" s="808"/>
      <c r="C20" s="688">
        <f>transport!B14</f>
        <v>3.15924044600072</v>
      </c>
      <c r="D20" s="688">
        <f>transport!C14</f>
        <v>0</v>
      </c>
      <c r="E20" s="688">
        <f>transport!D14</f>
        <v>8.646949300080907</v>
      </c>
      <c r="F20" s="688">
        <f>transport!E14</f>
        <v>502.23709038734864</v>
      </c>
      <c r="G20" s="688">
        <f>transport!F14</f>
        <v>0</v>
      </c>
      <c r="H20" s="688">
        <f>transport!G14</f>
        <v>105784.84388563839</v>
      </c>
      <c r="I20" s="688">
        <f>transport!H14</f>
        <v>19231.203328373289</v>
      </c>
      <c r="J20" s="688">
        <f>transport!I14</f>
        <v>0</v>
      </c>
      <c r="K20" s="688">
        <f>transport!J14</f>
        <v>0</v>
      </c>
      <c r="L20" s="688">
        <f>transport!K14</f>
        <v>0</v>
      </c>
      <c r="M20" s="688">
        <f>transport!L14</f>
        <v>0</v>
      </c>
      <c r="N20" s="688">
        <f>transport!M14</f>
        <v>5590.3284196339009</v>
      </c>
      <c r="O20" s="688">
        <f>transport!N14</f>
        <v>0</v>
      </c>
      <c r="P20" s="688">
        <f>transport!O14</f>
        <v>0</v>
      </c>
      <c r="Q20" s="689">
        <f>transport!P14</f>
        <v>0</v>
      </c>
      <c r="R20" s="691">
        <f>SUM(C20:Q20)</f>
        <v>131120.41891377899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3.15924044600072</v>
      </c>
      <c r="D22" s="806">
        <f t="shared" ref="D22:R22" si="1">SUM(D18:D21)</f>
        <v>0</v>
      </c>
      <c r="E22" s="806">
        <f t="shared" si="1"/>
        <v>8.646949300080907</v>
      </c>
      <c r="F22" s="806">
        <f t="shared" si="1"/>
        <v>502.23709038734864</v>
      </c>
      <c r="G22" s="806">
        <f t="shared" si="1"/>
        <v>0</v>
      </c>
      <c r="H22" s="806">
        <f t="shared" si="1"/>
        <v>107844.73249566474</v>
      </c>
      <c r="I22" s="806">
        <f t="shared" si="1"/>
        <v>19231.203328373289</v>
      </c>
      <c r="J22" s="806">
        <f t="shared" si="1"/>
        <v>0</v>
      </c>
      <c r="K22" s="806">
        <f t="shared" si="1"/>
        <v>0</v>
      </c>
      <c r="L22" s="806">
        <f t="shared" si="1"/>
        <v>0</v>
      </c>
      <c r="M22" s="806">
        <f t="shared" si="1"/>
        <v>0</v>
      </c>
      <c r="N22" s="806">
        <f t="shared" si="1"/>
        <v>5680.7815264989686</v>
      </c>
      <c r="O22" s="806">
        <f t="shared" si="1"/>
        <v>0</v>
      </c>
      <c r="P22" s="806">
        <f t="shared" si="1"/>
        <v>0</v>
      </c>
      <c r="Q22" s="806">
        <f t="shared" si="1"/>
        <v>0</v>
      </c>
      <c r="R22" s="806">
        <f t="shared" si="1"/>
        <v>133270.76063067041</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9793.331273988988</v>
      </c>
      <c r="D24" s="688">
        <f>+landbouw!C8</f>
        <v>10.392857142857141</v>
      </c>
      <c r="E24" s="688">
        <f>+landbouw!D8</f>
        <v>1762.690204</v>
      </c>
      <c r="F24" s="688">
        <f>+landbouw!E8</f>
        <v>92.259742348175465</v>
      </c>
      <c r="G24" s="688">
        <f>+landbouw!F8</f>
        <v>31958.890068239652</v>
      </c>
      <c r="H24" s="688">
        <f>+landbouw!G8</f>
        <v>0</v>
      </c>
      <c r="I24" s="688">
        <f>+landbouw!H8</f>
        <v>0</v>
      </c>
      <c r="J24" s="688">
        <f>+landbouw!I8</f>
        <v>0</v>
      </c>
      <c r="K24" s="688">
        <f>+landbouw!J8</f>
        <v>1211.4827133466042</v>
      </c>
      <c r="L24" s="688">
        <f>+landbouw!K8</f>
        <v>0</v>
      </c>
      <c r="M24" s="688">
        <f>+landbouw!L8</f>
        <v>0</v>
      </c>
      <c r="N24" s="688">
        <f>+landbouw!M8</f>
        <v>0</v>
      </c>
      <c r="O24" s="688">
        <f>+landbouw!N8</f>
        <v>0</v>
      </c>
      <c r="P24" s="688">
        <f>+landbouw!O8</f>
        <v>0</v>
      </c>
      <c r="Q24" s="689">
        <f>+landbouw!P8</f>
        <v>0</v>
      </c>
      <c r="R24" s="691">
        <f>SUM(C24:Q24)</f>
        <v>44829.046859066279</v>
      </c>
      <c r="S24" s="68"/>
    </row>
    <row r="25" spans="1:19" s="457" customFormat="1" ht="15" thickBot="1">
      <c r="A25" s="825" t="s">
        <v>912</v>
      </c>
      <c r="B25" s="1001"/>
      <c r="C25" s="1002">
        <f>IF(Onbekend_ele_kWh="---",0,Onbekend_ele_kWh)/1000+IF(REST_rest_ele_kWh="---",0,REST_rest_ele_kWh)/1000</f>
        <v>590.76499999999999</v>
      </c>
      <c r="D25" s="1002"/>
      <c r="E25" s="1002">
        <f>IF(onbekend_gas_kWh="---",0,onbekend_gas_kWh)/1000+IF(REST_rest_gas_kWh="---",0,REST_rest_gas_kWh)/1000</f>
        <v>3304.6149999999998</v>
      </c>
      <c r="F25" s="1002"/>
      <c r="G25" s="1002"/>
      <c r="H25" s="1002"/>
      <c r="I25" s="1002"/>
      <c r="J25" s="1002"/>
      <c r="K25" s="1002"/>
      <c r="L25" s="1002"/>
      <c r="M25" s="1002"/>
      <c r="N25" s="1002"/>
      <c r="O25" s="1002"/>
      <c r="P25" s="1002"/>
      <c r="Q25" s="1003"/>
      <c r="R25" s="691">
        <f>SUM(C25:Q25)</f>
        <v>3895.3799999999997</v>
      </c>
      <c r="S25" s="68"/>
    </row>
    <row r="26" spans="1:19" s="457" customFormat="1" ht="15.75" thickBot="1">
      <c r="A26" s="694" t="s">
        <v>913</v>
      </c>
      <c r="B26" s="811"/>
      <c r="C26" s="806">
        <f>SUM(C24:C25)</f>
        <v>10384.096273988987</v>
      </c>
      <c r="D26" s="806">
        <f t="shared" ref="D26:R26" si="2">SUM(D24:D25)</f>
        <v>10.392857142857141</v>
      </c>
      <c r="E26" s="806">
        <f t="shared" si="2"/>
        <v>5067.3052040000002</v>
      </c>
      <c r="F26" s="806">
        <f t="shared" si="2"/>
        <v>92.259742348175465</v>
      </c>
      <c r="G26" s="806">
        <f t="shared" si="2"/>
        <v>31958.890068239652</v>
      </c>
      <c r="H26" s="806">
        <f t="shared" si="2"/>
        <v>0</v>
      </c>
      <c r="I26" s="806">
        <f t="shared" si="2"/>
        <v>0</v>
      </c>
      <c r="J26" s="806">
        <f t="shared" si="2"/>
        <v>0</v>
      </c>
      <c r="K26" s="806">
        <f t="shared" si="2"/>
        <v>1211.4827133466042</v>
      </c>
      <c r="L26" s="806">
        <f t="shared" si="2"/>
        <v>0</v>
      </c>
      <c r="M26" s="806">
        <f t="shared" si="2"/>
        <v>0</v>
      </c>
      <c r="N26" s="806">
        <f t="shared" si="2"/>
        <v>0</v>
      </c>
      <c r="O26" s="806">
        <f t="shared" si="2"/>
        <v>0</v>
      </c>
      <c r="P26" s="806">
        <f t="shared" si="2"/>
        <v>0</v>
      </c>
      <c r="Q26" s="806">
        <f t="shared" si="2"/>
        <v>0</v>
      </c>
      <c r="R26" s="806">
        <f t="shared" si="2"/>
        <v>48724.426859066276</v>
      </c>
      <c r="S26" s="68"/>
    </row>
    <row r="27" spans="1:19" s="457" customFormat="1" ht="17.25" thickTop="1" thickBot="1">
      <c r="A27" s="695" t="s">
        <v>116</v>
      </c>
      <c r="B27" s="798"/>
      <c r="C27" s="696">
        <f ca="1">C22+C16+C26</f>
        <v>89879.283381135232</v>
      </c>
      <c r="D27" s="696">
        <f t="shared" ref="D27:R27" ca="1" si="3">D22+D16+D26</f>
        <v>10.392857142857141</v>
      </c>
      <c r="E27" s="696">
        <f t="shared" ca="1" si="3"/>
        <v>89536.687611300076</v>
      </c>
      <c r="F27" s="696">
        <f t="shared" si="3"/>
        <v>10897.119661542341</v>
      </c>
      <c r="G27" s="696">
        <f t="shared" ca="1" si="3"/>
        <v>59227.122506973334</v>
      </c>
      <c r="H27" s="696">
        <f t="shared" si="3"/>
        <v>107844.73249566474</v>
      </c>
      <c r="I27" s="696">
        <f t="shared" si="3"/>
        <v>19231.203328373289</v>
      </c>
      <c r="J27" s="696">
        <f t="shared" si="3"/>
        <v>0</v>
      </c>
      <c r="K27" s="696">
        <f t="shared" si="3"/>
        <v>5199.9859051132898</v>
      </c>
      <c r="L27" s="696">
        <f t="shared" si="3"/>
        <v>0</v>
      </c>
      <c r="M27" s="696">
        <f t="shared" ca="1" si="3"/>
        <v>0</v>
      </c>
      <c r="N27" s="696">
        <f t="shared" si="3"/>
        <v>5680.7815264989686</v>
      </c>
      <c r="O27" s="696">
        <f t="shared" ca="1" si="3"/>
        <v>33674.414050789426</v>
      </c>
      <c r="P27" s="696">
        <f t="shared" si="3"/>
        <v>73.476666666666674</v>
      </c>
      <c r="Q27" s="696">
        <f t="shared" si="3"/>
        <v>152.53333333333333</v>
      </c>
      <c r="R27" s="696">
        <f t="shared" ca="1" si="3"/>
        <v>421407.73332453356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5587.0209225358121</v>
      </c>
      <c r="D40" s="688">
        <f ca="1">tertiair!C20</f>
        <v>0</v>
      </c>
      <c r="E40" s="688">
        <f ca="1">tertiair!D20</f>
        <v>2918.9058935520002</v>
      </c>
      <c r="F40" s="688">
        <f>tertiair!E20</f>
        <v>58.384823552532495</v>
      </c>
      <c r="G40" s="688">
        <f ca="1">tertiair!F20</f>
        <v>1713.5457270230268</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10277.857366663373</v>
      </c>
    </row>
    <row r="41" spans="1:18">
      <c r="A41" s="816" t="s">
        <v>225</v>
      </c>
      <c r="B41" s="823"/>
      <c r="C41" s="688">
        <f ca="1">huishoudens!B12</f>
        <v>5763.3143439328169</v>
      </c>
      <c r="D41" s="688">
        <f ca="1">huishoudens!C12</f>
        <v>0</v>
      </c>
      <c r="E41" s="688">
        <f>huishoudens!D12</f>
        <v>11947.931825104</v>
      </c>
      <c r="F41" s="688">
        <f>huishoudens!E12</f>
        <v>2241.8846875636782</v>
      </c>
      <c r="G41" s="688">
        <f>huishoudens!F12</f>
        <v>3087.4876659041306</v>
      </c>
      <c r="H41" s="688">
        <f>huishoudens!G12</f>
        <v>0</v>
      </c>
      <c r="I41" s="688">
        <f>huishoudens!H12</f>
        <v>0</v>
      </c>
      <c r="J41" s="688">
        <f>huishoudens!I12</f>
        <v>0</v>
      </c>
      <c r="K41" s="688">
        <f>huishoudens!J12</f>
        <v>1387.4611351215694</v>
      </c>
      <c r="L41" s="688">
        <f>huishoudens!K12</f>
        <v>0</v>
      </c>
      <c r="M41" s="688">
        <f>huishoudens!L12</f>
        <v>0</v>
      </c>
      <c r="N41" s="688">
        <f>huishoudens!M12</f>
        <v>0</v>
      </c>
      <c r="O41" s="688">
        <f>huishoudens!N12</f>
        <v>0</v>
      </c>
      <c r="P41" s="688">
        <f>huishoudens!O12</f>
        <v>0</v>
      </c>
      <c r="Q41" s="763">
        <f>huishoudens!P12</f>
        <v>0</v>
      </c>
      <c r="R41" s="844">
        <f t="shared" ca="1" si="4"/>
        <v>24428.079657626193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4021.6746841391441</v>
      </c>
      <c r="D43" s="688">
        <f ca="1">industrie!C22</f>
        <v>0</v>
      </c>
      <c r="E43" s="688">
        <f>industrie!D22</f>
        <v>2194.2308438599998</v>
      </c>
      <c r="F43" s="688">
        <f>industrie!E22</f>
        <v>38.425871022936938</v>
      </c>
      <c r="G43" s="688">
        <f>industrie!F22</f>
        <v>2479.5846682147362</v>
      </c>
      <c r="H43" s="688">
        <f>industrie!G22</f>
        <v>0</v>
      </c>
      <c r="I43" s="688">
        <f>industrie!H22</f>
        <v>0</v>
      </c>
      <c r="J43" s="688">
        <f>industrie!I22</f>
        <v>0</v>
      </c>
      <c r="K43" s="688">
        <f>industrie!J22</f>
        <v>24.468994763837184</v>
      </c>
      <c r="L43" s="688">
        <f>industrie!K22</f>
        <v>0</v>
      </c>
      <c r="M43" s="688">
        <f>industrie!L22</f>
        <v>0</v>
      </c>
      <c r="N43" s="688">
        <f>industrie!M22</f>
        <v>0</v>
      </c>
      <c r="O43" s="688">
        <f>industrie!N22</f>
        <v>0</v>
      </c>
      <c r="P43" s="688">
        <f>industrie!O22</f>
        <v>0</v>
      </c>
      <c r="Q43" s="763">
        <f>industrie!P22</f>
        <v>0</v>
      </c>
      <c r="R43" s="843">
        <f t="shared" ca="1" si="4"/>
        <v>8758.385062000656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15372.009950607771</v>
      </c>
      <c r="D46" s="721">
        <f t="shared" ref="D46:Q46" ca="1" si="5">SUM(D39:D45)</f>
        <v>0</v>
      </c>
      <c r="E46" s="721">
        <f t="shared" ca="1" si="5"/>
        <v>17061.068562516</v>
      </c>
      <c r="F46" s="721">
        <f t="shared" si="5"/>
        <v>2338.6953821391476</v>
      </c>
      <c r="G46" s="721">
        <f t="shared" ca="1" si="5"/>
        <v>7280.6180611418931</v>
      </c>
      <c r="H46" s="721">
        <f t="shared" si="5"/>
        <v>0</v>
      </c>
      <c r="I46" s="721">
        <f t="shared" si="5"/>
        <v>0</v>
      </c>
      <c r="J46" s="721">
        <f t="shared" si="5"/>
        <v>0</v>
      </c>
      <c r="K46" s="721">
        <f t="shared" si="5"/>
        <v>1411.9301298854066</v>
      </c>
      <c r="L46" s="721">
        <f t="shared" si="5"/>
        <v>0</v>
      </c>
      <c r="M46" s="721">
        <f t="shared" ca="1" si="5"/>
        <v>0</v>
      </c>
      <c r="N46" s="721">
        <f t="shared" si="5"/>
        <v>0</v>
      </c>
      <c r="O46" s="721">
        <f t="shared" ca="1" si="5"/>
        <v>0</v>
      </c>
      <c r="P46" s="721">
        <f t="shared" si="5"/>
        <v>0</v>
      </c>
      <c r="Q46" s="721">
        <f t="shared" si="5"/>
        <v>0</v>
      </c>
      <c r="R46" s="721">
        <f ca="1">SUM(R39:R45)</f>
        <v>43464.322086290224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549.9902588770359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549.9902588770359</v>
      </c>
    </row>
    <row r="50" spans="1:18">
      <c r="A50" s="819" t="s">
        <v>307</v>
      </c>
      <c r="B50" s="829"/>
      <c r="C50" s="1008">
        <f ca="1">transport!B18</f>
        <v>0.61092762224813402</v>
      </c>
      <c r="D50" s="1008">
        <f>transport!C18</f>
        <v>0</v>
      </c>
      <c r="E50" s="1008">
        <f>transport!D18</f>
        <v>1.7466837586163433</v>
      </c>
      <c r="F50" s="1008">
        <f>transport!E18</f>
        <v>114.00781951792814</v>
      </c>
      <c r="G50" s="1008">
        <f>transport!F18</f>
        <v>0</v>
      </c>
      <c r="H50" s="1008">
        <f>transport!G18</f>
        <v>28244.553317465452</v>
      </c>
      <c r="I50" s="1008">
        <f>transport!H18</f>
        <v>4788.5696287649489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33149.488377129193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0.61092762224813402</v>
      </c>
      <c r="D52" s="721">
        <f t="shared" ref="D52:Q52" ca="1" si="6">SUM(D48:D51)</f>
        <v>0</v>
      </c>
      <c r="E52" s="721">
        <f t="shared" si="6"/>
        <v>1.7466837586163433</v>
      </c>
      <c r="F52" s="721">
        <f t="shared" si="6"/>
        <v>114.00781951792814</v>
      </c>
      <c r="G52" s="721">
        <f t="shared" si="6"/>
        <v>0</v>
      </c>
      <c r="H52" s="721">
        <f t="shared" si="6"/>
        <v>28794.543576342487</v>
      </c>
      <c r="I52" s="721">
        <f t="shared" si="6"/>
        <v>4788.5696287649489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33699.478636006228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1893.8148872714889</v>
      </c>
      <c r="D54" s="1008">
        <f ca="1">+landbouw!C12</f>
        <v>0</v>
      </c>
      <c r="E54" s="1008">
        <f>+landbouw!D12</f>
        <v>356.06342120800002</v>
      </c>
      <c r="F54" s="1008">
        <f>+landbouw!E12</f>
        <v>20.942961513035833</v>
      </c>
      <c r="G54" s="1008">
        <f>+landbouw!F12</f>
        <v>8533.0236482199871</v>
      </c>
      <c r="H54" s="1008">
        <f>+landbouw!G12</f>
        <v>0</v>
      </c>
      <c r="I54" s="1008">
        <f>+landbouw!H12</f>
        <v>0</v>
      </c>
      <c r="J54" s="1008">
        <f>+landbouw!I12</f>
        <v>0</v>
      </c>
      <c r="K54" s="1008">
        <f>+landbouw!J12</f>
        <v>428.86488052469787</v>
      </c>
      <c r="L54" s="1008">
        <f>+landbouw!K12</f>
        <v>0</v>
      </c>
      <c r="M54" s="1008">
        <f>+landbouw!L12</f>
        <v>0</v>
      </c>
      <c r="N54" s="1008">
        <f>+landbouw!M12</f>
        <v>0</v>
      </c>
      <c r="O54" s="1008">
        <f>+landbouw!N12</f>
        <v>0</v>
      </c>
      <c r="P54" s="1008">
        <f>+landbouw!O12</f>
        <v>0</v>
      </c>
      <c r="Q54" s="1009">
        <f>+landbouw!P12</f>
        <v>0</v>
      </c>
      <c r="R54" s="720">
        <f ca="1">SUM(C54:Q54)</f>
        <v>11232.709798737209</v>
      </c>
    </row>
    <row r="55" spans="1:18" ht="15" thickBot="1">
      <c r="A55" s="819" t="s">
        <v>912</v>
      </c>
      <c r="B55" s="829"/>
      <c r="C55" s="1008">
        <f ca="1">C25*'EF ele_warmte'!B12</f>
        <v>114.24095852352754</v>
      </c>
      <c r="D55" s="1008"/>
      <c r="E55" s="1008">
        <f>E25*EF_CO2_aardgas</f>
        <v>667.53223000000003</v>
      </c>
      <c r="F55" s="1008"/>
      <c r="G55" s="1008"/>
      <c r="H55" s="1008"/>
      <c r="I55" s="1008"/>
      <c r="J55" s="1008"/>
      <c r="K55" s="1008"/>
      <c r="L55" s="1008"/>
      <c r="M55" s="1008"/>
      <c r="N55" s="1008"/>
      <c r="O55" s="1008"/>
      <c r="P55" s="1008"/>
      <c r="Q55" s="1009"/>
      <c r="R55" s="720">
        <f ca="1">SUM(C55:Q55)</f>
        <v>781.77318852352755</v>
      </c>
    </row>
    <row r="56" spans="1:18" ht="15.75" thickBot="1">
      <c r="A56" s="817" t="s">
        <v>913</v>
      </c>
      <c r="B56" s="830"/>
      <c r="C56" s="721">
        <f ca="1">SUM(C54:C55)</f>
        <v>2008.0558457950165</v>
      </c>
      <c r="D56" s="721">
        <f t="shared" ref="D56:Q56" ca="1" si="7">SUM(D54:D55)</f>
        <v>0</v>
      </c>
      <c r="E56" s="721">
        <f t="shared" si="7"/>
        <v>1023.595651208</v>
      </c>
      <c r="F56" s="721">
        <f t="shared" si="7"/>
        <v>20.942961513035833</v>
      </c>
      <c r="G56" s="721">
        <f t="shared" si="7"/>
        <v>8533.0236482199871</v>
      </c>
      <c r="H56" s="721">
        <f t="shared" si="7"/>
        <v>0</v>
      </c>
      <c r="I56" s="721">
        <f t="shared" si="7"/>
        <v>0</v>
      </c>
      <c r="J56" s="721">
        <f t="shared" si="7"/>
        <v>0</v>
      </c>
      <c r="K56" s="721">
        <f t="shared" si="7"/>
        <v>428.86488052469787</v>
      </c>
      <c r="L56" s="721">
        <f t="shared" si="7"/>
        <v>0</v>
      </c>
      <c r="M56" s="721">
        <f t="shared" si="7"/>
        <v>0</v>
      </c>
      <c r="N56" s="721">
        <f t="shared" si="7"/>
        <v>0</v>
      </c>
      <c r="O56" s="721">
        <f t="shared" si="7"/>
        <v>0</v>
      </c>
      <c r="P56" s="721">
        <f t="shared" si="7"/>
        <v>0</v>
      </c>
      <c r="Q56" s="722">
        <f t="shared" si="7"/>
        <v>0</v>
      </c>
      <c r="R56" s="723">
        <f ca="1">SUM(R54:R55)</f>
        <v>12014.482987260737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17380.676724025037</v>
      </c>
      <c r="D61" s="729">
        <f t="shared" ref="D61:Q61" ca="1" si="8">D46+D52+D56</f>
        <v>0</v>
      </c>
      <c r="E61" s="729">
        <f t="shared" ca="1" si="8"/>
        <v>18086.410897482619</v>
      </c>
      <c r="F61" s="729">
        <f t="shared" si="8"/>
        <v>2473.6461631701113</v>
      </c>
      <c r="G61" s="729">
        <f t="shared" ca="1" si="8"/>
        <v>15813.64170936188</v>
      </c>
      <c r="H61" s="729">
        <f t="shared" si="8"/>
        <v>28794.543576342487</v>
      </c>
      <c r="I61" s="729">
        <f t="shared" si="8"/>
        <v>4788.5696287649489</v>
      </c>
      <c r="J61" s="729">
        <f t="shared" si="8"/>
        <v>0</v>
      </c>
      <c r="K61" s="729">
        <f t="shared" si="8"/>
        <v>1840.7950104101044</v>
      </c>
      <c r="L61" s="729">
        <f t="shared" si="8"/>
        <v>0</v>
      </c>
      <c r="M61" s="729">
        <f t="shared" ca="1" si="8"/>
        <v>0</v>
      </c>
      <c r="N61" s="729">
        <f t="shared" si="8"/>
        <v>0</v>
      </c>
      <c r="O61" s="729">
        <f t="shared" ca="1" si="8"/>
        <v>0</v>
      </c>
      <c r="P61" s="729">
        <f t="shared" si="8"/>
        <v>0</v>
      </c>
      <c r="Q61" s="729">
        <f t="shared" si="8"/>
        <v>0</v>
      </c>
      <c r="R61" s="729">
        <f ca="1">R46+R52+R56</f>
        <v>89178.283709557189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0.19337800736930519</v>
      </c>
      <c r="D63" s="773">
        <f t="shared" ca="1" si="9"/>
        <v>0</v>
      </c>
      <c r="E63" s="1010">
        <f t="shared" ca="1" si="9"/>
        <v>0.20200000000000004</v>
      </c>
      <c r="F63" s="773">
        <f t="shared" si="9"/>
        <v>0.22699999999999998</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2648.7481688010957</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6732.6641760217681</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7.2749999999999986</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8.5588235294117645</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1845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5220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11233.687344822863</v>
      </c>
      <c r="C78" s="744">
        <f>SUM(C72:C77)</f>
        <v>0</v>
      </c>
      <c r="D78" s="745">
        <f t="shared" ref="D78:H78" si="10">SUM(D76:D77)</f>
        <v>0</v>
      </c>
      <c r="E78" s="745">
        <f t="shared" si="10"/>
        <v>0</v>
      </c>
      <c r="F78" s="745">
        <f t="shared" si="10"/>
        <v>0</v>
      </c>
      <c r="G78" s="745">
        <f t="shared" si="10"/>
        <v>0</v>
      </c>
      <c r="H78" s="745">
        <f t="shared" si="10"/>
        <v>0</v>
      </c>
      <c r="I78" s="745">
        <f>SUM(I76:I77)</f>
        <v>0</v>
      </c>
      <c r="J78" s="745">
        <f>SUM(J76:J77)</f>
        <v>5228.5588235294117</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10.392857142857141</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12.22689075630252</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10.392857142857141</v>
      </c>
      <c r="C90" s="744">
        <f>SUM(C87:C89)</f>
        <v>0</v>
      </c>
      <c r="D90" s="744">
        <f t="shared" ref="D90:H90" si="12">SUM(D87:D89)</f>
        <v>0</v>
      </c>
      <c r="E90" s="744">
        <f t="shared" si="12"/>
        <v>0</v>
      </c>
      <c r="F90" s="744">
        <f t="shared" si="12"/>
        <v>0</v>
      </c>
      <c r="G90" s="744">
        <f t="shared" si="12"/>
        <v>0</v>
      </c>
      <c r="H90" s="744">
        <f t="shared" si="12"/>
        <v>0</v>
      </c>
      <c r="I90" s="744">
        <f>SUM(I87:I89)</f>
        <v>0</v>
      </c>
      <c r="J90" s="744">
        <f>SUM(J87:J89)</f>
        <v>12.22689075630252</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5"/>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2648.7481688010957</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6732.6641760217681</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7.2749999999999986</v>
      </c>
      <c r="C8" s="558">
        <f>B101</f>
        <v>0</v>
      </c>
      <c r="D8" s="991"/>
      <c r="E8" s="991">
        <f>E101</f>
        <v>0</v>
      </c>
      <c r="F8" s="992"/>
      <c r="G8" s="559"/>
      <c r="H8" s="991">
        <f>I101</f>
        <v>0</v>
      </c>
      <c r="I8" s="991">
        <f>G101+F101</f>
        <v>0</v>
      </c>
      <c r="J8" s="991">
        <f>H101+D101+C101</f>
        <v>8.5588235294117645</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1845</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5220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11233.687344822863</v>
      </c>
      <c r="C10" s="570">
        <f t="shared" ref="C10:L10" si="0">SUM(C8:C9)</f>
        <v>0</v>
      </c>
      <c r="D10" s="570">
        <f t="shared" si="0"/>
        <v>0</v>
      </c>
      <c r="E10" s="570">
        <f t="shared" si="0"/>
        <v>0</v>
      </c>
      <c r="F10" s="570">
        <f t="shared" si="0"/>
        <v>0</v>
      </c>
      <c r="G10" s="570">
        <f t="shared" si="0"/>
        <v>0</v>
      </c>
      <c r="H10" s="570">
        <f t="shared" si="0"/>
        <v>0</v>
      </c>
      <c r="I10" s="570">
        <f t="shared" si="0"/>
        <v>0</v>
      </c>
      <c r="J10" s="570">
        <f t="shared" si="0"/>
        <v>5228.5588235294117</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10.392857142857141</v>
      </c>
      <c r="C17" s="582">
        <f>B102</f>
        <v>0</v>
      </c>
      <c r="D17" s="583"/>
      <c r="E17" s="583">
        <f>E102</f>
        <v>0</v>
      </c>
      <c r="F17" s="584"/>
      <c r="G17" s="585"/>
      <c r="H17" s="582">
        <f>I102</f>
        <v>0</v>
      </c>
      <c r="I17" s="583">
        <f>G102+F102</f>
        <v>0</v>
      </c>
      <c r="J17" s="583">
        <f>H102+D102+C102</f>
        <v>12.22689075630252</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10.392857142857141</v>
      </c>
      <c r="C20" s="569">
        <f>SUM(C17:C19)</f>
        <v>0</v>
      </c>
      <c r="D20" s="569">
        <f t="shared" ref="D20:L20" si="1">SUM(D17:D19)</f>
        <v>0</v>
      </c>
      <c r="E20" s="569">
        <f t="shared" si="1"/>
        <v>0</v>
      </c>
      <c r="F20" s="569">
        <f t="shared" si="1"/>
        <v>0</v>
      </c>
      <c r="G20" s="569">
        <f t="shared" si="1"/>
        <v>0</v>
      </c>
      <c r="H20" s="569">
        <f t="shared" si="1"/>
        <v>0</v>
      </c>
      <c r="I20" s="569">
        <f t="shared" si="1"/>
        <v>0</v>
      </c>
      <c r="J20" s="569">
        <f t="shared" si="1"/>
        <v>12.22689075630252</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32003</v>
      </c>
      <c r="C28" s="789">
        <v>8600</v>
      </c>
      <c r="D28" s="642" t="s">
        <v>948</v>
      </c>
      <c r="E28" s="641" t="s">
        <v>949</v>
      </c>
      <c r="F28" s="641" t="s">
        <v>950</v>
      </c>
      <c r="G28" s="641" t="s">
        <v>951</v>
      </c>
      <c r="H28" s="641" t="s">
        <v>952</v>
      </c>
      <c r="I28" s="641" t="s">
        <v>953</v>
      </c>
      <c r="J28" s="788">
        <v>41117</v>
      </c>
      <c r="K28" s="788">
        <v>41244</v>
      </c>
      <c r="L28" s="641" t="s">
        <v>954</v>
      </c>
      <c r="M28" s="641">
        <v>9.6999999999999993</v>
      </c>
      <c r="N28" s="641">
        <v>3.6374999999999993</v>
      </c>
      <c r="O28" s="641">
        <v>5.1964285714285703</v>
      </c>
      <c r="P28" s="641">
        <v>0</v>
      </c>
      <c r="Q28" s="641">
        <v>10.392857142857142</v>
      </c>
      <c r="R28" s="641">
        <v>0</v>
      </c>
      <c r="S28" s="641">
        <v>0</v>
      </c>
      <c r="T28" s="641">
        <v>0</v>
      </c>
      <c r="U28" s="641">
        <v>0</v>
      </c>
      <c r="V28" s="641">
        <v>0</v>
      </c>
      <c r="W28" s="641"/>
      <c r="X28" s="641">
        <v>10</v>
      </c>
      <c r="Y28" s="641" t="s">
        <v>112</v>
      </c>
      <c r="Z28" s="643" t="s">
        <v>112</v>
      </c>
    </row>
    <row r="29" spans="1:26" s="595" customFormat="1" ht="25.5">
      <c r="A29" s="594"/>
      <c r="B29" s="789">
        <v>32003</v>
      </c>
      <c r="C29" s="789">
        <v>8600</v>
      </c>
      <c r="D29" s="642" t="s">
        <v>955</v>
      </c>
      <c r="E29" s="641" t="s">
        <v>956</v>
      </c>
      <c r="F29" s="641" t="s">
        <v>957</v>
      </c>
      <c r="G29" s="641" t="s">
        <v>951</v>
      </c>
      <c r="H29" s="641" t="s">
        <v>952</v>
      </c>
      <c r="I29" s="641" t="s">
        <v>956</v>
      </c>
      <c r="J29" s="788">
        <v>41124</v>
      </c>
      <c r="K29" s="788">
        <v>41244</v>
      </c>
      <c r="L29" s="641" t="s">
        <v>958</v>
      </c>
      <c r="M29" s="641">
        <v>9.6999999999999993</v>
      </c>
      <c r="N29" s="641">
        <v>3.6374999999999993</v>
      </c>
      <c r="O29" s="641">
        <v>5.1964285714285703</v>
      </c>
      <c r="P29" s="641">
        <v>0</v>
      </c>
      <c r="Q29" s="641">
        <v>10.392857142857142</v>
      </c>
      <c r="R29" s="641">
        <v>0</v>
      </c>
      <c r="S29" s="641">
        <v>0</v>
      </c>
      <c r="T29" s="641">
        <v>0</v>
      </c>
      <c r="U29" s="641">
        <v>0</v>
      </c>
      <c r="V29" s="641">
        <v>0</v>
      </c>
      <c r="W29" s="641"/>
      <c r="X29" s="641">
        <v>10</v>
      </c>
      <c r="Y29" s="641" t="s">
        <v>112</v>
      </c>
      <c r="Z29" s="643" t="s">
        <v>112</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19.399999999999999</v>
      </c>
      <c r="N58" s="599">
        <f>SUM(N28:N57)</f>
        <v>7.2749999999999986</v>
      </c>
      <c r="O58" s="599">
        <f t="shared" ref="O58:W58" si="2">SUM(O28:O57)</f>
        <v>10.392857142857141</v>
      </c>
      <c r="P58" s="599">
        <f t="shared" si="2"/>
        <v>0</v>
      </c>
      <c r="Q58" s="599">
        <f t="shared" si="2"/>
        <v>20.785714285714285</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19.399999999999999</v>
      </c>
      <c r="N61" s="604">
        <f t="shared" si="4"/>
        <v>7.2749999999999986</v>
      </c>
      <c r="O61" s="604">
        <f t="shared" si="4"/>
        <v>10.392857142857141</v>
      </c>
      <c r="P61" s="604">
        <f t="shared" si="4"/>
        <v>0</v>
      </c>
      <c r="Q61" s="604">
        <f t="shared" si="4"/>
        <v>20.785714285714285</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38.25">
      <c r="A64" s="596"/>
      <c r="B64" s="789">
        <v>32003</v>
      </c>
      <c r="C64" s="789">
        <v>8600</v>
      </c>
      <c r="D64" s="644" t="s">
        <v>959</v>
      </c>
      <c r="E64" s="644" t="s">
        <v>960</v>
      </c>
      <c r="F64" s="644" t="s">
        <v>961</v>
      </c>
      <c r="G64" s="644" t="s">
        <v>962</v>
      </c>
      <c r="H64" s="644" t="s">
        <v>963</v>
      </c>
      <c r="I64" s="644" t="s">
        <v>964</v>
      </c>
      <c r="J64" s="788">
        <v>39340</v>
      </c>
      <c r="K64" s="788">
        <v>40704</v>
      </c>
      <c r="L64" s="644" t="s">
        <v>954</v>
      </c>
      <c r="M64" s="644">
        <v>378</v>
      </c>
      <c r="N64" s="644">
        <v>1701</v>
      </c>
      <c r="O64" s="644">
        <v>0</v>
      </c>
      <c r="P64" s="644">
        <v>0</v>
      </c>
      <c r="Q64" s="644">
        <v>0</v>
      </c>
      <c r="R64" s="644">
        <v>0</v>
      </c>
      <c r="S64" s="644">
        <v>0</v>
      </c>
      <c r="T64" s="644">
        <v>0</v>
      </c>
      <c r="U64" s="644">
        <v>0</v>
      </c>
      <c r="V64" s="644">
        <v>4860</v>
      </c>
      <c r="W64" s="644"/>
      <c r="X64" s="644">
        <v>10</v>
      </c>
      <c r="Y64" s="644" t="s">
        <v>112</v>
      </c>
      <c r="Z64" s="645" t="s">
        <v>112</v>
      </c>
    </row>
    <row r="65" spans="1:26" s="610" customFormat="1" ht="38.25">
      <c r="A65" s="596"/>
      <c r="B65" s="789">
        <v>32003</v>
      </c>
      <c r="C65" s="789">
        <v>8600</v>
      </c>
      <c r="D65" s="644" t="s">
        <v>965</v>
      </c>
      <c r="E65" s="644" t="s">
        <v>966</v>
      </c>
      <c r="F65" s="644" t="s">
        <v>967</v>
      </c>
      <c r="G65" s="644" t="s">
        <v>968</v>
      </c>
      <c r="H65" s="644" t="s">
        <v>969</v>
      </c>
      <c r="I65" s="644" t="s">
        <v>966</v>
      </c>
      <c r="J65" s="788">
        <v>40274</v>
      </c>
      <c r="K65" s="788">
        <v>40274</v>
      </c>
      <c r="L65" s="644" t="s">
        <v>970</v>
      </c>
      <c r="M65" s="644">
        <v>32</v>
      </c>
      <c r="N65" s="644">
        <v>144</v>
      </c>
      <c r="O65" s="644">
        <v>0</v>
      </c>
      <c r="P65" s="644">
        <v>0</v>
      </c>
      <c r="Q65" s="644">
        <v>0</v>
      </c>
      <c r="R65" s="644">
        <v>0</v>
      </c>
      <c r="S65" s="644">
        <v>0</v>
      </c>
      <c r="T65" s="644">
        <v>0</v>
      </c>
      <c r="U65" s="644">
        <v>0</v>
      </c>
      <c r="V65" s="644">
        <v>360</v>
      </c>
      <c r="W65" s="644"/>
      <c r="X65" s="644">
        <v>10</v>
      </c>
      <c r="Y65" s="644" t="s">
        <v>112</v>
      </c>
      <c r="Z65" s="645" t="s">
        <v>112</v>
      </c>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410</v>
      </c>
      <c r="N89" s="599">
        <f t="shared" ref="N89:W89" si="5">SUM(N64:N88)</f>
        <v>1845</v>
      </c>
      <c r="O89" s="599">
        <f t="shared" si="5"/>
        <v>0</v>
      </c>
      <c r="P89" s="599">
        <f t="shared" si="5"/>
        <v>0</v>
      </c>
      <c r="Q89" s="599">
        <f t="shared" si="5"/>
        <v>0</v>
      </c>
      <c r="R89" s="599">
        <f t="shared" si="5"/>
        <v>0</v>
      </c>
      <c r="S89" s="599">
        <f t="shared" si="5"/>
        <v>0</v>
      </c>
      <c r="T89" s="599">
        <f t="shared" si="5"/>
        <v>0</v>
      </c>
      <c r="U89" s="599">
        <f t="shared" si="5"/>
        <v>0</v>
      </c>
      <c r="V89" s="599">
        <f t="shared" si="5"/>
        <v>5220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410</v>
      </c>
      <c r="N92" s="604">
        <f t="shared" si="8"/>
        <v>1845</v>
      </c>
      <c r="O92" s="604">
        <f t="shared" si="8"/>
        <v>0</v>
      </c>
      <c r="P92" s="604">
        <f t="shared" si="8"/>
        <v>0</v>
      </c>
      <c r="Q92" s="604">
        <f t="shared" si="8"/>
        <v>0</v>
      </c>
      <c r="R92" s="604">
        <f t="shared" si="8"/>
        <v>0</v>
      </c>
      <c r="S92" s="604">
        <f t="shared" si="8"/>
        <v>0</v>
      </c>
      <c r="T92" s="604">
        <f t="shared" si="8"/>
        <v>0</v>
      </c>
      <c r="U92" s="604">
        <f t="shared" si="8"/>
        <v>0</v>
      </c>
      <c r="V92" s="604">
        <f t="shared" si="8"/>
        <v>5220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8.5588235294117645</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12.22689075630252</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29803.359866700266</v>
      </c>
      <c r="C4" s="461">
        <f>huishoudens!C8</f>
        <v>0</v>
      </c>
      <c r="D4" s="461">
        <f>huishoudens!D8</f>
        <v>59148.177351999999</v>
      </c>
      <c r="E4" s="461">
        <f>huishoudens!E8</f>
        <v>9876.1439980778778</v>
      </c>
      <c r="F4" s="461">
        <f>huishoudens!F8</f>
        <v>11563.624216869403</v>
      </c>
      <c r="G4" s="461">
        <f>huishoudens!G8</f>
        <v>0</v>
      </c>
      <c r="H4" s="461">
        <f>huishoudens!H8</f>
        <v>0</v>
      </c>
      <c r="I4" s="461">
        <f>huishoudens!I8</f>
        <v>0</v>
      </c>
      <c r="J4" s="461">
        <f>huishoudens!J8</f>
        <v>3919.3817376315524</v>
      </c>
      <c r="K4" s="461">
        <f>huishoudens!K8</f>
        <v>0</v>
      </c>
      <c r="L4" s="461">
        <f>huishoudens!L8</f>
        <v>0</v>
      </c>
      <c r="M4" s="461">
        <f>huishoudens!M8</f>
        <v>0</v>
      </c>
      <c r="N4" s="461">
        <f>huishoudens!N8</f>
        <v>27405.266680141733</v>
      </c>
      <c r="O4" s="461">
        <f>huishoudens!O8</f>
        <v>73.476666666666674</v>
      </c>
      <c r="P4" s="462">
        <f>huishoudens!P8</f>
        <v>152.53333333333333</v>
      </c>
      <c r="Q4" s="463">
        <f>SUM(B4:P4)</f>
        <v>141941.96385142082</v>
      </c>
    </row>
    <row r="5" spans="1:17">
      <c r="A5" s="460" t="s">
        <v>156</v>
      </c>
      <c r="B5" s="461">
        <f ca="1">tertiair!B16</f>
        <v>27525.468000000001</v>
      </c>
      <c r="C5" s="461">
        <f ca="1">tertiair!C16</f>
        <v>0</v>
      </c>
      <c r="D5" s="461">
        <f ca="1">tertiair!D16</f>
        <v>14450.029176</v>
      </c>
      <c r="E5" s="461">
        <f>tertiair!E16</f>
        <v>257.20186587018719</v>
      </c>
      <c r="F5" s="461">
        <f ca="1">tertiair!F16</f>
        <v>6417.7742585132082</v>
      </c>
      <c r="G5" s="461">
        <f>tertiair!G16</f>
        <v>0</v>
      </c>
      <c r="H5" s="461">
        <f>tertiair!H16</f>
        <v>0</v>
      </c>
      <c r="I5" s="461">
        <f>tertiair!I16</f>
        <v>0</v>
      </c>
      <c r="J5" s="461">
        <f>tertiair!J16</f>
        <v>0</v>
      </c>
      <c r="K5" s="461">
        <f>tertiair!K16</f>
        <v>0</v>
      </c>
      <c r="L5" s="461">
        <f ca="1">tertiair!L16</f>
        <v>0</v>
      </c>
      <c r="M5" s="461">
        <f>tertiair!M16</f>
        <v>0</v>
      </c>
      <c r="N5" s="461">
        <f ca="1">tertiair!N16</f>
        <v>5351.7220505011564</v>
      </c>
      <c r="O5" s="461">
        <f>tertiair!O16</f>
        <v>0</v>
      </c>
      <c r="P5" s="462">
        <f>tertiair!P16</f>
        <v>0</v>
      </c>
      <c r="Q5" s="460">
        <f t="shared" ref="Q5:Q14" ca="1" si="0">SUM(B5:P5)</f>
        <v>54002.195350884555</v>
      </c>
    </row>
    <row r="6" spans="1:17">
      <c r="A6" s="460" t="s">
        <v>194</v>
      </c>
      <c r="B6" s="461">
        <f>'openbare verlichting'!B8</f>
        <v>1366.24</v>
      </c>
      <c r="C6" s="461"/>
      <c r="D6" s="461"/>
      <c r="E6" s="461"/>
      <c r="F6" s="461"/>
      <c r="G6" s="461"/>
      <c r="H6" s="461"/>
      <c r="I6" s="461"/>
      <c r="J6" s="461"/>
      <c r="K6" s="461"/>
      <c r="L6" s="461"/>
      <c r="M6" s="461"/>
      <c r="N6" s="461"/>
      <c r="O6" s="461"/>
      <c r="P6" s="462"/>
      <c r="Q6" s="460">
        <f t="shared" si="0"/>
        <v>1366.24</v>
      </c>
    </row>
    <row r="7" spans="1:17">
      <c r="A7" s="460" t="s">
        <v>112</v>
      </c>
      <c r="B7" s="461">
        <f>landbouw!B8</f>
        <v>9793.331273988988</v>
      </c>
      <c r="C7" s="461">
        <f>landbouw!C8</f>
        <v>10.392857142857141</v>
      </c>
      <c r="D7" s="461">
        <f>landbouw!D8</f>
        <v>1762.690204</v>
      </c>
      <c r="E7" s="461">
        <f>landbouw!E8</f>
        <v>92.259742348175465</v>
      </c>
      <c r="F7" s="461">
        <f>landbouw!F8</f>
        <v>31958.890068239652</v>
      </c>
      <c r="G7" s="461">
        <f>landbouw!G8</f>
        <v>0</v>
      </c>
      <c r="H7" s="461">
        <f>landbouw!H8</f>
        <v>0</v>
      </c>
      <c r="I7" s="461">
        <f>landbouw!I8</f>
        <v>0</v>
      </c>
      <c r="J7" s="461">
        <f>landbouw!J8</f>
        <v>1211.4827133466042</v>
      </c>
      <c r="K7" s="461">
        <f>landbouw!K8</f>
        <v>0</v>
      </c>
      <c r="L7" s="461">
        <f>landbouw!L8</f>
        <v>0</v>
      </c>
      <c r="M7" s="461">
        <f>landbouw!M8</f>
        <v>0</v>
      </c>
      <c r="N7" s="461">
        <f>landbouw!N8</f>
        <v>0</v>
      </c>
      <c r="O7" s="461">
        <f>landbouw!O8</f>
        <v>0</v>
      </c>
      <c r="P7" s="462">
        <f>landbouw!P8</f>
        <v>0</v>
      </c>
      <c r="Q7" s="460">
        <f t="shared" si="0"/>
        <v>44829.046859066279</v>
      </c>
    </row>
    <row r="8" spans="1:17">
      <c r="A8" s="460" t="s">
        <v>685</v>
      </c>
      <c r="B8" s="461">
        <f>industrie!B18</f>
        <v>20796.96</v>
      </c>
      <c r="C8" s="461">
        <f>industrie!C18</f>
        <v>0</v>
      </c>
      <c r="D8" s="461">
        <f>industrie!D18</f>
        <v>10862.528929999999</v>
      </c>
      <c r="E8" s="461">
        <f>industrie!E18</f>
        <v>169.27696485875302</v>
      </c>
      <c r="F8" s="461">
        <f>industrie!F18</f>
        <v>9286.8339633510714</v>
      </c>
      <c r="G8" s="461">
        <f>industrie!G18</f>
        <v>0</v>
      </c>
      <c r="H8" s="461">
        <f>industrie!H18</f>
        <v>0</v>
      </c>
      <c r="I8" s="461">
        <f>industrie!I18</f>
        <v>0</v>
      </c>
      <c r="J8" s="461">
        <f>industrie!J18</f>
        <v>69.121454135133291</v>
      </c>
      <c r="K8" s="461">
        <f>industrie!K18</f>
        <v>0</v>
      </c>
      <c r="L8" s="461">
        <f>industrie!L18</f>
        <v>0</v>
      </c>
      <c r="M8" s="461">
        <f>industrie!M18</f>
        <v>0</v>
      </c>
      <c r="N8" s="461">
        <f>industrie!N18</f>
        <v>917.425320146535</v>
      </c>
      <c r="O8" s="461">
        <f>industrie!O18</f>
        <v>0</v>
      </c>
      <c r="P8" s="462">
        <f>industrie!P18</f>
        <v>0</v>
      </c>
      <c r="Q8" s="460">
        <f t="shared" si="0"/>
        <v>42102.146632491495</v>
      </c>
    </row>
    <row r="9" spans="1:17" s="466" customFormat="1">
      <c r="A9" s="464" t="s">
        <v>579</v>
      </c>
      <c r="B9" s="465">
        <f>transport!B14</f>
        <v>3.15924044600072</v>
      </c>
      <c r="C9" s="465">
        <f>transport!C14</f>
        <v>0</v>
      </c>
      <c r="D9" s="465">
        <f>transport!D14</f>
        <v>8.646949300080907</v>
      </c>
      <c r="E9" s="465">
        <f>transport!E14</f>
        <v>502.23709038734864</v>
      </c>
      <c r="F9" s="465">
        <f>transport!F14</f>
        <v>0</v>
      </c>
      <c r="G9" s="465">
        <f>transport!G14</f>
        <v>105784.84388563839</v>
      </c>
      <c r="H9" s="465">
        <f>transport!H14</f>
        <v>19231.203328373289</v>
      </c>
      <c r="I9" s="465">
        <f>transport!I14</f>
        <v>0</v>
      </c>
      <c r="J9" s="465">
        <f>transport!J14</f>
        <v>0</v>
      </c>
      <c r="K9" s="465">
        <f>transport!K14</f>
        <v>0</v>
      </c>
      <c r="L9" s="465">
        <f>transport!L14</f>
        <v>0</v>
      </c>
      <c r="M9" s="465">
        <f>transport!M14</f>
        <v>5590.3284196339009</v>
      </c>
      <c r="N9" s="465">
        <f>transport!N14</f>
        <v>0</v>
      </c>
      <c r="O9" s="465">
        <f>transport!O14</f>
        <v>0</v>
      </c>
      <c r="P9" s="465">
        <f>transport!P14</f>
        <v>0</v>
      </c>
      <c r="Q9" s="464">
        <f>SUM(B9:P9)</f>
        <v>131120.41891377899</v>
      </c>
    </row>
    <row r="10" spans="1:17">
      <c r="A10" s="460" t="s">
        <v>569</v>
      </c>
      <c r="B10" s="461">
        <f>transport!B54</f>
        <v>0</v>
      </c>
      <c r="C10" s="461">
        <f>transport!C54</f>
        <v>0</v>
      </c>
      <c r="D10" s="461">
        <f>transport!D54</f>
        <v>0</v>
      </c>
      <c r="E10" s="461">
        <f>transport!E54</f>
        <v>0</v>
      </c>
      <c r="F10" s="461">
        <f>transport!F54</f>
        <v>0</v>
      </c>
      <c r="G10" s="461">
        <f>transport!G54</f>
        <v>2059.8886100263517</v>
      </c>
      <c r="H10" s="461">
        <f>transport!H54</f>
        <v>0</v>
      </c>
      <c r="I10" s="461">
        <f>transport!I54</f>
        <v>0</v>
      </c>
      <c r="J10" s="461">
        <f>transport!J54</f>
        <v>0</v>
      </c>
      <c r="K10" s="461">
        <f>transport!K54</f>
        <v>0</v>
      </c>
      <c r="L10" s="461">
        <f>transport!L54</f>
        <v>0</v>
      </c>
      <c r="M10" s="461">
        <f>transport!M54</f>
        <v>90.453106865067895</v>
      </c>
      <c r="N10" s="461">
        <f>transport!N54</f>
        <v>0</v>
      </c>
      <c r="O10" s="461">
        <f>transport!O54</f>
        <v>0</v>
      </c>
      <c r="P10" s="462">
        <f>transport!P54</f>
        <v>0</v>
      </c>
      <c r="Q10" s="460">
        <f t="shared" si="0"/>
        <v>2150.3417168914198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590.76499999999999</v>
      </c>
      <c r="C14" s="468"/>
      <c r="D14" s="468">
        <f>'SEAP template'!E25</f>
        <v>3304.6149999999998</v>
      </c>
      <c r="E14" s="468"/>
      <c r="F14" s="468"/>
      <c r="G14" s="468"/>
      <c r="H14" s="468"/>
      <c r="I14" s="468"/>
      <c r="J14" s="468"/>
      <c r="K14" s="468"/>
      <c r="L14" s="468"/>
      <c r="M14" s="468"/>
      <c r="N14" s="468"/>
      <c r="O14" s="468"/>
      <c r="P14" s="469"/>
      <c r="Q14" s="460">
        <f t="shared" si="0"/>
        <v>3895.3799999999997</v>
      </c>
    </row>
    <row r="15" spans="1:17" s="473" customFormat="1">
      <c r="A15" s="470" t="s">
        <v>573</v>
      </c>
      <c r="B15" s="471">
        <f ca="1">SUM(B4:B14)</f>
        <v>89879.283381135247</v>
      </c>
      <c r="C15" s="471">
        <f t="shared" ref="C15:Q15" ca="1" si="1">SUM(C4:C14)</f>
        <v>10.392857142857141</v>
      </c>
      <c r="D15" s="471">
        <f t="shared" ca="1" si="1"/>
        <v>89536.687611300076</v>
      </c>
      <c r="E15" s="471">
        <f t="shared" si="1"/>
        <v>10897.119661542341</v>
      </c>
      <c r="F15" s="471">
        <f t="shared" ca="1" si="1"/>
        <v>59227.122506973334</v>
      </c>
      <c r="G15" s="471">
        <f t="shared" si="1"/>
        <v>107844.73249566474</v>
      </c>
      <c r="H15" s="471">
        <f t="shared" si="1"/>
        <v>19231.203328373289</v>
      </c>
      <c r="I15" s="471">
        <f t="shared" si="1"/>
        <v>0</v>
      </c>
      <c r="J15" s="471">
        <f t="shared" si="1"/>
        <v>5199.9859051132908</v>
      </c>
      <c r="K15" s="471">
        <f t="shared" si="1"/>
        <v>0</v>
      </c>
      <c r="L15" s="471">
        <f t="shared" ca="1" si="1"/>
        <v>0</v>
      </c>
      <c r="M15" s="471">
        <f t="shared" si="1"/>
        <v>5680.7815264989686</v>
      </c>
      <c r="N15" s="471">
        <f t="shared" ca="1" si="1"/>
        <v>33674.414050789426</v>
      </c>
      <c r="O15" s="471">
        <f t="shared" si="1"/>
        <v>73.476666666666674</v>
      </c>
      <c r="P15" s="471">
        <f t="shared" si="1"/>
        <v>152.53333333333333</v>
      </c>
      <c r="Q15" s="471">
        <f t="shared" ca="1" si="1"/>
        <v>421407.73332453362</v>
      </c>
    </row>
    <row r="17" spans="1:17">
      <c r="A17" s="474" t="s">
        <v>574</v>
      </c>
      <c r="B17" s="778">
        <f ca="1">huishoudens!B10</f>
        <v>0.19337800736930513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5763.3143439328169</v>
      </c>
      <c r="C22" s="461">
        <f t="shared" ref="C22:C32" ca="1" si="3">C4*$C$17</f>
        <v>0</v>
      </c>
      <c r="D22" s="461">
        <f t="shared" ref="D22:D32" si="4">D4*$D$17</f>
        <v>11947.931825104</v>
      </c>
      <c r="E22" s="461">
        <f t="shared" ref="E22:E32" si="5">E4*$E$17</f>
        <v>2241.8846875636782</v>
      </c>
      <c r="F22" s="461">
        <f t="shared" ref="F22:F32" si="6">F4*$F$17</f>
        <v>3087.4876659041306</v>
      </c>
      <c r="G22" s="461">
        <f t="shared" ref="G22:G32" si="7">G4*$G$17</f>
        <v>0</v>
      </c>
      <c r="H22" s="461">
        <f t="shared" ref="H22:H32" si="8">H4*$H$17</f>
        <v>0</v>
      </c>
      <c r="I22" s="461">
        <f t="shared" ref="I22:I32" si="9">I4*$I$17</f>
        <v>0</v>
      </c>
      <c r="J22" s="461">
        <f t="shared" ref="J22:J32" si="10">J4*$J$17</f>
        <v>1387.4611351215694</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24428.079657626193</v>
      </c>
    </row>
    <row r="23" spans="1:17">
      <c r="A23" s="460" t="s">
        <v>156</v>
      </c>
      <c r="B23" s="461">
        <f t="shared" ca="1" si="2"/>
        <v>5322.8201537475725</v>
      </c>
      <c r="C23" s="461">
        <f t="shared" ca="1" si="3"/>
        <v>0</v>
      </c>
      <c r="D23" s="461">
        <f t="shared" ca="1" si="4"/>
        <v>2918.9058935520002</v>
      </c>
      <c r="E23" s="461">
        <f t="shared" si="5"/>
        <v>58.384823552532495</v>
      </c>
      <c r="F23" s="461">
        <f t="shared" ca="1" si="6"/>
        <v>1713.5457270230268</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10013.656597875133</v>
      </c>
    </row>
    <row r="24" spans="1:17">
      <c r="A24" s="460" t="s">
        <v>194</v>
      </c>
      <c r="B24" s="461">
        <f t="shared" ca="1" si="2"/>
        <v>264.20076878823943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264.20076878823943</v>
      </c>
    </row>
    <row r="25" spans="1:17">
      <c r="A25" s="460" t="s">
        <v>112</v>
      </c>
      <c r="B25" s="461">
        <f t="shared" ca="1" si="2"/>
        <v>1893.8148872714889</v>
      </c>
      <c r="C25" s="461">
        <f t="shared" ca="1" si="3"/>
        <v>0</v>
      </c>
      <c r="D25" s="461">
        <f t="shared" si="4"/>
        <v>356.06342120800002</v>
      </c>
      <c r="E25" s="461">
        <f t="shared" si="5"/>
        <v>20.942961513035833</v>
      </c>
      <c r="F25" s="461">
        <f t="shared" si="6"/>
        <v>8533.0236482199871</v>
      </c>
      <c r="G25" s="461">
        <f t="shared" si="7"/>
        <v>0</v>
      </c>
      <c r="H25" s="461">
        <f t="shared" si="8"/>
        <v>0</v>
      </c>
      <c r="I25" s="461">
        <f t="shared" si="9"/>
        <v>0</v>
      </c>
      <c r="J25" s="461">
        <f t="shared" si="10"/>
        <v>428.86488052469787</v>
      </c>
      <c r="K25" s="461">
        <f t="shared" si="11"/>
        <v>0</v>
      </c>
      <c r="L25" s="461">
        <f t="shared" si="12"/>
        <v>0</v>
      </c>
      <c r="M25" s="461">
        <f t="shared" si="13"/>
        <v>0</v>
      </c>
      <c r="N25" s="461">
        <f t="shared" si="14"/>
        <v>0</v>
      </c>
      <c r="O25" s="461">
        <f t="shared" si="15"/>
        <v>0</v>
      </c>
      <c r="P25" s="462">
        <f t="shared" si="16"/>
        <v>0</v>
      </c>
      <c r="Q25" s="460">
        <f t="shared" ca="1" si="17"/>
        <v>11232.709798737209</v>
      </c>
    </row>
    <row r="26" spans="1:17">
      <c r="A26" s="460" t="s">
        <v>685</v>
      </c>
      <c r="B26" s="461">
        <f t="shared" ca="1" si="2"/>
        <v>4021.6746841391441</v>
      </c>
      <c r="C26" s="461">
        <f t="shared" ca="1" si="3"/>
        <v>0</v>
      </c>
      <c r="D26" s="461">
        <f t="shared" si="4"/>
        <v>2194.2308438599998</v>
      </c>
      <c r="E26" s="461">
        <f t="shared" si="5"/>
        <v>38.425871022936938</v>
      </c>
      <c r="F26" s="461">
        <f t="shared" si="6"/>
        <v>2479.5846682147362</v>
      </c>
      <c r="G26" s="461">
        <f t="shared" si="7"/>
        <v>0</v>
      </c>
      <c r="H26" s="461">
        <f t="shared" si="8"/>
        <v>0</v>
      </c>
      <c r="I26" s="461">
        <f t="shared" si="9"/>
        <v>0</v>
      </c>
      <c r="J26" s="461">
        <f t="shared" si="10"/>
        <v>24.468994763837184</v>
      </c>
      <c r="K26" s="461">
        <f t="shared" si="11"/>
        <v>0</v>
      </c>
      <c r="L26" s="461">
        <f t="shared" si="12"/>
        <v>0</v>
      </c>
      <c r="M26" s="461">
        <f t="shared" si="13"/>
        <v>0</v>
      </c>
      <c r="N26" s="461">
        <f t="shared" si="14"/>
        <v>0</v>
      </c>
      <c r="O26" s="461">
        <f t="shared" si="15"/>
        <v>0</v>
      </c>
      <c r="P26" s="462">
        <f t="shared" si="16"/>
        <v>0</v>
      </c>
      <c r="Q26" s="460">
        <f t="shared" ca="1" si="17"/>
        <v>8758.385062000656</v>
      </c>
    </row>
    <row r="27" spans="1:17" s="466" customFormat="1">
      <c r="A27" s="464" t="s">
        <v>579</v>
      </c>
      <c r="B27" s="772">
        <f t="shared" ca="1" si="2"/>
        <v>0.61092762224813402</v>
      </c>
      <c r="C27" s="465">
        <f t="shared" ca="1" si="3"/>
        <v>0</v>
      </c>
      <c r="D27" s="465">
        <f t="shared" si="4"/>
        <v>1.7466837586163433</v>
      </c>
      <c r="E27" s="465">
        <f t="shared" si="5"/>
        <v>114.00781951792814</v>
      </c>
      <c r="F27" s="465">
        <f t="shared" si="6"/>
        <v>0</v>
      </c>
      <c r="G27" s="465">
        <f t="shared" si="7"/>
        <v>28244.553317465452</v>
      </c>
      <c r="H27" s="465">
        <f t="shared" si="8"/>
        <v>4788.5696287649489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33149.488377129193</v>
      </c>
    </row>
    <row r="28" spans="1:17">
      <c r="A28" s="460" t="s">
        <v>569</v>
      </c>
      <c r="B28" s="461">
        <f t="shared" ca="1" si="2"/>
        <v>0</v>
      </c>
      <c r="C28" s="461">
        <f t="shared" ca="1" si="3"/>
        <v>0</v>
      </c>
      <c r="D28" s="461">
        <f t="shared" si="4"/>
        <v>0</v>
      </c>
      <c r="E28" s="461">
        <f t="shared" si="5"/>
        <v>0</v>
      </c>
      <c r="F28" s="461">
        <f t="shared" si="6"/>
        <v>0</v>
      </c>
      <c r="G28" s="461">
        <f t="shared" si="7"/>
        <v>549.9902588770359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549.9902588770359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114.24095852352754</v>
      </c>
      <c r="C32" s="461">
        <f t="shared" ca="1" si="3"/>
        <v>0</v>
      </c>
      <c r="D32" s="461">
        <f t="shared" si="4"/>
        <v>667.53223000000003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781.77318852352755</v>
      </c>
    </row>
    <row r="33" spans="1:17" s="473" customFormat="1">
      <c r="A33" s="470" t="s">
        <v>573</v>
      </c>
      <c r="B33" s="471">
        <f ca="1">SUM(B22:B32)</f>
        <v>17380.676724025037</v>
      </c>
      <c r="C33" s="471">
        <f t="shared" ref="C33:Q33" ca="1" si="18">SUM(C22:C32)</f>
        <v>0</v>
      </c>
      <c r="D33" s="471">
        <f t="shared" ca="1" si="18"/>
        <v>18086.410897482619</v>
      </c>
      <c r="E33" s="471">
        <f t="shared" si="18"/>
        <v>2473.6461631701113</v>
      </c>
      <c r="F33" s="471">
        <f t="shared" ca="1" si="18"/>
        <v>15813.641709361882</v>
      </c>
      <c r="G33" s="471">
        <f t="shared" si="18"/>
        <v>28794.543576342487</v>
      </c>
      <c r="H33" s="471">
        <f t="shared" si="18"/>
        <v>4788.5696287649489</v>
      </c>
      <c r="I33" s="471">
        <f t="shared" si="18"/>
        <v>0</v>
      </c>
      <c r="J33" s="471">
        <f t="shared" si="18"/>
        <v>1840.7950104101044</v>
      </c>
      <c r="K33" s="471">
        <f t="shared" si="18"/>
        <v>0</v>
      </c>
      <c r="L33" s="471">
        <f t="shared" ca="1" si="18"/>
        <v>0</v>
      </c>
      <c r="M33" s="471">
        <f t="shared" si="18"/>
        <v>0</v>
      </c>
      <c r="N33" s="471">
        <f t="shared" ca="1" si="18"/>
        <v>0</v>
      </c>
      <c r="O33" s="471">
        <f t="shared" si="18"/>
        <v>0</v>
      </c>
      <c r="P33" s="471">
        <f t="shared" si="18"/>
        <v>0</v>
      </c>
      <c r="Q33" s="471">
        <f t="shared" ca="1" si="18"/>
        <v>89178.283709557174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2648.7481688010957</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6732.6641760217681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7.2749999999999986</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8.5588235294117645</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1845</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5220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11233.687344822863</v>
      </c>
      <c r="C10" s="1041">
        <f>SUM(C4:C9)</f>
        <v>0</v>
      </c>
      <c r="D10" s="1041">
        <f t="shared" ref="D10:H10" si="0">SUM(D8:D9)</f>
        <v>0</v>
      </c>
      <c r="E10" s="1041">
        <f t="shared" si="0"/>
        <v>0</v>
      </c>
      <c r="F10" s="1041">
        <f t="shared" si="0"/>
        <v>0</v>
      </c>
      <c r="G10" s="1041">
        <f t="shared" si="0"/>
        <v>0</v>
      </c>
      <c r="H10" s="1041">
        <f t="shared" si="0"/>
        <v>0</v>
      </c>
      <c r="I10" s="1041">
        <f>SUM(I8:I9)</f>
        <v>0</v>
      </c>
      <c r="J10" s="1041">
        <f>SUM(J8:J9)</f>
        <v>5228.5588235294117</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0.19337800736930513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10.392857142857141</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12.22689075630252</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10.392857142857141</v>
      </c>
      <c r="C20" s="1041">
        <f>SUM(C17:C19)</f>
        <v>0</v>
      </c>
      <c r="D20" s="1041">
        <f t="shared" ref="D20:H20" si="2">SUM(D17:D19)</f>
        <v>0</v>
      </c>
      <c r="E20" s="1041">
        <f t="shared" si="2"/>
        <v>0</v>
      </c>
      <c r="F20" s="1041">
        <f t="shared" si="2"/>
        <v>0</v>
      </c>
      <c r="G20" s="1041">
        <f t="shared" si="2"/>
        <v>0</v>
      </c>
      <c r="H20" s="1041">
        <f t="shared" si="2"/>
        <v>0</v>
      </c>
      <c r="I20" s="1041">
        <f>SUM(I17:I19)</f>
        <v>0</v>
      </c>
      <c r="J20" s="1041">
        <f>SUM(J17:J19)</f>
        <v>12.22689075630252</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0.19337800736930513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2019-08-12T07:54:18Z</dcterms:modified>
</cp:coreProperties>
</file>