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<sst xmlns="http://schemas.openxmlformats.org/spreadsheetml/2006/main" count="2513" uniqueCount="961">
  <si>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</si>
  <si>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</si>
  <si>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</si>
  <si>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</si>
  <si>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</si>
  <si>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</si>
  <si>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</si>
  <si>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</si>
  <si>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</si>
  <si>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</si>
  <si>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</si>
  <si>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</si>
  <si>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</si>
  <si>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</si>
  <si>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</si>
  <si>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</si>
  <si>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</si>
  <si>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</si>
  <si>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</si>
  <si>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</si>
  <si>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</si>
  <si>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</si>
  <si>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</si>
  <si>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</si>
  <si>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</si>
  <si>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</si>
  <si>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</si>
  <si>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</si>
  <si>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</si>
  <si>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</si>
  <si>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</si>
  <si>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</si>
  <si>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</si>
  <si>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</si>
  <si>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</si>
  <si>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</si>
  <si>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</si>
  <si>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</si>
  <si>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</si>
  <si>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</si>
  <si>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</si>
  <si>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</si>
  <si>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</si>
  <si>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</si>
  <si>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</si>
  <si>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</si>
  <si>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</si>
  <si>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</si>
  <si>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</si>
  <si>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</si>
  <si>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</si>
  <si>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</si>
  <si>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</si>
  <si>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</si>
  <si>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</si>
  <si>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</si>
  <si>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</si>
  <si>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</si>
  <si>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</si>
  <si>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</si>
  <si>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</si>
  <si>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</si>
  <si>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</si>
  <si>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</si>
  <si>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</si>
  <si>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</si>
  <si>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</si>
  <si>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</si>
  <si>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</si>
  <si>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</si>
  <si>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</si>
  <si>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</si>
  <si>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</si>
  <si>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</si>
  <si>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</si>
  <si>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</si>
  <si>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</si>
  <si>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</si>
  <si>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</si>
  <si>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</si>
  <si>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</si>
  <si>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</si>
  <si>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</si>
  <si>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</si>
  <si>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</si>
  <si>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</si>
  <si>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</si>
  <si>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</si>
  <si>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</si>
  <si>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</si>
  <si>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</si>
  <si>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</si>
  <si>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</si>
  <si>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</si>
  <si>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</si>
  <si>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</si>
  <si>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</si>
  <si>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</si>
  <si>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</si>
  <si>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</si>
  <si>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</si>
  <si>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</si>
  <si>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</si>
  <si>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</si>
  <si>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</si>
  <si>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</si>
  <si>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</si>
  <si>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</si>
  <si>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</si>
  <si>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</si>
  <si>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</si>
  <si>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</si>
  <si>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</si>
  <si>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</si>
  <si>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</si>
  <si>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</si>
  <si>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</si>
  <si>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</si>
  <si>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</si>
  <si>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</si>
  <si>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</si>
  <si>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</si>
  <si>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</si>
  <si>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</si>
  <si>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</si>
  <si>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</si>
  <si>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</si>
  <si>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</si>
  <si>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</si>
  <si>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</si>
  <si>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</si>
  <si>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</si>
  <si>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</si>
  <si>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</si>
  <si>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</si>
  <si>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</si>
  <si>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</si>
  <si>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</si>
  <si>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</si>
  <si>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</si>
  <si>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</si>
  <si>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</si>
  <si>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</si>
  <si>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</si>
  <si>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</si>
  <si>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</si>
  <si>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</si>
  <si>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</si>
  <si>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</si>
  <si>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</si>
  <si>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</si>
  <si>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</si>
  <si>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</si>
  <si>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</si>
  <si>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</si>
  <si>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</si>
  <si>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</si>
  <si>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</si>
  <si>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</si>
  <si>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</si>
  <si>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</si>
  <si>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</si>
  <si>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</si>
  <si>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</si>
  <si>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</si>
  <si>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</si>
  <si>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</si>
  <si>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</si>
  <si>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</si>
  <si>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</si>
  <si>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</si>
  <si>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</si>
  <si>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</si>
  <si>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</si>
  <si>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</si>
  <si>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</si>
  <si>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</si>
  <si>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</si>
  <si>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</si>
  <si>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</si>
  <si>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</si>
  <si>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</si>
  <si>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</si>
  <si>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</si>
  <si>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</si>
  <si>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</si>
  <si>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</si>
  <si>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</si>
  <si>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</si>
  <si>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</si>
  <si>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</si>
  <si>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</si>
  <si>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</si>
  <si>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</si>
  <si>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</si>
  <si>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</si>
  <si>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</si>
  <si>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</si>
  <si>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</si>
  <si>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</si>
  <si>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</si>
  <si>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</si>
  <si>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</si>
  <si>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</si>
  <si>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</si>
  <si>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</si>
  <si>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</si>
  <si>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</si>
  <si>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</si>
  <si>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</si>
  <si>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</si>
  <si>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</si>
  <si>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</si>
  <si>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</si>
  <si>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</si>
  <si>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</si>
  <si>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</si>
  <si>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</si>
  <si>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</si>
  <si>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</si>
  <si>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</si>
  <si>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</si>
  <si>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</si>
  <si>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</si>
  <si>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</si>
  <si>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</si>
  <si>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</si>
  <si>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</si>
  <si>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</si>
  <si>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</si>
  <si>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</si>
  <si>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</si>
  <si>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</si>
  <si>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</si>
  <si>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</si>
  <si>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</si>
  <si>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</si>
  <si>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</si>
  <si>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</si>
  <si>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</si>
  <si>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</si>
  <si>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</si>
  <si>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</si>
  <si>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</si>
  <si>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</si>
  <si>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</si>
  <si>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</si>
  <si>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</si>
  <si>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</si>
  <si>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</si>
  <si>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</si>
  <si>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</si>
  <si>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</si>
  <si>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</si>
  <si>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</si>
  <si>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</si>
  <si>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</si>
  <si>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</si>
  <si>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</si>
  <si>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</si>
  <si>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</si>
  <si>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</si>
  <si>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</si>
  <si>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</si>
  <si>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</si>
  <si>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</si>
  <si>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</si>
  <si>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</si>
  <si>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</si>
  <si>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</si>
  <si>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</si>
  <si>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</si>
  <si>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</si>
  <si>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</si>
  <si>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</si>
  <si>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</si>
  <si>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</si>
  <si>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</si>
  <si>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</si>
  <si>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</si>
  <si>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</si>
  <si>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</si>
  <si>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</si>
  <si>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</si>
  <si>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</si>
  <si>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</si>
  <si>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</si>
  <si>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</si>
  <si>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</si>
  <si>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</si>
  <si>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</si>
  <si>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</si>
  <si>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</si>
  <si>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</si>
  <si>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</si>
  <si>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</si>
  <si>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</si>
  <si>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</si>
  <si>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</si>
  <si>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</si>
  <si>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</si>
  <si>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</si>
  <si>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</si>
  <si>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</si>
  <si>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</si>
  <si>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</si>
  <si>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</si>
  <si>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</si>
  <si>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</si>
  <si>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</si>
  <si>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</si>
  <si>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</si>
  <si>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</si>
  <si>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</si>
  <si>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</si>
  <si>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</si>
  <si>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</si>
  <si>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</si>
  <si>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</si>
  <si>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</si>
  <si>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</si>
  <si>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</si>
  <si>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</si>
  <si>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</si>
  <si>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</si>
  <si>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</si>
  <si>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</si>
  <si>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</si>
  <si>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</si>
  <si>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</si>
  <si>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</si>
  <si>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</si>
  <si>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</si>
  <si>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</si>
  <si>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</si>
  <si>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</si>
  <si>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</si>
  <si>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</si>
  <si>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</si>
  <si>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</si>
  <si>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</si>
  <si>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</si>
  <si>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</si>
  <si>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</si>
  <si>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</si>
  <si>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</si>
  <si>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</si>
  <si>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</si>
  <si>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</si>
  <si>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</si>
  <si>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</si>
  <si>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</si>
  <si>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</si>
  <si>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</si>
  <si>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</si>
  <si>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</si>
  <si>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</si>
  <si>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</si>
  <si>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</si>
  <si>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</si>
  <si>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</si>
  <si>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</si>
  <si>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</si>
  <si>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</si>
  <si>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</si>
  <si>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</si>
  <si>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</si>
  <si>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</si>
  <si>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</si>
  <si>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</si>
  <si>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</si>
  <si>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</si>
  <si>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</si>
  <si>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</si>
  <si>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</si>
  <si>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</si>
  <si>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</si>
  <si>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</si>
  <si>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</si>
  <si>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</si>
  <si>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</si>
  <si>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</si>
  <si>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</si>
  <si>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</si>
  <si>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</si>
  <si>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</si>
  <si>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</si>
  <si>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</si>
  <si>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</si>
  <si>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</si>
  <si>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</si>
  <si>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</si>
  <si>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</si>
  <si>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</si>
  <si>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</si>
  <si>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</si>
  <si>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</si>
  <si>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</si>
  <si>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</si>
  <si>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</si>
  <si>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</si>
  <si>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</si>
  <si>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</si>
  <si>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</si>
  <si>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</si>
  <si>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</si>
  <si>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</si>
  <si>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</si>
  <si>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</si>
  <si>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</si>
  <si>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</si>
  <si>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</si>
  <si>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</si>
  <si>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</si>
  <si>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</si>
  <si>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</si>
  <si>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</si>
  <si>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</si>
  <si>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</si>
  <si>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</si>
  <si>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</si>
  <si>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</si>
  <si>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</si>
  <si>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</si>
  <si>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</si>
  <si>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</si>
  <si>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</si>
  <si>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</si>
  <si>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</si>
  <si>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</si>
  <si>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</si>
  <si>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</si>
  <si>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</si>
  <si>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</si>
  <si>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</si>
  <si>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</si>
  <si>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</si>
  <si>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</si>
  <si>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</si>
  <si>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</si>
  <si>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</si>
  <si>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</si>
  <si>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</si>
  <si>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</si>
  <si>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</si>
  <si>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</si>
  <si>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</si>
  <si>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</si>
  <si>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</si>
  <si>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</si>
  <si>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</si>
  <si>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</si>
  <si>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</si>
  <si>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</si>
  <si>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</si>
  <si>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</si>
  <si>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</si>
  <si>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</si>
  <si>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</si>
  <si>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</si>
  <si>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</si>
  <si>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</si>
  <si>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</si>
  <si>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</si>
  <si>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</si>
  <si>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</si>
  <si>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</si>
  <si>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</si>
  <si>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</si>
  <si>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</si>
  <si>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</si>
  <si>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</si>
  <si>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</si>
  <si>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</si>
  <si>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</si>
  <si>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</si>
  <si>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</si>
  <si>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</si>
  <si>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</si>
  <si>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</si>
  <si>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</si>
  <si>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</si>
  <si>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</si>
  <si>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</si>
  <si>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</si>
  <si>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</si>
  <si>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</si>
  <si>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</si>
  <si>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</si>
  <si>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</si>
  <si>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</si>
  <si>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</si>
  <si>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</si>
  <si>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</si>
  <si>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</si>
  <si>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</si>
  <si>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</si>
  <si>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</si>
  <si>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</si>
  <si>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</si>
  <si>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</si>
  <si>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</si>
  <si>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</si>
  <si>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</si>
  <si>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</si>
  <si>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</si>
  <si>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</si>
  <si>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</si>
  <si>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</si>
  <si>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</si>
  <si>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</si>
  <si>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</si>
  <si>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</si>
  <si>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</si>
  <si>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</si>
  <si>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</si>
  <si>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</si>
  <si>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</si>
  <si>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</si>
  <si>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</si>
  <si>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</si>
  <si>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</si>
  <si>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</si>
  <si>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</si>
  <si>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</si>
  <si>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</si>
  <si>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</si>
  <si>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</si>
  <si>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</si>
  <si>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</si>
  <si>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</si>
  <si>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</si>
  <si>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</si>
  <si>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</si>
  <si>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</si>
  <si>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</si>
  <si>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</si>
  <si>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</si>
  <si>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</si>
  <si>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</si>
  <si>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</si>
  <si>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</si>
  <si>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</si>
  <si>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</si>
  <si>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</si>
  <si>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</si>
  <si>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</si>
  <si>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</si>
  <si>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</si>
  <si>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</si>
  <si>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</si>
  <si>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</si>
  <si>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</si>
  <si>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</si>
  <si>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</si>
  <si>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</si>
  <si>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</si>
  <si>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</si>
  <si>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</si>
  <si>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</si>
  <si>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</si>
  <si>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</si>
  <si>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</si>
  <si>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</si>
  <si>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</si>
  <si>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</si>
  <si>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</si>
  <si>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</si>
  <si>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</si>
  <si>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</si>
  <si>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</si>
  <si>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</si>
  <si>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</si>
  <si>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</si>
  <si>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</si>
  <si>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</si>
  <si>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</si>
  <si>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</si>
  <si>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</si>
  <si>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</si>
  <si>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</si>
  <si>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</si>
  <si>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</si>
  <si>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</si>
  <si>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</si>
  <si>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</si>
  <si>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</si>
  <si>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</si>
  <si>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</si>
  <si>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</si>
  <si>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</si>
  <si>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</si>
  <si>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</si>
  <si>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</si>
  <si>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</si>
  <si>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</si>
  <si>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</si>
  <si>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</si>
  <si>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</si>
  <si>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</si>
  <si>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</si>
  <si>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</si>
  <si>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</si>
  <si>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</si>
  <si>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</si>
  <si>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</si>
  <si>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</si>
  <si>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</si>
  <si>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</si>
  <si>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</si>
  <si>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</si>
  <si>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</si>
  <si>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</si>
  <si>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</si>
  <si>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</si>
  <si>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</si>
  <si>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</si>
  <si>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</si>
  <si>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</si>
  <si>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</si>
  <si>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</si>
  <si>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</si>
  <si>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</si>
  <si>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</si>
  <si>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</si>
  <si>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</si>
  <si>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</si>
  <si>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</si>
  <si>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</si>
  <si>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</si>
  <si>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</si>
  <si>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</si>
  <si>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</si>
  <si>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</si>
  <si>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</si>
  <si>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</si>
  <si>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</si>
  <si>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</si>
  <si>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</si>
  <si>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</si>
  <si>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</si>
  <si>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</si>
  <si>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</si>
  <si>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</si>
  <si>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</si>
  <si>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</si>
  <si>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</si>
  <si>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</si>
  <si>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</si>
  <si>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</si>
  <si>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</si>
  <si>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</si>
  <si>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</si>
  <si>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</si>
  <si>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</si>
  <si>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</si>
  <si>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</si>
  <si>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</si>
  <si>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</si>
  <si>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</si>
  <si>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</si>
  <si>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</si>
  <si>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</si>
  <si>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</si>
  <si>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</si>
  <si>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</si>
  <si>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</si>
  <si>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</si>
  <si>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</si>
  <si>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</si>
  <si>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</si>
  <si>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</si>
  <si>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</si>
  <si>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</si>
  <si>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</si>
  <si>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</si>
  <si>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</si>
  <si>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</si>
  <si>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</si>
  <si>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</si>
  <si>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</si>
  <si>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</si>
  <si>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</si>
  <si>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</si>
  <si>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</si>
  <si>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</si>
  <si>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</si>
  <si>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</si>
  <si>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</si>
  <si>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</si>
  <si>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</si>
  <si>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</si>
  <si>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</si>
  <si>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</si>
  <si>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</si>
  <si>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</si>
  <si>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</si>
  <si>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</si>
  <si>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</si>
  <si>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</si>
  <si>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</si>
  <si>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</si>
  <si>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</si>
  <si>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</si>
  <si>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</si>
  <si>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</si>
  <si>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</si>
  <si>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</si>
  <si>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</si>
  <si>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</si>
  <si>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</si>
  <si>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</si>
  <si>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</si>
  <si>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</si>
  <si>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</si>
  <si>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</si>
  <si>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</si>
  <si>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</si>
  <si>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</si>
  <si>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</si>
  <si>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</si>
  <si>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</si>
  <si>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</si>
  <si>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</si>
  <si>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</si>
  <si>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</si>
  <si>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</si>
  <si>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</si>
  <si>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</si>
  <si>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</si>
  <si>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</si>
  <si>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</si>
  <si>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</si>
  <si>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</si>
  <si>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</si>
  <si>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</si>
  <si>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</si>
  <si>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</si>
  <si>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</si>
  <si>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</si>
  <si>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</si>
  <si>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</si>
  <si>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</si>
  <si>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</si>
  <si>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</si>
  <si>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</si>
  <si>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</si>
  <si>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</si>
  <si>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</si>
  <si>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</si>
  <si>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</si>
  <si>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</si>
  <si>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</si>
  <si>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</si>
  <si>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</si>
  <si>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</si>
  <si>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</si>
  <si>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</si>
  <si>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</si>
  <si>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</si>
  <si>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</si>
  <si>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</si>
  <si>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</si>
  <si>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</si>
  <si>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</si>
  <si>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</si>
  <si>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</si>
  <si>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</si>
  <si>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</si>
  <si>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</si>
  <si>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</si>
  <si>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</si>
  <si>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</si>
  <si>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</si>
  <si>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</si>
  <si>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</si>
  <si>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</si>
  <si>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</si>
  <si>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</si>
  <si>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</si>
  <si>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</si>
  <si>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</si>
  <si>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</si>
  <si>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</si>
  <si>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</si>
  <si>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</si>
  <si>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</si>
  <si>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</si>
  <si>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</si>
  <si>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</si>
  <si>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</si>
  <si>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</si>
  <si>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</si>
  <si>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</si>
  <si>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</si>
  <si>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</si>
  <si>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</si>
  <si>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</si>
  <si>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</si>
  <si>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</si>
  <si>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</si>
  <si>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</si>
  <si>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</si>
  <si>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</si>
  <si>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</si>
  <si>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</si>
  <si>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</si>
  <si>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</si>
  <si>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</si>
  <si>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</si>
  <si>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</si>
  <si>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</si>
  <si>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</si>
  <si>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</si>
  <si>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</si>
  <si>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</si>
  <si>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</si>
  <si>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</si>
  <si>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</si>
  <si>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</si>
  <si>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</si>
  <si>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</si>
  <si>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</si>
  <si>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</si>
  <si>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</si>
  <si>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</si>
  <si>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</si>
  <si>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</si>
  <si>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</si>
  <si>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</si>
  <si>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</si>
  <si>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</si>
  <si>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</si>
  <si>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</si>
  <si>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</si>
  <si>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</si>
  <si>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</si>
  <si>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</si>
  <si>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</si>
  <si>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</si>
  <si>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</si>
  <si>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</si>
  <si>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</si>
  <si>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</si>
  <si>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</si>
  <si>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</si>
  <si>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</si>
  <si>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</si>
  <si>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</si>
  <si>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</si>
  <si>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</si>
  <si>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</si>
  <si>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</si>
  <si>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</si>
  <si>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</si>
  <si>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</si>
  <si>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</si>
  <si>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</si>
  <si>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</si>
  <si>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</si>
  <si>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</si>
  <si>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</si>
  <si>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</si>
  <si>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</si>
  <si>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</si>
  <si>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</si>
  <si>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</si>
  <si>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</si>
  <si>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</si>
  <si>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</si>
  <si>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</si>
  <si>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</si>
  <si>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</si>
  <si>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</si>
  <si>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</si>
  <si>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</si>
  <si>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</si>
  <si>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</si>
  <si>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</si>
  <si>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</si>
  <si>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</si>
  <si>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</si>
  <si>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</si>
  <si>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</si>
  <si>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</si>
  <si>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</si>
  <si>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</si>
  <si>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</si>
  <si>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</si>
  <si>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</si>
  <si>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</si>
  <si>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</si>
  <si>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</si>
  <si>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</si>
  <si>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</si>
  <si>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</si>
  <si>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</si>
  <si>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</si>
  <si>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</si>
  <si>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</si>
  <si>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</si>
  <si>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</si>
  <si>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</si>
  <si>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</si>
  <si>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</si>
  <si>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</si>
  <si>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</si>
  <si>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</si>
  <si>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</si>
  <si>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</si>
  <si>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</si>
  <si>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</si>
  <si>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</si>
  <si>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</si>
  <si>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</si>
  <si>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</si>
  <si>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</si>
  <si>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</si>
  <si>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</si>
  <si>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</si>
  <si>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</si>
  <si>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</si>
  <si>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</si>
  <si>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</si>
  <si>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</si>
  <si>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</si>
  <si>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</si>
  <si>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</si>
  <si>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</si>
  <si>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</si>
  <si>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</si>
  <si>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</si>
  <si>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</si>
  <si>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</si>
  <si>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</si>
  <si>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</si>
  <si>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</si>
  <si>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</si>
  <si>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</si>
  <si>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</si>
  <si>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</si>
  <si>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</si>
  <si>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31040</t>
  </si>
  <si>
    <t>ZEDELGEM</t>
  </si>
  <si>
    <t>Paarden&amp;pony's 200 - 600 kg</t>
  </si>
  <si>
    <t>Paarden&amp;pony's &lt; 200 kg</t>
  </si>
  <si>
    <t>op basis van VEA (maart 2018) en Inventaris Hernieuwbare Energiebronnen (juni 2018)</t>
  </si>
  <si>
    <t>VEA (juni 2018)</t>
  </si>
  <si>
    <t>De Rese Roger nv in vereffening</t>
  </si>
  <si>
    <t>Torhoutsesteenweg 237, 8200 Sint-Andries</t>
  </si>
  <si>
    <t>WKK-0153 Slachthuis De Rese</t>
  </si>
  <si>
    <t>interne verbrandingsmotor</t>
  </si>
  <si>
    <t>WKK interne verbrandinsgmotor (gas)</t>
  </si>
  <si>
    <t>Torhoutsesteenweg 237, 8210 Zedelgem</t>
  </si>
  <si>
    <t>IMEWO</t>
  </si>
  <si>
    <t>Alex Allemeersch</t>
  </si>
  <si>
    <t>Faliestraat 59 , 8210 Zedelgem</t>
  </si>
  <si>
    <t>WKK-0350 Alex Allemeersch</t>
  </si>
  <si>
    <t>Vandtra</t>
  </si>
  <si>
    <t>Faliestraat 40B, 8210 Zedelgem</t>
  </si>
  <si>
    <t>WKK-0036 Vandevelde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</si>
</sst>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31040</v>
      </c>
      <c r="B6" s="397"/>
      <c r="C6" s="398"/>
    </row>
    <row r="7" spans="1:7" s="395" customFormat="1" ht="15.75" customHeight="1">
      <c r="A7" s="399" t="str">
        <f>txtMunicipality</f>
        <v>ZEDELGEM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0.19289129760099857</v>
      </c>
      <c r="C17" s="510">
        <f ca="1">'EF ele_warmte'!B22</f>
        <v>0.1921695904326213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0.19289129760099857</v>
      </c>
      <c r="C29" s="511">
        <f ca="1">'EF ele_warmte'!B22</f>
        <v>0.1921695904326213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8856</v>
      </c>
      <c r="C9" s="338">
        <v>9296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3547</v>
      </c>
    </row>
    <row r="15" spans="1:6">
      <c r="A15" s="1286" t="s">
        <v>184</v>
      </c>
      <c r="B15" s="335">
        <v>780</v>
      </c>
    </row>
    <row r="16" spans="1:6">
      <c r="A16" s="1286" t="s">
        <v>6</v>
      </c>
      <c r="B16" s="335">
        <v>1350</v>
      </c>
    </row>
    <row r="17" spans="1:6">
      <c r="A17" s="1286" t="s">
        <v>7</v>
      </c>
      <c r="B17" s="335">
        <v>1844</v>
      </c>
    </row>
    <row r="18" spans="1:6">
      <c r="A18" s="1286" t="s">
        <v>8</v>
      </c>
      <c r="B18" s="335">
        <v>2369</v>
      </c>
    </row>
    <row r="19" spans="1:6">
      <c r="A19" s="1286" t="s">
        <v>9</v>
      </c>
      <c r="B19" s="335">
        <v>2121</v>
      </c>
    </row>
    <row r="20" spans="1:6">
      <c r="A20" s="1286" t="s">
        <v>10</v>
      </c>
      <c r="B20" s="335">
        <v>1670</v>
      </c>
    </row>
    <row r="21" spans="1:6">
      <c r="A21" s="1286" t="s">
        <v>11</v>
      </c>
      <c r="B21" s="335">
        <v>15062</v>
      </c>
    </row>
    <row r="22" spans="1:6">
      <c r="A22" s="1286" t="s">
        <v>12</v>
      </c>
      <c r="B22" s="335">
        <v>52402</v>
      </c>
    </row>
    <row r="23" spans="1:6">
      <c r="A23" s="1286" t="s">
        <v>13</v>
      </c>
      <c r="B23" s="335">
        <v>1574</v>
      </c>
    </row>
    <row r="24" spans="1:6">
      <c r="A24" s="1286" t="s">
        <v>14</v>
      </c>
      <c r="B24" s="335">
        <v>36</v>
      </c>
    </row>
    <row r="25" spans="1:6">
      <c r="A25" s="1286" t="s">
        <v>15</v>
      </c>
      <c r="B25" s="335">
        <v>4003</v>
      </c>
    </row>
    <row r="26" spans="1:6">
      <c r="A26" s="1286" t="s">
        <v>16</v>
      </c>
      <c r="B26" s="335">
        <v>390</v>
      </c>
    </row>
    <row r="27" spans="1:6">
      <c r="A27" s="1286" t="s">
        <v>17</v>
      </c>
      <c r="B27" s="335">
        <v>1</v>
      </c>
    </row>
    <row r="28" spans="1:6" s="341" customFormat="1">
      <c r="A28" s="1287" t="s">
        <v>18</v>
      </c>
      <c r="B28" s="1287">
        <v>123157</v>
      </c>
    </row>
    <row r="29" spans="1:6">
      <c r="A29" s="1287" t="s">
        <v>944</v>
      </c>
      <c r="B29" s="1287">
        <v>217</v>
      </c>
      <c r="C29" s="341"/>
      <c r="D29" s="341"/>
      <c r="E29" s="341"/>
      <c r="F29" s="341"/>
    </row>
    <row r="30" spans="1:6">
      <c r="A30" s="1282" t="s">
        <v>945</v>
      </c>
      <c r="B30" s="1282">
        <v>48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52370.1101064549</v>
      </c>
    </row>
    <row r="39" spans="1:6">
      <c r="A39" s="1286" t="s">
        <v>30</v>
      </c>
      <c r="B39" s="1286" t="s">
        <v>31</v>
      </c>
      <c r="C39" s="335">
        <v>4938</v>
      </c>
      <c r="D39" s="335">
        <v>87882964.655217707</v>
      </c>
      <c r="E39" s="335">
        <v>8318</v>
      </c>
      <c r="F39" s="335">
        <v>41241361.082761399</v>
      </c>
    </row>
    <row r="40" spans="1:6">
      <c r="A40" s="1286" t="s">
        <v>30</v>
      </c>
      <c r="B40" s="1286" t="s">
        <v>29</v>
      </c>
      <c r="C40" s="335">
        <v>0</v>
      </c>
      <c r="D40" s="335">
        <v>0</v>
      </c>
      <c r="E40" s="335">
        <v>0</v>
      </c>
      <c r="F40" s="335">
        <v>0</v>
      </c>
    </row>
    <row r="41" spans="1:6">
      <c r="A41" s="1286" t="s">
        <v>32</v>
      </c>
      <c r="B41" s="1286" t="s">
        <v>33</v>
      </c>
      <c r="C41" s="335">
        <v>81</v>
      </c>
      <c r="D41" s="335">
        <v>2162420.3300809301</v>
      </c>
      <c r="E41" s="335">
        <v>246</v>
      </c>
      <c r="F41" s="335">
        <v>3080215.5691340598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18</v>
      </c>
      <c r="D44" s="335">
        <v>69766094.744268805</v>
      </c>
      <c r="E44" s="335">
        <v>58</v>
      </c>
      <c r="F44" s="335">
        <v>7231260.0840937803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296583.851492182</v>
      </c>
      <c r="E47" s="335">
        <v>13</v>
      </c>
      <c r="F47" s="335">
        <v>589465.58326381899</v>
      </c>
    </row>
    <row r="48" spans="1:6">
      <c r="A48" s="1286" t="s">
        <v>32</v>
      </c>
      <c r="B48" s="1286" t="s">
        <v>29</v>
      </c>
      <c r="C48" s="335">
        <v>51</v>
      </c>
      <c r="D48" s="335">
        <v>8283825.0074544102</v>
      </c>
      <c r="E48" s="335">
        <v>60</v>
      </c>
      <c r="F48" s="335">
        <v>12026418.0377873</v>
      </c>
    </row>
    <row r="49" spans="1:6">
      <c r="A49" s="1286" t="s">
        <v>32</v>
      </c>
      <c r="B49" s="1286" t="s">
        <v>40</v>
      </c>
      <c r="C49" s="335">
        <v>0</v>
      </c>
      <c r="D49" s="335">
        <v>0</v>
      </c>
      <c r="E49" s="335">
        <v>3</v>
      </c>
      <c r="F49" s="335">
        <v>21764.797247601</v>
      </c>
    </row>
    <row r="50" spans="1:6">
      <c r="A50" s="1286" t="s">
        <v>32</v>
      </c>
      <c r="B50" s="1286" t="s">
        <v>41</v>
      </c>
      <c r="C50" s="335">
        <v>11</v>
      </c>
      <c r="D50" s="335">
        <v>1305530.16629213</v>
      </c>
      <c r="E50" s="335">
        <v>26</v>
      </c>
      <c r="F50" s="335">
        <v>2846170.1865080502</v>
      </c>
    </row>
    <row r="51" spans="1:6">
      <c r="A51" s="1286" t="s">
        <v>42</v>
      </c>
      <c r="B51" s="1286" t="s">
        <v>43</v>
      </c>
      <c r="C51" s="335">
        <v>3</v>
      </c>
      <c r="D51" s="335">
        <v>47956041.143769503</v>
      </c>
      <c r="E51" s="335">
        <v>146</v>
      </c>
      <c r="F51" s="335">
        <v>4348723.7960125497</v>
      </c>
    </row>
    <row r="52" spans="1:6">
      <c r="A52" s="1286" t="s">
        <v>42</v>
      </c>
      <c r="B52" s="1286" t="s">
        <v>29</v>
      </c>
      <c r="C52" s="335">
        <v>6</v>
      </c>
      <c r="D52" s="335">
        <v>311884.817340223</v>
      </c>
      <c r="E52" s="335">
        <v>11</v>
      </c>
      <c r="F52" s="335">
        <v>151947.739267575</v>
      </c>
    </row>
    <row r="53" spans="1:6">
      <c r="A53" s="1286" t="s">
        <v>44</v>
      </c>
      <c r="B53" s="1286" t="s">
        <v>45</v>
      </c>
      <c r="C53" s="335">
        <v>150</v>
      </c>
      <c r="D53" s="335">
        <v>2820002.2318106601</v>
      </c>
      <c r="E53" s="335">
        <v>304</v>
      </c>
      <c r="F53" s="335">
        <v>1724624.2833739701</v>
      </c>
    </row>
    <row r="54" spans="1:6">
      <c r="A54" s="1286" t="s">
        <v>46</v>
      </c>
      <c r="B54" s="1286" t="s">
        <v>47</v>
      </c>
      <c r="C54" s="335">
        <v>0</v>
      </c>
      <c r="D54" s="335">
        <v>0</v>
      </c>
      <c r="E54" s="335">
        <v>2</v>
      </c>
      <c r="F54" s="335">
        <v>1962712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57</v>
      </c>
      <c r="D57" s="335">
        <v>7337223.7130607404</v>
      </c>
      <c r="E57" s="335">
        <v>164</v>
      </c>
      <c r="F57" s="335">
        <v>4012040.2300222302</v>
      </c>
    </row>
    <row r="58" spans="1:6">
      <c r="A58" s="1286" t="s">
        <v>49</v>
      </c>
      <c r="B58" s="1286" t="s">
        <v>51</v>
      </c>
      <c r="C58" s="335">
        <v>17</v>
      </c>
      <c r="D58" s="335">
        <v>781434.82620512799</v>
      </c>
      <c r="E58" s="335">
        <v>35</v>
      </c>
      <c r="F58" s="335">
        <v>337728.56139993097</v>
      </c>
    </row>
    <row r="59" spans="1:6">
      <c r="A59" s="1286" t="s">
        <v>49</v>
      </c>
      <c r="B59" s="1286" t="s">
        <v>52</v>
      </c>
      <c r="C59" s="335">
        <v>79</v>
      </c>
      <c r="D59" s="335">
        <v>4047593.8904775199</v>
      </c>
      <c r="E59" s="335">
        <v>231</v>
      </c>
      <c r="F59" s="335">
        <v>6999667.35055234</v>
      </c>
    </row>
    <row r="60" spans="1:6">
      <c r="A60" s="1286" t="s">
        <v>49</v>
      </c>
      <c r="B60" s="1286" t="s">
        <v>53</v>
      </c>
      <c r="C60" s="335">
        <v>69</v>
      </c>
      <c r="D60" s="335">
        <v>3375177.4941163901</v>
      </c>
      <c r="E60" s="335">
        <v>91</v>
      </c>
      <c r="F60" s="335">
        <v>2013852.6795952399</v>
      </c>
    </row>
    <row r="61" spans="1:6">
      <c r="A61" s="1286" t="s">
        <v>49</v>
      </c>
      <c r="B61" s="1286" t="s">
        <v>54</v>
      </c>
      <c r="C61" s="335">
        <v>141</v>
      </c>
      <c r="D61" s="335">
        <v>6630646.9239097796</v>
      </c>
      <c r="E61" s="335">
        <v>275</v>
      </c>
      <c r="F61" s="335">
        <v>4456995.5153626101</v>
      </c>
    </row>
    <row r="62" spans="1:6">
      <c r="A62" s="1286" t="s">
        <v>49</v>
      </c>
      <c r="B62" s="1286" t="s">
        <v>55</v>
      </c>
      <c r="C62" s="335">
        <v>8</v>
      </c>
      <c r="D62" s="335">
        <v>1134726.21959033</v>
      </c>
      <c r="E62" s="335">
        <v>12</v>
      </c>
      <c r="F62" s="335">
        <v>257127.65803591901</v>
      </c>
    </row>
    <row r="63" spans="1:6">
      <c r="A63" s="1286" t="s">
        <v>49</v>
      </c>
      <c r="B63" s="1286" t="s">
        <v>29</v>
      </c>
      <c r="C63" s="335">
        <v>123</v>
      </c>
      <c r="D63" s="335">
        <v>7551846.9680714104</v>
      </c>
      <c r="E63" s="335">
        <v>161</v>
      </c>
      <c r="F63" s="335">
        <v>4856320.9674990298</v>
      </c>
    </row>
    <row r="64" spans="1:6">
      <c r="A64" s="1286" t="s">
        <v>56</v>
      </c>
      <c r="B64" s="1286" t="s">
        <v>57</v>
      </c>
      <c r="C64" s="335">
        <v>0</v>
      </c>
      <c r="D64" s="335">
        <v>0</v>
      </c>
      <c r="E64" s="335">
        <v>0</v>
      </c>
      <c r="F64" s="335">
        <v>0</v>
      </c>
    </row>
    <row r="65" spans="1:6">
      <c r="A65" s="1286" t="s">
        <v>56</v>
      </c>
      <c r="B65" s="1286" t="s">
        <v>29</v>
      </c>
      <c r="C65" s="335">
        <v>3</v>
      </c>
      <c r="D65" s="335">
        <v>97422.039050002597</v>
      </c>
      <c r="E65" s="335">
        <v>2</v>
      </c>
      <c r="F65" s="335">
        <v>8610.2266917683992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636290.38709024398</v>
      </c>
      <c r="E68" s="335">
        <v>19</v>
      </c>
      <c r="F68" s="335">
        <v>430606.31888547901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80083376</v>
      </c>
      <c r="E73" s="335">
        <v>68521338.204332158</v>
      </c>
    </row>
    <row r="74" spans="1:6">
      <c r="A74" s="1286" t="s">
        <v>64</v>
      </c>
      <c r="B74" s="1286" t="s">
        <v>772</v>
      </c>
      <c r="C74" s="1297" t="s">
        <v>766</v>
      </c>
      <c r="D74" s="335">
        <v>9132962.2973144259</v>
      </c>
      <c r="E74" s="335">
        <v>7764749.9931042362</v>
      </c>
    </row>
    <row r="75" spans="1:6">
      <c r="A75" s="1286" t="s">
        <v>65</v>
      </c>
      <c r="B75" s="1286" t="s">
        <v>771</v>
      </c>
      <c r="C75" s="1297" t="s">
        <v>767</v>
      </c>
      <c r="D75" s="335">
        <v>28399249</v>
      </c>
      <c r="E75" s="335">
        <v>22113567.449418936</v>
      </c>
    </row>
    <row r="76" spans="1:6">
      <c r="A76" s="1286" t="s">
        <v>65</v>
      </c>
      <c r="B76" s="1286" t="s">
        <v>772</v>
      </c>
      <c r="C76" s="1297" t="s">
        <v>768</v>
      </c>
      <c r="D76" s="335">
        <v>1107149.2973144257</v>
      </c>
      <c r="E76" s="335">
        <v>858866.30253727781</v>
      </c>
    </row>
    <row r="77" spans="1:6">
      <c r="A77" s="1286" t="s">
        <v>66</v>
      </c>
      <c r="B77" s="1286" t="s">
        <v>771</v>
      </c>
      <c r="C77" s="1297" t="s">
        <v>769</v>
      </c>
      <c r="D77" s="335">
        <v>101904928</v>
      </c>
      <c r="E77" s="335">
        <v>117453937.00274731</v>
      </c>
    </row>
    <row r="78" spans="1:6">
      <c r="A78" s="1282" t="s">
        <v>66</v>
      </c>
      <c r="B78" s="1282" t="s">
        <v>772</v>
      </c>
      <c r="C78" s="1282" t="s">
        <v>770</v>
      </c>
      <c r="D78" s="1282">
        <v>15295501</v>
      </c>
      <c r="E78" s="1282">
        <v>16508352.743496638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559841.40537114849</v>
      </c>
      <c r="C83" s="335">
        <v>528405.37894514052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2979.8416899012332</v>
      </c>
    </row>
    <row r="91" spans="1:6">
      <c r="A91" s="1286" t="s">
        <v>68</v>
      </c>
      <c r="B91" s="335">
        <v>4647.0834560120084</v>
      </c>
    </row>
    <row r="92" spans="1:6">
      <c r="A92" s="1282" t="s">
        <v>69</v>
      </c>
      <c r="B92" s="338">
        <v>3889.7637744029225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3156</v>
      </c>
    </row>
    <row r="98" spans="1:6">
      <c r="A98" s="1286" t="s">
        <v>72</v>
      </c>
      <c r="B98" s="335">
        <v>0</v>
      </c>
    </row>
    <row r="99" spans="1:6">
      <c r="A99" s="1286" t="s">
        <v>73</v>
      </c>
      <c r="B99" s="335">
        <v>227</v>
      </c>
    </row>
    <row r="100" spans="1:6">
      <c r="A100" s="1286" t="s">
        <v>74</v>
      </c>
      <c r="B100" s="335">
        <v>950</v>
      </c>
    </row>
    <row r="101" spans="1:6">
      <c r="A101" s="1286" t="s">
        <v>75</v>
      </c>
      <c r="B101" s="335">
        <v>226</v>
      </c>
    </row>
    <row r="102" spans="1:6">
      <c r="A102" s="1286" t="s">
        <v>76</v>
      </c>
      <c r="B102" s="335">
        <v>152</v>
      </c>
    </row>
    <row r="103" spans="1:6">
      <c r="A103" s="1286" t="s">
        <v>77</v>
      </c>
      <c r="B103" s="335">
        <v>284</v>
      </c>
    </row>
    <row r="104" spans="1:6">
      <c r="A104" s="1286" t="s">
        <v>78</v>
      </c>
      <c r="B104" s="335">
        <v>3125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105622.40613807598</v>
      </c>
      <c r="C3" s="44" t="s">
        <v>170</v>
      </c>
      <c r="D3" s="44"/>
      <c r="E3" s="157"/>
      <c r="F3" s="44"/>
      <c r="G3" s="44"/>
      <c r="H3" s="44"/>
      <c r="I3" s="44"/>
      <c r="J3" s="44"/>
      <c r="K3" s="97"/>
    </row>
    <row r="4" spans="1:11">
      <c r="A4" s="365" t="s">
        <v>171</v>
      </c>
      <c r="B4" s="50">
        <f>IF(ISERROR('SEAP template'!B78+'SEAP template'!C78),0,'SEAP template'!B78+'SEAP template'!C78)</f>
        <v>26213.688920316163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2824.316470588235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0.19289129760099857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4034.7378151260509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20995.71428571429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0.1921695904326213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1962.712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1962.712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0.19289129760099857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378.59006449705112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41241.361082761403</v>
      </c>
      <c r="C5" s="18">
        <f>IF(ISERROR('Eigen informatie GS &amp; warmtenet'!B57),0,'Eigen informatie GS &amp; warmtenet'!B57)</f>
        <v>0</v>
      </c>
      <c r="D5" s="31">
        <f>(SUM(HH_hh_gas_kWh,HH_rest_gas_kWh)/1000)*0.902</f>
        <v>79270.434119006371</v>
      </c>
      <c r="E5" s="18">
        <f>B46*B57</f>
        <v>8125.5683851205149</v>
      </c>
      <c r="F5" s="18">
        <f>B51*B62</f>
        <v>30028.311981395931</v>
      </c>
      <c r="G5" s="19"/>
      <c r="H5" s="18"/>
      <c r="I5" s="18"/>
      <c r="J5" s="18">
        <f>B50*B61+C50*C61</f>
        <v>3338.7325913157665</v>
      </c>
      <c r="K5" s="18"/>
      <c r="L5" s="18"/>
      <c r="M5" s="18"/>
      <c r="N5" s="18">
        <f>B48*B59+C48*C59</f>
        <v>26271.880871389654</v>
      </c>
      <c r="O5" s="18">
        <f>B69*B70*B71</f>
        <v>128.19333333333336</v>
      </c>
      <c r="P5" s="18">
        <f>B77*B78*B79/1000-B77*B78*B79/1000/B80</f>
        <v>228.8</v>
      </c>
    </row>
    <row r="6" spans="1:16">
      <c r="A6" s="17" t="s">
        <v>639</v>
      </c>
      <c r="B6" s="780">
        <f>kWh_PV_kleiner_dan_10kW</f>
        <v>4647.0834560120084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45888.444538773409</v>
      </c>
      <c r="C8" s="22">
        <f>C5</f>
        <v>0</v>
      </c>
      <c r="D8" s="22">
        <f>D5</f>
        <v>79270.434119006371</v>
      </c>
      <c r="E8" s="22">
        <f>E5</f>
        <v>8125.5683851205149</v>
      </c>
      <c r="F8" s="22">
        <f>F5</f>
        <v>30028.311981395931</v>
      </c>
      <c r="G8" s="22"/>
      <c r="H8" s="22"/>
      <c r="I8" s="22"/>
      <c r="J8" s="22">
        <f>J5</f>
        <v>3338.7325913157665</v>
      </c>
      <c r="K8" s="22"/>
      <c r="L8" s="22">
        <f>L5</f>
        <v>0</v>
      </c>
      <c r="M8" s="22">
        <f>M5</f>
        <v>0</v>
      </c>
      <c r="N8" s="22">
        <f>N5</f>
        <v>26271.880871389654</v>
      </c>
      <c r="O8" s="22">
        <f>O5</f>
        <v>128.19333333333336</v>
      </c>
      <c r="P8" s="22">
        <f>P5</f>
        <v>228.8</v>
      </c>
    </row>
    <row r="9" spans="1:16">
      <c r="B9" s="20"/>
      <c r="C9" s="20"/>
      <c r="D9" s="262"/>
      <c r="E9" s="20"/>
      <c r="F9" s="20"/>
      <c r="G9" s="20"/>
      <c r="H9" s="20"/>
      <c r="I9" s="20"/>
      <c r="J9" s="20"/>
      <c r="K9" s="20"/>
      <c r="L9" s="20"/>
      <c r="M9" s="20"/>
      <c r="N9" s="20"/>
      <c r="O9" s="20"/>
      <c r="P9" s="20"/>
    </row>
    <row r="10" spans="1:16">
      <c r="A10" s="25" t="s">
        <v>214</v>
      </c>
      <c r="B10" s="26">
        <f ca="1">'EF ele_warmte'!B12</f>
        <v>0.19289129760099857</v>
      </c>
      <c r="C10" s="26">
        <f ca="1">'EF ele_warmte'!B22</f>
        <v>0.1921695904326213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8851.4816119754596</v>
      </c>
      <c r="C12" s="24">
        <f ca="1">C10*C8</f>
        <v>0</v>
      </c>
      <c r="D12" s="24">
        <f>D8*D10</f>
        <v>16012.627692039288</v>
      </c>
      <c r="E12" s="24">
        <f>E10*E8</f>
        <v>1844.504023422357</v>
      </c>
      <c r="F12" s="24">
        <f>F10*F8</f>
        <v>8017.5592990327141</v>
      </c>
      <c r="G12" s="24"/>
      <c r="H12" s="24"/>
      <c r="I12" s="24"/>
      <c r="J12" s="24">
        <f>J10*J8</f>
        <v>1181.9113373257812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3156</v>
      </c>
      <c r="C18" s="169" t="s">
        <v>111</v>
      </c>
      <c r="D18" s="231"/>
      <c r="E18" s="16"/>
    </row>
    <row r="19" spans="1:7">
      <c r="A19" s="174" t="s">
        <v>72</v>
      </c>
      <c r="B19" s="38">
        <f>aantalw2001_ander</f>
        <v>0</v>
      </c>
      <c r="C19" s="169" t="s">
        <v>111</v>
      </c>
      <c r="D19" s="232"/>
      <c r="E19" s="16"/>
    </row>
    <row r="20" spans="1:7">
      <c r="A20" s="174" t="s">
        <v>73</v>
      </c>
      <c r="B20" s="38">
        <f>aantalw2001_propaan</f>
        <v>227</v>
      </c>
      <c r="C20" s="170">
        <f>IF(ISERROR(B20/SUM($B$20,$B$21,$B$22)*100),0,B20/SUM($B$20,$B$21,$B$22)*100)</f>
        <v>16.179615110477549</v>
      </c>
      <c r="D20" s="232"/>
      <c r="E20" s="16"/>
    </row>
    <row r="21" spans="1:7">
      <c r="A21" s="174" t="s">
        <v>74</v>
      </c>
      <c r="B21" s="38">
        <f>aantalw2001_elektriciteit</f>
        <v>950</v>
      </c>
      <c r="C21" s="170">
        <f>IF(ISERROR(B21/SUM($B$20,$B$21,$B$22)*100),0,B21/SUM($B$20,$B$21,$B$22)*100)</f>
        <v>67.712045616536003</v>
      </c>
      <c r="D21" s="232"/>
      <c r="E21" s="16"/>
    </row>
    <row r="22" spans="1:7">
      <c r="A22" s="174" t="s">
        <v>75</v>
      </c>
      <c r="B22" s="38">
        <f>aantalw2001_hout</f>
        <v>226</v>
      </c>
      <c r="C22" s="170">
        <f>IF(ISERROR(B22/SUM($B$20,$B$21,$B$22)*100),0,B22/SUM($B$20,$B$21,$B$22)*100)</f>
        <v>16.108339272986459</v>
      </c>
      <c r="D22" s="232"/>
      <c r="E22" s="16"/>
    </row>
    <row r="23" spans="1:7">
      <c r="A23" s="174" t="s">
        <v>76</v>
      </c>
      <c r="B23" s="38">
        <f>aantalw2001_niet_gespec</f>
        <v>152</v>
      </c>
      <c r="C23" s="169" t="s">
        <v>111</v>
      </c>
      <c r="D23" s="231"/>
      <c r="E23" s="16"/>
    </row>
    <row r="24" spans="1:7">
      <c r="A24" s="174" t="s">
        <v>77</v>
      </c>
      <c r="B24" s="38">
        <f>aantalw2001_steenkool</f>
        <v>284</v>
      </c>
      <c r="C24" s="169" t="s">
        <v>111</v>
      </c>
      <c r="D24" s="232"/>
      <c r="E24" s="16"/>
    </row>
    <row r="25" spans="1:7">
      <c r="A25" s="174" t="s">
        <v>78</v>
      </c>
      <c r="B25" s="38">
        <f>aantalw2001_stookolie</f>
        <v>3125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8856</v>
      </c>
      <c r="C28" s="37"/>
      <c r="D28" s="231"/>
    </row>
    <row r="29" spans="1:7" s="16" customFormat="1">
      <c r="A29" s="233" t="s">
        <v>666</v>
      </c>
      <c r="B29" s="38">
        <f>SUM(HH_hh_gas_aantal,HH_rest_gas_aantal)</f>
        <v>4938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4938</v>
      </c>
      <c r="C32" s="170">
        <f>IF(ISERROR(B32/SUM($B$32,$B$34,$B$35,$B$36,$B$38,$B$39)*100),0,B32/SUM($B$32,$B$34,$B$35,$B$36,$B$38,$B$39)*100)</f>
        <v>55.83446404341926</v>
      </c>
      <c r="D32" s="236"/>
      <c r="G32" s="16"/>
    </row>
    <row r="33" spans="1:7">
      <c r="A33" s="174" t="s">
        <v>72</v>
      </c>
      <c r="B33" s="35" t="s">
        <v>111</v>
      </c>
      <c r="C33" s="170"/>
      <c r="D33" s="236"/>
      <c r="G33" s="16"/>
    </row>
    <row r="34" spans="1:7">
      <c r="A34" s="174" t="s">
        <v>73</v>
      </c>
      <c r="B34" s="34">
        <f>IF((($B$28-$B$32-$B$39-$B$77-$B$38)*C20/100)&lt;0,0,($B$28-$B$32-$B$39-$B$77-$B$38)*C20/100)</f>
        <v>368.73342836778335</v>
      </c>
      <c r="C34" s="170">
        <f>IF(ISERROR(B34/SUM($B$32,$B$34,$B$35,$B$36,$B$38,$B$39)*100),0,B34/SUM($B$32,$B$34,$B$35,$B$36,$B$38,$B$39)*100)</f>
        <v>4.1693060647646236</v>
      </c>
      <c r="D34" s="236"/>
      <c r="G34" s="16"/>
    </row>
    <row r="35" spans="1:7">
      <c r="A35" s="174" t="s">
        <v>74</v>
      </c>
      <c r="B35" s="34">
        <f>IF((($B$28-$B$32-$B$39-$B$77-$B$38)*C21/100)&lt;0,0,($B$28-$B$32-$B$39-$B$77-$B$38)*C21/100)</f>
        <v>1543.1575196008555</v>
      </c>
      <c r="C35" s="170">
        <f>IF(ISERROR(B35/SUM($B$32,$B$34,$B$35,$B$36,$B$38,$B$39)*100),0,B35/SUM($B$32,$B$34,$B$35,$B$36,$B$38,$B$39)*100)</f>
        <v>17.448637715975298</v>
      </c>
      <c r="D35" s="236"/>
      <c r="G35" s="16"/>
    </row>
    <row r="36" spans="1:7">
      <c r="A36" s="174" t="s">
        <v>75</v>
      </c>
      <c r="B36" s="34">
        <f>IF((($B$28-$B$32-$B$39-$B$77-$B$38)*C22/100)&lt;0,0,($B$28-$B$32-$B$39-$B$77-$B$38)*C22/100)</f>
        <v>367.10905203136144</v>
      </c>
      <c r="C36" s="170">
        <f>IF(ISERROR(B36/SUM($B$32,$B$34,$B$35,$B$36,$B$38,$B$39)*100),0,B36/SUM($B$32,$B$34,$B$35,$B$36,$B$38,$B$39)*100)</f>
        <v>4.1509390776951767</v>
      </c>
      <c r="D36" s="236"/>
      <c r="G36" s="16"/>
    </row>
    <row r="37" spans="1:7">
      <c r="A37" s="174" t="s">
        <v>76</v>
      </c>
      <c r="B37" s="35" t="s">
        <v>111</v>
      </c>
      <c r="C37" s="170"/>
      <c r="D37" s="176"/>
      <c r="G37" s="16"/>
    </row>
    <row r="38" spans="1:7">
      <c r="A38" s="174" t="s">
        <v>77</v>
      </c>
      <c r="B38" s="34">
        <f>IF((B24-(B29-B18)*0.1)&lt;0,0,B24-(B29-B18)*0.1)</f>
        <v>105.79999999999998</v>
      </c>
      <c r="C38" s="170">
        <f>IF(ISERROR(B38/SUM($B$32,$B$34,$B$35,$B$36,$B$38,$B$39)*100),0,B38/SUM($B$32,$B$34,$B$35,$B$36,$B$38,$B$39)*100)</f>
        <v>1.1962912709181364</v>
      </c>
      <c r="D38" s="237"/>
      <c r="G38" s="16"/>
    </row>
    <row r="39" spans="1:7">
      <c r="A39" s="174" t="s">
        <v>78</v>
      </c>
      <c r="B39" s="34">
        <f>IF((B25-(B29-B18))&lt;0,0,B25-(B29-B18)*0.9)</f>
        <v>1521.2</v>
      </c>
      <c r="C39" s="170">
        <f>IF(ISERROR(B39/SUM($B$32,$B$34,$B$35,$B$36,$B$38,$B$39)*100),0,B39/SUM($B$32,$B$34,$B$35,$B$36,$B$38,$B$39)*100)</f>
        <v>17.2003618272275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4938</v>
      </c>
      <c r="C44" s="35" t="s">
        <v>111</v>
      </c>
      <c r="D44" s="177"/>
    </row>
    <row r="45" spans="1:7">
      <c r="A45" s="174" t="s">
        <v>72</v>
      </c>
      <c r="B45" s="34" t="str">
        <f t="shared" si="0"/>
        <v>-</v>
      </c>
      <c r="C45" s="35" t="s">
        <v>111</v>
      </c>
      <c r="D45" s="177"/>
    </row>
    <row r="46" spans="1:7">
      <c r="A46" s="174" t="s">
        <v>73</v>
      </c>
      <c r="B46" s="34">
        <f t="shared" si="0"/>
        <v>368.73342836778335</v>
      </c>
      <c r="C46" s="35" t="s">
        <v>111</v>
      </c>
      <c r="D46" s="177"/>
    </row>
    <row r="47" spans="1:7">
      <c r="A47" s="174" t="s">
        <v>74</v>
      </c>
      <c r="B47" s="34">
        <f t="shared" si="0"/>
        <v>1543.1575196008555</v>
      </c>
      <c r="C47" s="35" t="s">
        <v>111</v>
      </c>
      <c r="D47" s="177"/>
    </row>
    <row r="48" spans="1:7">
      <c r="A48" s="174" t="s">
        <v>75</v>
      </c>
      <c r="B48" s="34">
        <f t="shared" si="0"/>
        <v>367.10905203136144</v>
      </c>
      <c r="C48" s="34">
        <f>B48*10</f>
        <v>3671.0905203136144</v>
      </c>
      <c r="D48" s="237"/>
    </row>
    <row r="49" spans="1:6">
      <c r="A49" s="174" t="s">
        <v>76</v>
      </c>
      <c r="B49" s="34" t="str">
        <f t="shared" si="0"/>
        <v>-</v>
      </c>
      <c r="C49" s="35" t="s">
        <v>111</v>
      </c>
      <c r="D49" s="237"/>
    </row>
    <row r="50" spans="1:6">
      <c r="A50" s="174" t="s">
        <v>77</v>
      </c>
      <c r="B50" s="34">
        <f t="shared" si="0"/>
        <v>105.79999999999998</v>
      </c>
      <c r="C50" s="34">
        <f>B50*2</f>
        <v>211.59999999999997</v>
      </c>
      <c r="D50" s="237"/>
    </row>
    <row r="51" spans="1:6">
      <c r="A51" s="174" t="s">
        <v>78</v>
      </c>
      <c r="B51" s="34">
        <f t="shared" si="0"/>
        <v>1521.2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22933.7329624673</v>
      </c>
      <c r="C5" s="18">
        <f>IF(ISERROR('Eigen informatie GS &amp; warmtenet'!B58),0,'Eigen informatie GS &amp; warmtenet'!B58)</f>
        <v>0</v>
      </c>
      <c r="D5" s="31">
        <f>SUM(D6:D12)</f>
        <v>27834.502331959033</v>
      </c>
      <c r="E5" s="18">
        <f>SUM(E6:E12)</f>
        <v>224.78922529641358</v>
      </c>
      <c r="F5" s="18">
        <f>SUM(F6:F12)</f>
        <v>4769.2445298647835</v>
      </c>
      <c r="G5" s="19"/>
      <c r="H5" s="18"/>
      <c r="I5" s="18"/>
      <c r="J5" s="18">
        <f>SUM(J6:J12)</f>
        <v>0</v>
      </c>
      <c r="K5" s="18"/>
      <c r="L5" s="18"/>
      <c r="M5" s="18"/>
      <c r="N5" s="18">
        <f>SUM(N6:N12)</f>
        <v>2673.5004668727502</v>
      </c>
      <c r="O5" s="18">
        <f>B38*B39*B40</f>
        <v>0</v>
      </c>
      <c r="P5" s="18">
        <f>B46*B47*B48/1000-B46*B47*B48/1000/B49</f>
        <v>0</v>
      </c>
      <c r="R5" s="33"/>
    </row>
    <row r="6" spans="1:18">
      <c r="A6" s="33" t="s">
        <v>54</v>
      </c>
      <c r="B6" s="38">
        <f>B26</f>
        <v>4456.9955153626097</v>
      </c>
      <c r="C6" s="34"/>
      <c r="D6" s="38">
        <f>IF(ISERROR(TER_kantoor_gas_kWh/1000),0,TER_kantoor_gas_kWh/1000)*0.902</f>
        <v>5980.8435253666212</v>
      </c>
      <c r="E6" s="34">
        <f>$C$26*'E Balans VL '!I12/100/3.6*1000000</f>
        <v>7.3148329660600151</v>
      </c>
      <c r="F6" s="34">
        <f>$C$26*('E Balans VL '!L12+'E Balans VL '!N12)/100/3.6*1000000</f>
        <v>525.37490385155195</v>
      </c>
      <c r="G6" s="35"/>
      <c r="H6" s="34"/>
      <c r="I6" s="34"/>
      <c r="J6" s="34">
        <f>$C$26*('E Balans VL '!D12+'E Balans VL '!E12)/100/3.6*1000000</f>
        <v>0</v>
      </c>
      <c r="K6" s="34"/>
      <c r="L6" s="34"/>
      <c r="M6" s="34"/>
      <c r="N6" s="34">
        <f>$C$26*'E Balans VL '!Y12/100/3.6*1000000</f>
        <v>0.90051483827738921</v>
      </c>
      <c r="O6" s="34"/>
      <c r="P6" s="34"/>
      <c r="R6" s="33"/>
    </row>
    <row r="7" spans="1:18">
      <c r="A7" s="33" t="s">
        <v>53</v>
      </c>
      <c r="B7" s="38">
        <f t="shared" ref="B7:B12" si="0">B27</f>
        <v>2013.85267959524</v>
      </c>
      <c r="C7" s="34"/>
      <c r="D7" s="38">
        <f>IF(ISERROR(TER_horeca_gas_kWh/1000),0,TER_horeca_gas_kWh/1000)*0.902</f>
        <v>3044.4100996929842</v>
      </c>
      <c r="E7" s="34">
        <f>$C$27*'E Balans VL '!I9/100/3.6*1000000</f>
        <v>104.50438152116244</v>
      </c>
      <c r="F7" s="34">
        <f>$C$27*('E Balans VL '!L9+'E Balans VL '!N9)/100/3.6*1000000</f>
        <v>459.56264274238032</v>
      </c>
      <c r="G7" s="35"/>
      <c r="H7" s="34"/>
      <c r="I7" s="34"/>
      <c r="J7" s="34">
        <f>$C$27*('E Balans VL '!D9+'E Balans VL '!E9)/100/3.6*1000000</f>
        <v>0</v>
      </c>
      <c r="K7" s="34"/>
      <c r="L7" s="34"/>
      <c r="M7" s="34"/>
      <c r="N7" s="34">
        <f>$C$27*'E Balans VL '!Y9/100/3.6*1000000</f>
        <v>0.21266192007700369</v>
      </c>
      <c r="O7" s="34"/>
      <c r="P7" s="34"/>
      <c r="R7" s="33"/>
    </row>
    <row r="8" spans="1:18">
      <c r="A8" s="6" t="s">
        <v>52</v>
      </c>
      <c r="B8" s="38">
        <f t="shared" si="0"/>
        <v>6999.6673505523404</v>
      </c>
      <c r="C8" s="34"/>
      <c r="D8" s="38">
        <f>IF(ISERROR(TER_handel_gas_kWh/1000),0,TER_handel_gas_kWh/1000)*0.902</f>
        <v>3650.9296892107232</v>
      </c>
      <c r="E8" s="34">
        <f>$C$28*'E Balans VL '!I13/100/3.6*1000000</f>
        <v>37.69406882751926</v>
      </c>
      <c r="F8" s="34">
        <f>$C$28*('E Balans VL '!L13+'E Balans VL '!N13)/100/3.6*1000000</f>
        <v>1427.4401841563692</v>
      </c>
      <c r="G8" s="35"/>
      <c r="H8" s="34"/>
      <c r="I8" s="34"/>
      <c r="J8" s="34">
        <f>$C$28*('E Balans VL '!D13+'E Balans VL '!E13)/100/3.6*1000000</f>
        <v>0</v>
      </c>
      <c r="K8" s="34"/>
      <c r="L8" s="34"/>
      <c r="M8" s="34"/>
      <c r="N8" s="34">
        <f>$C$28*'E Balans VL '!Y13/100/3.6*1000000</f>
        <v>34.805649315873502</v>
      </c>
      <c r="O8" s="34"/>
      <c r="P8" s="34"/>
      <c r="R8" s="33"/>
    </row>
    <row r="9" spans="1:18">
      <c r="A9" s="33" t="s">
        <v>51</v>
      </c>
      <c r="B9" s="38">
        <f t="shared" si="0"/>
        <v>337.72856139993098</v>
      </c>
      <c r="C9" s="34"/>
      <c r="D9" s="38">
        <f>IF(ISERROR(TER_gezond_gas_kWh/1000),0,TER_gezond_gas_kWh/1000)*0.902</f>
        <v>704.85421323702542</v>
      </c>
      <c r="E9" s="34">
        <f>$C$29*'E Balans VL '!I10/100/3.6*1000000</f>
        <v>0.33469284498063689</v>
      </c>
      <c r="F9" s="34">
        <f>$C$29*('E Balans VL '!L10+'E Balans VL '!N10)/100/3.6*1000000</f>
        <v>117.18207615345734</v>
      </c>
      <c r="G9" s="35"/>
      <c r="H9" s="34"/>
      <c r="I9" s="34"/>
      <c r="J9" s="34">
        <f>$C$29*('E Balans VL '!D10+'E Balans VL '!E10)/100/3.6*1000000</f>
        <v>0</v>
      </c>
      <c r="K9" s="34"/>
      <c r="L9" s="34"/>
      <c r="M9" s="34"/>
      <c r="N9" s="34">
        <f>$C$29*'E Balans VL '!Y10/100/3.6*1000000</f>
        <v>2.9101777562981992</v>
      </c>
      <c r="O9" s="34"/>
      <c r="P9" s="34"/>
      <c r="R9" s="33"/>
    </row>
    <row r="10" spans="1:18">
      <c r="A10" s="33" t="s">
        <v>50</v>
      </c>
      <c r="B10" s="38">
        <f t="shared" si="0"/>
        <v>4012.0402300222304</v>
      </c>
      <c r="C10" s="34"/>
      <c r="D10" s="38">
        <f>IF(ISERROR(TER_ander_gas_kWh/1000),0,TER_ander_gas_kWh/1000)*0.902</f>
        <v>6618.1757891807874</v>
      </c>
      <c r="E10" s="34">
        <f>$C$30*'E Balans VL '!I14/100/3.6*1000000</f>
        <v>32.822498830226124</v>
      </c>
      <c r="F10" s="34">
        <f>$C$30*('E Balans VL '!L14+'E Balans VL '!N14)/100/3.6*1000000</f>
        <v>1172.9572263358923</v>
      </c>
      <c r="G10" s="35"/>
      <c r="H10" s="34"/>
      <c r="I10" s="34"/>
      <c r="J10" s="34">
        <f>$C$30*('E Balans VL '!D14+'E Balans VL '!E14)/100/3.6*1000000</f>
        <v>0</v>
      </c>
      <c r="K10" s="34"/>
      <c r="L10" s="34"/>
      <c r="M10" s="34"/>
      <c r="N10" s="34">
        <f>$C$30*'E Balans VL '!Y14/100/3.6*1000000</f>
        <v>2314.4207885647393</v>
      </c>
      <c r="O10" s="34"/>
      <c r="P10" s="34"/>
      <c r="R10" s="33"/>
    </row>
    <row r="11" spans="1:18">
      <c r="A11" s="33" t="s">
        <v>55</v>
      </c>
      <c r="B11" s="38">
        <f t="shared" si="0"/>
        <v>257.12765803591901</v>
      </c>
      <c r="C11" s="34"/>
      <c r="D11" s="38">
        <f>IF(ISERROR(TER_onderwijs_gas_kWh/1000),0,TER_onderwijs_gas_kWh/1000)*0.902</f>
        <v>1023.5230500704777</v>
      </c>
      <c r="E11" s="34">
        <f>$C$31*'E Balans VL '!I11/100/3.6*1000000</f>
        <v>0.15848263912031038</v>
      </c>
      <c r="F11" s="34">
        <f>$C$31*('E Balans VL '!L11+'E Balans VL '!N11)/100/3.6*1000000</f>
        <v>99.409716694079847</v>
      </c>
      <c r="G11" s="35"/>
      <c r="H11" s="34"/>
      <c r="I11" s="34"/>
      <c r="J11" s="34">
        <f>$C$31*('E Balans VL '!D11+'E Balans VL '!E11)/100/3.6*1000000</f>
        <v>0</v>
      </c>
      <c r="K11" s="34"/>
      <c r="L11" s="34"/>
      <c r="M11" s="34"/>
      <c r="N11" s="34">
        <f>$C$31*'E Balans VL '!Y11/100/3.6*1000000</f>
        <v>0.83638117031021908</v>
      </c>
      <c r="O11" s="34"/>
      <c r="P11" s="34"/>
      <c r="R11" s="33"/>
    </row>
    <row r="12" spans="1:18">
      <c r="A12" s="33" t="s">
        <v>260</v>
      </c>
      <c r="B12" s="38">
        <f t="shared" si="0"/>
        <v>4856.3209674990294</v>
      </c>
      <c r="C12" s="34"/>
      <c r="D12" s="38">
        <f>IF(ISERROR(TER_rest_gas_kWh/1000),0,TER_rest_gas_kWh/1000)*0.902</f>
        <v>6811.7659652004122</v>
      </c>
      <c r="E12" s="34">
        <f>$C$32*'E Balans VL '!I8/100/3.6*1000000</f>
        <v>41.960267667344795</v>
      </c>
      <c r="F12" s="34">
        <f>$C$32*('E Balans VL '!L8+'E Balans VL '!N8)/100/3.6*1000000</f>
        <v>967.31777993105243</v>
      </c>
      <c r="G12" s="35"/>
      <c r="H12" s="34"/>
      <c r="I12" s="34"/>
      <c r="J12" s="34">
        <f>$C$32*('E Balans VL '!D8+'E Balans VL '!E8)/100/3.6*1000000</f>
        <v>0</v>
      </c>
      <c r="K12" s="34"/>
      <c r="L12" s="34"/>
      <c r="M12" s="34"/>
      <c r="N12" s="34">
        <f>$C$32*'E Balans VL '!Y8/100/3.6*1000000</f>
        <v>319.41429330717449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22933.7329624673</v>
      </c>
      <c r="C16" s="22">
        <f t="shared" ca="1" si="1"/>
        <v>0</v>
      </c>
      <c r="D16" s="22">
        <f t="shared" ca="1" si="1"/>
        <v>27834.502331959033</v>
      </c>
      <c r="E16" s="22">
        <f t="shared" si="1"/>
        <v>224.78922529641358</v>
      </c>
      <c r="F16" s="22">
        <f t="shared" ca="1" si="1"/>
        <v>4769.2445298647835</v>
      </c>
      <c r="G16" s="22">
        <f t="shared" si="1"/>
        <v>0</v>
      </c>
      <c r="H16" s="22">
        <f t="shared" si="1"/>
        <v>0</v>
      </c>
      <c r="I16" s="22">
        <f t="shared" si="1"/>
        <v>0</v>
      </c>
      <c r="J16" s="22">
        <f t="shared" si="1"/>
        <v>0</v>
      </c>
      <c r="K16" s="22">
        <f t="shared" si="1"/>
        <v>0</v>
      </c>
      <c r="L16" s="22">
        <f t="shared" ca="1" si="1"/>
        <v>0</v>
      </c>
      <c r="M16" s="22">
        <f t="shared" si="1"/>
        <v>0</v>
      </c>
      <c r="N16" s="22">
        <f t="shared" ca="1" si="1"/>
        <v>2673.5004668727502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0.19289129760099857</v>
      </c>
      <c r="C18" s="26">
        <f ca="1">'EF ele_warmte'!B22</f>
        <v>0.1921695904326213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4423.7175099651104</v>
      </c>
      <c r="C20" s="24">
        <f t="shared" ref="C20:P20" ca="1" si="2">C16*C18</f>
        <v>0</v>
      </c>
      <c r="D20" s="24">
        <f t="shared" ca="1" si="2"/>
        <v>5622.5694710557245</v>
      </c>
      <c r="E20" s="24">
        <f t="shared" si="2"/>
        <v>51.02715414228588</v>
      </c>
      <c r="F20" s="24">
        <f t="shared" ca="1" si="2"/>
        <v>1273.3882894738972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4456.9955153626097</v>
      </c>
      <c r="C26" s="40">
        <f>IF(ISERROR(B26*3.6/1000000/'E Balans VL '!Z12*100),0,B26*3.6/1000000/'E Balans VL '!Z12*100)</f>
        <v>9.4707958451609744E-2</v>
      </c>
      <c r="D26" s="240" t="s">
        <v>707</v>
      </c>
      <c r="F26" s="6"/>
    </row>
    <row r="27" spans="1:18">
      <c r="A27" s="234" t="s">
        <v>53</v>
      </c>
      <c r="B27" s="34">
        <f>IF(ISERROR(TER_horeca_ele_kWh/1000),0,TER_horeca_ele_kWh/1000)</f>
        <v>2013.85267959524</v>
      </c>
      <c r="C27" s="40">
        <f>IF(ISERROR(B27*3.6/1000000/'E Balans VL '!Z9*100),0,B27*3.6/1000000/'E Balans VL '!Z9*100)</f>
        <v>0.15850577893938164</v>
      </c>
      <c r="D27" s="240" t="s">
        <v>707</v>
      </c>
      <c r="F27" s="6"/>
    </row>
    <row r="28" spans="1:18">
      <c r="A28" s="174" t="s">
        <v>52</v>
      </c>
      <c r="B28" s="34">
        <f>IF(ISERROR(TER_handel_ele_kWh/1000),0,TER_handel_ele_kWh/1000)</f>
        <v>6999.6673505523404</v>
      </c>
      <c r="C28" s="40">
        <f>IF(ISERROR(B28*3.6/1000000/'E Balans VL '!Z13*100),0,B28*3.6/1000000/'E Balans VL '!Z13*100)</f>
        <v>0.19606442856304318</v>
      </c>
      <c r="D28" s="240" t="s">
        <v>707</v>
      </c>
      <c r="F28" s="6"/>
    </row>
    <row r="29" spans="1:18">
      <c r="A29" s="234" t="s">
        <v>51</v>
      </c>
      <c r="B29" s="34">
        <f>IF(ISERROR(TER_gezond_ele_kWh/1000),0,TER_gezond_ele_kWh/1000)</f>
        <v>337.72856139993098</v>
      </c>
      <c r="C29" s="40">
        <f>IF(ISERROR(B29*3.6/1000000/'E Balans VL '!Z10*100),0,B29*3.6/1000000/'E Balans VL '!Z10*100)</f>
        <v>4.3205695503445662E-2</v>
      </c>
      <c r="D29" s="240" t="s">
        <v>707</v>
      </c>
      <c r="F29" s="6"/>
    </row>
    <row r="30" spans="1:18">
      <c r="A30" s="234" t="s">
        <v>50</v>
      </c>
      <c r="B30" s="34">
        <f>IF(ISERROR(TER_ander_ele_kWh/1000),0,TER_ander_ele_kWh/1000)</f>
        <v>4012.0402300222304</v>
      </c>
      <c r="C30" s="40">
        <f>IF(ISERROR(B30*3.6/1000000/'E Balans VL '!Z14*100),0,B30*3.6/1000000/'E Balans VL '!Z14*100)</f>
        <v>0.30006680316413031</v>
      </c>
      <c r="D30" s="240" t="s">
        <v>707</v>
      </c>
      <c r="F30" s="6"/>
    </row>
    <row r="31" spans="1:18">
      <c r="A31" s="234" t="s">
        <v>55</v>
      </c>
      <c r="B31" s="34">
        <f>IF(ISERROR(TER_onderwijs_ele_kWh/1000),0,TER_onderwijs_ele_kWh/1000)</f>
        <v>257.12765803591901</v>
      </c>
      <c r="C31" s="40">
        <f>IF(ISERROR(B31*3.6/1000000/'E Balans VL '!Z11*100),0,B31*3.6/1000000/'E Balans VL '!Z11*100)</f>
        <v>5.4292838059735095E-2</v>
      </c>
      <c r="D31" s="240" t="s">
        <v>707</v>
      </c>
    </row>
    <row r="32" spans="1:18">
      <c r="A32" s="234" t="s">
        <v>260</v>
      </c>
      <c r="B32" s="34">
        <f>IF(ISERROR(TER_rest_ele_kWh/1000),0,TER_rest_ele_kWh/1000)</f>
        <v>4856.3209674990294</v>
      </c>
      <c r="C32" s="40">
        <f>IF(ISERROR(B32*3.6/1000000/'E Balans VL '!Z8*100),0,B32*3.6/1000000/'E Balans VL '!Z8*100)</f>
        <v>4.0006042218227227E-2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25795.29425803461</v>
      </c>
      <c r="C5" s="18">
        <f>IF(ISERROR('Eigen informatie GS &amp; warmtenet'!B59),0,'Eigen informatie GS &amp; warmtenet'!B59)</f>
        <v>0</v>
      </c>
      <c r="D5" s="31">
        <f>SUM(D6:D15)</f>
        <v>73796.637597828783</v>
      </c>
      <c r="E5" s="18">
        <f>SUM(E6:E15)</f>
        <v>239.82929688048847</v>
      </c>
      <c r="F5" s="18">
        <f>SUM(F6:F15)</f>
        <v>6186.6439906189025</v>
      </c>
      <c r="G5" s="19"/>
      <c r="H5" s="18"/>
      <c r="I5" s="18"/>
      <c r="J5" s="18">
        <f>SUM(J6:J15)</f>
        <v>179.3628332789437</v>
      </c>
      <c r="K5" s="18"/>
      <c r="L5" s="18"/>
      <c r="M5" s="18"/>
      <c r="N5" s="18">
        <f>SUM(N6:N15)</f>
        <v>886.68163228714923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7231.2600840937803</v>
      </c>
      <c r="C8" s="34"/>
      <c r="D8" s="38">
        <f>IF( ISERROR(IND_metaal_Gas_kWH/1000),0,IND_metaal_Gas_kWH/1000)*0.902</f>
        <v>62929.017459330462</v>
      </c>
      <c r="E8" s="34">
        <f>C30*'E Balans VL '!I18/100/3.6*1000000</f>
        <v>65.853782423436783</v>
      </c>
      <c r="F8" s="34">
        <f>C30*'E Balans VL '!L18/100/3.6*1000000+C30*'E Balans VL '!N18/100/3.6*1000000</f>
        <v>953.74828995969403</v>
      </c>
      <c r="G8" s="35"/>
      <c r="H8" s="34"/>
      <c r="I8" s="34"/>
      <c r="J8" s="41">
        <f>C30*'E Balans VL '!D18/100/3.6*1000000+C30*'E Balans VL '!E18/100/3.6*1000000</f>
        <v>118.5821659675684</v>
      </c>
      <c r="K8" s="34"/>
      <c r="L8" s="34"/>
      <c r="M8" s="34"/>
      <c r="N8" s="34">
        <f>C30*'E Balans VL '!Y18/100/3.6*1000000</f>
        <v>24.85096829833072</v>
      </c>
      <c r="O8" s="34"/>
      <c r="P8" s="34"/>
      <c r="R8" s="33"/>
    </row>
    <row r="9" spans="1:18">
      <c r="A9" s="6" t="s">
        <v>33</v>
      </c>
      <c r="B9" s="38">
        <f t="shared" si="0"/>
        <v>3080.2155691340599</v>
      </c>
      <c r="C9" s="34"/>
      <c r="D9" s="38">
        <f>IF( ISERROR(IND_andere_gas_kWh/1000),0,IND_andere_gas_kWh/1000)*0.902</f>
        <v>1950.5031377329988</v>
      </c>
      <c r="E9" s="34">
        <f>C31*'E Balans VL '!I19/100/3.6*1000000</f>
        <v>17.804106289738876</v>
      </c>
      <c r="F9" s="34">
        <f>C31*'E Balans VL '!L19/100/3.6*1000000+C31*'E Balans VL '!N19/100/3.6*1000000</f>
        <v>2450.4596993542841</v>
      </c>
      <c r="G9" s="35"/>
      <c r="H9" s="34"/>
      <c r="I9" s="34"/>
      <c r="J9" s="41">
        <f>C31*'E Balans VL '!D19/100/3.6*1000000+C31*'E Balans VL '!E19/100/3.6*1000000</f>
        <v>0.29135417877461239</v>
      </c>
      <c r="K9" s="34"/>
      <c r="L9" s="34"/>
      <c r="M9" s="34"/>
      <c r="N9" s="34">
        <f>C31*'E Balans VL '!Y19/100/3.6*1000000</f>
        <v>233.37294321051047</v>
      </c>
      <c r="O9" s="34"/>
      <c r="P9" s="34"/>
      <c r="R9" s="33"/>
    </row>
    <row r="10" spans="1:18">
      <c r="A10" s="6" t="s">
        <v>41</v>
      </c>
      <c r="B10" s="38">
        <f t="shared" si="0"/>
        <v>2846.1701865080504</v>
      </c>
      <c r="C10" s="34"/>
      <c r="D10" s="38">
        <f>IF( ISERROR(IND_voed_gas_kWh/1000),0,IND_voed_gas_kWh/1000)*0.902</f>
        <v>1177.5882099955013</v>
      </c>
      <c r="E10" s="34">
        <f>C32*'E Balans VL '!I20/100/3.6*1000000</f>
        <v>27.985298945249461</v>
      </c>
      <c r="F10" s="34">
        <f>C32*'E Balans VL '!L20/100/3.6*1000000+C32*'E Balans VL '!N20/100/3.6*1000000</f>
        <v>316.10434925904144</v>
      </c>
      <c r="G10" s="35"/>
      <c r="H10" s="34"/>
      <c r="I10" s="34"/>
      <c r="J10" s="41">
        <f>C32*'E Balans VL '!D20/100/3.6*1000000+C32*'E Balans VL '!E20/100/3.6*1000000</f>
        <v>1.1218048788545263E-2</v>
      </c>
      <c r="K10" s="34"/>
      <c r="L10" s="34"/>
      <c r="M10" s="34"/>
      <c r="N10" s="34">
        <f>C32*'E Balans VL '!Y20/100/3.6*1000000</f>
        <v>42.145085564211598</v>
      </c>
      <c r="O10" s="34"/>
      <c r="P10" s="34"/>
      <c r="R10" s="33"/>
    </row>
    <row r="11" spans="1:18">
      <c r="A11" s="6" t="s">
        <v>40</v>
      </c>
      <c r="B11" s="38">
        <f t="shared" si="0"/>
        <v>21.764797247600999</v>
      </c>
      <c r="C11" s="34"/>
      <c r="D11" s="38">
        <f>IF( ISERROR(IND_textiel_gas_kWh/1000),0,IND_textiel_gas_kWh/1000)*0.902</f>
        <v>0</v>
      </c>
      <c r="E11" s="34">
        <f>C33*'E Balans VL '!I21/100/3.6*1000000</f>
        <v>4.2381114176002613E-2</v>
      </c>
      <c r="F11" s="34">
        <f>C33*'E Balans VL '!L21/100/3.6*1000000+C33*'E Balans VL '!N21/100/3.6*1000000</f>
        <v>0.7178744344860174</v>
      </c>
      <c r="G11" s="35"/>
      <c r="H11" s="34"/>
      <c r="I11" s="34"/>
      <c r="J11" s="41">
        <f>C33*'E Balans VL '!D21/100/3.6*1000000+C33*'E Balans VL '!E21/100/3.6*1000000</f>
        <v>0</v>
      </c>
      <c r="K11" s="34"/>
      <c r="L11" s="34"/>
      <c r="M11" s="34"/>
      <c r="N11" s="34">
        <f>C33*'E Balans VL '!Y21/100/3.6*1000000</f>
        <v>0.22575819273314579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589.46558326381898</v>
      </c>
      <c r="C13" s="34"/>
      <c r="D13" s="38">
        <f>IF( ISERROR(IND_papier_gas_kWh/1000),0,IND_papier_gas_kWh/1000)*0.902</f>
        <v>267.5186340459482</v>
      </c>
      <c r="E13" s="34">
        <f>C35*'E Balans VL '!I23/100/3.6*1000000</f>
        <v>20.07805243580486</v>
      </c>
      <c r="F13" s="34">
        <f>C35*'E Balans VL '!L23/100/3.6*1000000+C35*'E Balans VL '!N23/100/3.6*1000000</f>
        <v>97.365879895738274</v>
      </c>
      <c r="G13" s="35"/>
      <c r="H13" s="34"/>
      <c r="I13" s="34"/>
      <c r="J13" s="41">
        <f>C35*'E Balans VL '!D23/100/3.6*1000000+C35*'E Balans VL '!E23/100/3.6*1000000</f>
        <v>0</v>
      </c>
      <c r="K13" s="34"/>
      <c r="L13" s="34"/>
      <c r="M13" s="34"/>
      <c r="N13" s="34">
        <f>C35*'E Balans VL '!Y23/100/3.6*1000000</f>
        <v>216.90752639959791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12026.4180377873</v>
      </c>
      <c r="C15" s="34"/>
      <c r="D15" s="38">
        <f>IF( ISERROR(IND_rest_gas_kWh/1000),0,IND_rest_gas_kWh/1000)*0.902</f>
        <v>7472.010156723878</v>
      </c>
      <c r="E15" s="34">
        <f>C37*'E Balans VL '!I15/100/3.6*1000000</f>
        <v>108.06567567208251</v>
      </c>
      <c r="F15" s="34">
        <f>C37*'E Balans VL '!L15/100/3.6*1000000+C37*'E Balans VL '!N15/100/3.6*1000000</f>
        <v>2368.2478977156584</v>
      </c>
      <c r="G15" s="35"/>
      <c r="H15" s="34"/>
      <c r="I15" s="34"/>
      <c r="J15" s="41">
        <f>C37*'E Balans VL '!D15/100/3.6*1000000+C37*'E Balans VL '!E15/100/3.6*1000000</f>
        <v>60.478095083812129</v>
      </c>
      <c r="K15" s="34"/>
      <c r="L15" s="34"/>
      <c r="M15" s="34"/>
      <c r="N15" s="34">
        <f>C37*'E Balans VL '!Y15/100/3.6*1000000</f>
        <v>369.17935062176537</v>
      </c>
      <c r="O15" s="34"/>
      <c r="P15" s="34"/>
      <c r="R15" s="33"/>
    </row>
    <row r="16" spans="1:18">
      <c r="A16" s="17" t="s">
        <v>502</v>
      </c>
      <c r="B16" s="250">
        <f>'lokale energieproductie'!N90+'lokale energieproductie'!N59</f>
        <v>2812.5</v>
      </c>
      <c r="C16" s="250">
        <f>'lokale energieproductie'!O90+'lokale energieproductie'!O59</f>
        <v>4017.8571428571431</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-8035.7142857142862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28607.79425803461</v>
      </c>
      <c r="C18" s="22">
        <f>C5+C16</f>
        <v>4017.8571428571431</v>
      </c>
      <c r="D18" s="22">
        <f>MAX((D5+D16),0)</f>
        <v>73796.637597828783</v>
      </c>
      <c r="E18" s="22">
        <f>MAX((E5+E16),0)</f>
        <v>239.82929688048847</v>
      </c>
      <c r="F18" s="22">
        <f>MAX((F5+F16),0)</f>
        <v>6186.6439906189025</v>
      </c>
      <c r="G18" s="22"/>
      <c r="H18" s="22"/>
      <c r="I18" s="22"/>
      <c r="J18" s="22">
        <f>MAX((J5+J16),0)</f>
        <v>179.3628332789437</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0.19289129760099857</v>
      </c>
      <c r="C20" s="26">
        <f ca="1">'EF ele_warmte'!B22</f>
        <v>0.1921695904326213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5518.1945559346923</v>
      </c>
      <c r="C22" s="24">
        <f ca="1">C18*C20</f>
        <v>772.10996155963926</v>
      </c>
      <c r="D22" s="24">
        <f>D18*D20</f>
        <v>14906.920794761416</v>
      </c>
      <c r="E22" s="24">
        <f>E18*E20</f>
        <v>54.441250391870888</v>
      </c>
      <c r="F22" s="24">
        <f>F18*F20</f>
        <v>1651.833945495247</v>
      </c>
      <c r="G22" s="24"/>
      <c r="H22" s="24"/>
      <c r="I22" s="24"/>
      <c r="J22" s="24">
        <f>J18*J20</f>
        <v>63.494442980746065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7231.2600840937803</v>
      </c>
      <c r="C30" s="40">
        <f>IF(ISERROR(B30*3.6/1000000/'E Balans VL '!Z18*100),0,B30*3.6/1000000/'E Balans VL '!Z18*100)</f>
        <v>0.40237126865851003</v>
      </c>
      <c r="D30" s="240" t="s">
        <v>707</v>
      </c>
    </row>
    <row r="31" spans="1:18">
      <c r="A31" s="6" t="s">
        <v>33</v>
      </c>
      <c r="B31" s="38">
        <f>IF( ISERROR(IND_ander_ele_kWh/1000),0,IND_ander_ele_kWh/1000)</f>
        <v>3080.2155691340599</v>
      </c>
      <c r="C31" s="40">
        <f>IF(ISERROR(B31*3.6/1000000/'E Balans VL '!Z19*100),0,B31*3.6/1000000/'E Balans VL '!Z19*100)</f>
        <v>0.14319113223052624</v>
      </c>
      <c r="D31" s="240" t="s">
        <v>707</v>
      </c>
    </row>
    <row r="32" spans="1:18">
      <c r="A32" s="174" t="s">
        <v>41</v>
      </c>
      <c r="B32" s="38">
        <f>IF( ISERROR(IND_voed_ele_kWh/1000),0,IND_voed_ele_kWh/1000)</f>
        <v>2846.1701865080504</v>
      </c>
      <c r="C32" s="40">
        <f>IF(ISERROR(B32*3.6/1000000/'E Balans VL '!Z20*100),0,B32*3.6/1000000/'E Balans VL '!Z20*100)</f>
        <v>0.10060636800893408</v>
      </c>
      <c r="D32" s="240" t="s">
        <v>707</v>
      </c>
    </row>
    <row r="33" spans="1:5">
      <c r="A33" s="174" t="s">
        <v>40</v>
      </c>
      <c r="B33" s="38">
        <f>IF( ISERROR(IND_textiel_ele_kWh/1000),0,IND_textiel_ele_kWh/1000)</f>
        <v>21.764797247600999</v>
      </c>
      <c r="C33" s="40">
        <f>IF(ISERROR(B33*3.6/1000000/'E Balans VL '!Z21*100),0,B33*3.6/1000000/'E Balans VL '!Z21*100)</f>
        <v>2.9396661259425069E-3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589.46558326381898</v>
      </c>
      <c r="C35" s="40">
        <f>IF(ISERROR(B35*3.6/1000000/'E Balans VL '!Z22*100),0,B35*3.6/1000000/'E Balans VL '!Z22*100)</f>
        <v>0.1184659598681513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12026.4180377873</v>
      </c>
      <c r="C37" s="40">
        <f>IF(ISERROR(B37*3.6/1000000/'E Balans VL '!Z15*100),0,B37*3.6/1000000/'E Balans VL '!Z15*100)</f>
        <v>9.0817221891176567E-2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4500.6715352801239</v>
      </c>
      <c r="C5" s="18">
        <f>'Eigen informatie GS &amp; warmtenet'!B60</f>
        <v>0</v>
      </c>
      <c r="D5" s="31">
        <f>IF(ISERROR(SUM(LB_lb_gas_kWh,LB_rest_gas_kWh)/1000),0,SUM(LB_lb_gas_kWh,LB_rest_gas_kWh)/1000)*0.902</f>
        <v>43537.669216920978</v>
      </c>
      <c r="E5" s="18">
        <f>B17*'E Balans VL '!I25/3.6*1000000/100</f>
        <v>42.399341411186754</v>
      </c>
      <c r="F5" s="18">
        <f>B17*('E Balans VL '!L25/3.6*1000000+'E Balans VL '!N25/3.6*1000000)/100</f>
        <v>14687.184861325117</v>
      </c>
      <c r="G5" s="19"/>
      <c r="H5" s="18"/>
      <c r="I5" s="18"/>
      <c r="J5" s="18">
        <f>('E Balans VL '!D25+'E Balans VL '!E25)/3.6*1000000*landbouw!B17/100</f>
        <v>556.75496017629393</v>
      </c>
      <c r="K5" s="18"/>
      <c r="L5" s="18">
        <f>L6*(-1)</f>
        <v>0</v>
      </c>
      <c r="M5" s="18"/>
      <c r="N5" s="18">
        <f>N6*(-1)</f>
        <v>0</v>
      </c>
      <c r="O5" s="18"/>
      <c r="P5" s="18"/>
      <c r="R5" s="33"/>
    </row>
    <row r="6" spans="1:18">
      <c r="A6" s="17" t="s">
        <v>502</v>
      </c>
      <c r="B6" s="18" t="s">
        <v>211</v>
      </c>
      <c r="C6" s="18">
        <f>'lokale energieproductie'!O92+'lokale energieproductie'!O61</f>
        <v>16977.857142857145</v>
      </c>
      <c r="D6" s="312">
        <f>('lokale energieproductie'!P61+'lokale energieproductie'!P92)*(-1)</f>
        <v>-33955.71428571429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4500.6715352801239</v>
      </c>
      <c r="C8" s="22">
        <f>C5+C6</f>
        <v>16977.857142857145</v>
      </c>
      <c r="D8" s="22">
        <f>MAX((D5+D6),0)</f>
        <v>9581.9549312066883</v>
      </c>
      <c r="E8" s="22">
        <f>MAX((E5+E6),0)</f>
        <v>42.399341411186754</v>
      </c>
      <c r="F8" s="22">
        <f>MAX((F5+F6),0)</f>
        <v>14687.184861325117</v>
      </c>
      <c r="G8" s="22"/>
      <c r="H8" s="22"/>
      <c r="I8" s="22"/>
      <c r="J8" s="22">
        <f>MAX((J5+J6),0)</f>
        <v>556.75496017629393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0.19289129760099857</v>
      </c>
      <c r="C10" s="32">
        <f ca="1">'EF ele_warmte'!B22</f>
        <v>0.1921695904326213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868.14037251606157</v>
      </c>
      <c r="C12" s="24">
        <f ca="1">C8*C10</f>
        <v>3262.6278535664114</v>
      </c>
      <c r="D12" s="24">
        <f>D8*D10</f>
        <v>1935.5548961037512</v>
      </c>
      <c r="E12" s="24">
        <f>E8*E10</f>
        <v>9.6246505003393938</v>
      </c>
      <c r="F12" s="24">
        <f>F8*F10</f>
        <v>3921.4783579738064</v>
      </c>
      <c r="G12" s="24"/>
      <c r="H12" s="24"/>
      <c r="I12" s="24"/>
      <c r="J12" s="24">
        <f>J8*J10</f>
        <v>197.09125590240805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0.60931900744480938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739.7171661639984</v>
      </c>
      <c r="C26" s="250">
        <f>B26*'GWP N2O_CH4'!B5</f>
        <v>15534.060489443966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427.03401968299863</v>
      </c>
      <c r="C27" s="250">
        <f>B27*'GWP N2O_CH4'!B5</f>
        <v>8967.714413342972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11.85616649069477</v>
      </c>
      <c r="C28" s="250">
        <f>B28*'GWP N2O_CH4'!B4</f>
        <v>3675.4116121153788</v>
      </c>
      <c r="D28" s="51"/>
    </row>
    <row r="29" spans="1:4">
      <c r="A29" s="42" t="s">
        <v>277</v>
      </c>
      <c r="B29" s="250">
        <f>B34*'ha_N2O bodem landbouw'!B4</f>
        <v>19.562999137636236</v>
      </c>
      <c r="C29" s="250">
        <f>B29*'GWP N2O_CH4'!B4</f>
        <v>6064.5297326672335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5.2813939187287724E-3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1.5935616527595329E-5</v>
      </c>
      <c r="C5" s="447" t="s">
        <v>211</v>
      </c>
      <c r="D5" s="432">
        <f>SUM(D6:D11)</f>
        <v>4.3745237511131194E-5</v>
      </c>
      <c r="E5" s="432">
        <f>SUM(E6:E11)</f>
        <v>2.8373854115610825E-3</v>
      </c>
      <c r="F5" s="445" t="s">
        <v>211</v>
      </c>
      <c r="G5" s="432">
        <f>SUM(G6:G11)</f>
        <v>0.6246721558566366</v>
      </c>
      <c r="H5" s="432">
        <f>SUM(H6:H11)</f>
        <v>9.9909856886786164E-2</v>
      </c>
      <c r="I5" s="447" t="s">
        <v>211</v>
      </c>
      <c r="J5" s="447" t="s">
        <v>211</v>
      </c>
      <c r="K5" s="447" t="s">
        <v>211</v>
      </c>
      <c r="L5" s="447" t="s">
        <v>211</v>
      </c>
      <c r="M5" s="432">
        <f>SUM(M6:M11)</f>
        <v>3.2387109627120762E-2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6.0658434967929455E-6</v>
      </c>
      <c r="C6" s="433"/>
      <c r="D6" s="433">
        <f>vkm_2011_GW_PW*SUMIFS(TableVerdeelsleutelVkm[CNG],TableVerdeelsleutelVkm[Voertuigtype],"Lichte voertuigen")*SUMIFS(TableECFTransport[EnergieConsumptieFactor (PJ per km)],TableECFTransport[Index],CONCATENATE($A6,"_CNG_CNG"))</f>
        <v>1.4812891404495111E-5</v>
      </c>
      <c r="E6" s="435">
        <f>vkm_2011_GW_PW*SUMIFS(TableVerdeelsleutelVkm[LPG],TableVerdeelsleutelVkm[Voertuigtype],"Lichte voertuigen")*SUMIFS(TableECFTransport[EnergieConsumptieFactor (PJ per km)],TableECFTransport[Index],CONCATENATE($A6,"_LPG_LPG"))</f>
        <v>8.780316514943559E-4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0.12692980392810901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3.3264654983840458E-2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7.1738028862677137E-3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8.4914086427518534E-2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3.4259523351537012E-5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3.7828962781115676E-3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2.1510756472161407E-6</v>
      </c>
      <c r="C8" s="433"/>
      <c r="D8" s="435">
        <f>vkm_2011_NGW_PW*SUMIFS(TableVerdeelsleutelVkm[CNG],TableVerdeelsleutelVkm[Voertuigtype],"Lichte voertuigen")*SUMIFS(TableECFTransport[EnergieConsumptieFactor (PJ per km)],TableECFTransport[Index],CONCATENATE($A8,"_CNG_CNG"))</f>
        <v>9.4247076662239159E-6</v>
      </c>
      <c r="E8" s="435">
        <f>vkm_2011_NGW_PW*SUMIFS(TableVerdeelsleutelVkm[LPG],TableVerdeelsleutelVkm[Voertuigtype],"Lichte voertuigen")*SUMIFS(TableECFTransport[EnergieConsumptieFactor (PJ per km)],TableECFTransport[Index],CONCATENATE($A8,"_LPG_LPG"))</f>
        <v>5.1250348634546399E-4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6.9990204393681005E-2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2.0267207892288756E-2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4.0437337099681519E-3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1.4271149056054961E-2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5.0133366129705492E-6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6.3574122226297582E-4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7.718697383586244E-6</v>
      </c>
      <c r="C10" s="433"/>
      <c r="D10" s="435">
        <f>vkm_2011_SW_PW*SUMIFS(TableVerdeelsleutelVkm[CNG],TableVerdeelsleutelVkm[Voertuigtype],"Lichte voertuigen")*SUMIFS(TableECFTransport[EnergieConsumptieFactor (PJ per km)],TableECFTransport[Index],CONCATENATE($A10,"_CNG_CNG"))</f>
        <v>1.9507638440412165E-5</v>
      </c>
      <c r="E10" s="435">
        <f>vkm_2011_SW_PW*SUMIFS(TableVerdeelsleutelVkm[LPG],TableVerdeelsleutelVkm[Voertuigtype],"Lichte voertuigen")*SUMIFS(TableECFTransport[EnergieConsumptieFactor (PJ per km)],TableECFTransport[Index],CONCATENATE($A10,"_LPG_LPG"))</f>
        <v>1.4468502737212628E-3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0.19061443128087521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4.6279670398903135E-2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1.060504003688581E-2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0.13795248077039796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5.9050751789308024E-5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6.1458954936245425E-3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4.4265601465542579</v>
      </c>
      <c r="C14" s="22"/>
      <c r="D14" s="22">
        <f t="shared" ref="D14:M14" si="0">((D5)*10^9/3600)+D12</f>
        <v>12.151454864203108</v>
      </c>
      <c r="E14" s="22">
        <f t="shared" si="0"/>
        <v>788.16261432252293</v>
      </c>
      <c r="F14" s="22"/>
      <c r="G14" s="22">
        <f t="shared" si="0"/>
        <v>173520.04329351019</v>
      </c>
      <c r="H14" s="22">
        <f t="shared" si="0"/>
        <v>27752.738024107268</v>
      </c>
      <c r="I14" s="22"/>
      <c r="J14" s="22"/>
      <c r="K14" s="22"/>
      <c r="L14" s="22"/>
      <c r="M14" s="22">
        <f t="shared" si="0"/>
        <v>8996.419340866878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0.19289129760099857</v>
      </c>
      <c r="C16" s="57">
        <f ca="1">'EF ele_warmte'!B22</f>
        <v>0.1921695904326213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0.85384493057771726</v>
      </c>
      <c r="C18" s="24"/>
      <c r="D18" s="24">
        <f t="shared" ref="D18:M18" si="1">D14*D16</f>
        <v>2.4545938825690281</v>
      </c>
      <c r="E18" s="24">
        <f t="shared" si="1"/>
        <v>178.91291345121272</v>
      </c>
      <c r="F18" s="24"/>
      <c r="G18" s="24">
        <f t="shared" si="1"/>
        <v>46329.85155936722</v>
      </c>
      <c r="H18" s="24">
        <f t="shared" si="1"/>
        <v>6910.4317680027098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7.3379915562816877E-3</v>
      </c>
      <c r="H50" s="323">
        <f t="shared" si="2"/>
        <v>0</v>
      </c>
      <c r="I50" s="323">
        <f t="shared" si="2"/>
        <v>0</v>
      </c>
      <c r="J50" s="323">
        <f t="shared" si="2"/>
        <v>0</v>
      </c>
      <c r="K50" s="323">
        <f t="shared" si="2"/>
        <v>0</v>
      </c>
      <c r="L50" s="323">
        <f t="shared" si="2"/>
        <v>0</v>
      </c>
      <c r="M50" s="323">
        <f t="shared" si="2"/>
        <v>3.2222331401056783E-4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7.3379915562816877E-3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3.2222331401056783E-4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2038.3309878560244</v>
      </c>
      <c r="H54" s="22">
        <f t="shared" si="3"/>
        <v>0</v>
      </c>
      <c r="I54" s="22">
        <f t="shared" si="3"/>
        <v>0</v>
      </c>
      <c r="J54" s="22">
        <f t="shared" si="3"/>
        <v>0</v>
      </c>
      <c r="K54" s="22">
        <f t="shared" si="3"/>
        <v>0</v>
      </c>
      <c r="L54" s="22">
        <f t="shared" si="3"/>
        <v>0</v>
      </c>
      <c r="M54" s="22">
        <f t="shared" si="3"/>
        <v>89.50647611404662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0.19289129760099857</v>
      </c>
      <c r="C56" s="57">
        <f ca="1">'EF ele_warmte'!B22</f>
        <v>0.1921695904326213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544.2343737575585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24896.4449624673</v>
      </c>
      <c r="D10" s="688">
        <f ca="1">tertiair!C16</f>
        <v>0</v>
      </c>
      <c r="E10" s="688">
        <f ca="1">tertiair!D16</f>
        <v>27834.502331959033</v>
      </c>
      <c r="F10" s="688">
        <f>tertiair!E16</f>
        <v>224.78922529641358</v>
      </c>
      <c r="G10" s="688">
        <f ca="1">tertiair!F16</f>
        <v>4769.2445298647835</v>
      </c>
      <c r="H10" s="688">
        <f>tertiair!G16</f>
        <v>0</v>
      </c>
      <c r="I10" s="688">
        <f>tertiair!H16</f>
        <v>0</v>
      </c>
      <c r="J10" s="688">
        <f>tertiair!I16</f>
        <v>0</v>
      </c>
      <c r="K10" s="688">
        <f>tertiair!J16</f>
        <v>0</v>
      </c>
      <c r="L10" s="688">
        <f>tertiair!K16</f>
        <v>0</v>
      </c>
      <c r="M10" s="688">
        <f ca="1">tertiair!L16</f>
        <v>0</v>
      </c>
      <c r="N10" s="688">
        <f>tertiair!M16</f>
        <v>0</v>
      </c>
      <c r="O10" s="688">
        <f ca="1">tertiair!N16</f>
        <v>2673.5004668727502</v>
      </c>
      <c r="P10" s="688">
        <f>tertiair!O16</f>
        <v>0</v>
      </c>
      <c r="Q10" s="689">
        <f>tertiair!P16</f>
        <v>0</v>
      </c>
      <c r="R10" s="691">
        <f ca="1">SUM(C10:Q10)</f>
        <v>60398.481516460277</v>
      </c>
      <c r="S10" s="68"/>
    </row>
    <row r="11" spans="1:19" s="457" customFormat="1">
      <c r="A11" s="803" t="s">
        <v>225</v>
      </c>
      <c r="B11" s="808"/>
      <c r="C11" s="688">
        <f>huishoudens!B8</f>
        <v>45888.444538773409</v>
      </c>
      <c r="D11" s="688">
        <f>huishoudens!C8</f>
        <v>0</v>
      </c>
      <c r="E11" s="688">
        <f>huishoudens!D8</f>
        <v>79270.434119006371</v>
      </c>
      <c r="F11" s="688">
        <f>huishoudens!E8</f>
        <v>8125.5683851205149</v>
      </c>
      <c r="G11" s="688">
        <f>huishoudens!F8</f>
        <v>30028.311981395931</v>
      </c>
      <c r="H11" s="688">
        <f>huishoudens!G8</f>
        <v>0</v>
      </c>
      <c r="I11" s="688">
        <f>huishoudens!H8</f>
        <v>0</v>
      </c>
      <c r="J11" s="688">
        <f>huishoudens!I8</f>
        <v>0</v>
      </c>
      <c r="K11" s="688">
        <f>huishoudens!J8</f>
        <v>3338.7325913157665</v>
      </c>
      <c r="L11" s="688">
        <f>huishoudens!K8</f>
        <v>0</v>
      </c>
      <c r="M11" s="688">
        <f>huishoudens!L8</f>
        <v>0</v>
      </c>
      <c r="N11" s="688">
        <f>huishoudens!M8</f>
        <v>0</v>
      </c>
      <c r="O11" s="688">
        <f>huishoudens!N8</f>
        <v>26271.880871389654</v>
      </c>
      <c r="P11" s="688">
        <f>huishoudens!O8</f>
        <v>128.19333333333336</v>
      </c>
      <c r="Q11" s="689">
        <f>huishoudens!P8</f>
        <v>228.8</v>
      </c>
      <c r="R11" s="691">
        <f>SUM(C11:Q11)</f>
        <v>193280.36582033493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28607.79425803461</v>
      </c>
      <c r="D13" s="688">
        <f>industrie!C18</f>
        <v>4017.8571428571431</v>
      </c>
      <c r="E13" s="688">
        <f>industrie!D18</f>
        <v>73796.637597828783</v>
      </c>
      <c r="F13" s="688">
        <f>industrie!E18</f>
        <v>239.82929688048847</v>
      </c>
      <c r="G13" s="688">
        <f>industrie!F18</f>
        <v>6186.6439906189025</v>
      </c>
      <c r="H13" s="688">
        <f>industrie!G18</f>
        <v>0</v>
      </c>
      <c r="I13" s="688">
        <f>industrie!H18</f>
        <v>0</v>
      </c>
      <c r="J13" s="688">
        <f>industrie!I18</f>
        <v>0</v>
      </c>
      <c r="K13" s="688">
        <f>industrie!J18</f>
        <v>179.3628332789437</v>
      </c>
      <c r="L13" s="688">
        <f>industrie!K18</f>
        <v>0</v>
      </c>
      <c r="M13" s="688">
        <f>industrie!L18</f>
        <v>0</v>
      </c>
      <c r="N13" s="688">
        <f>industrie!M18</f>
        <v>0</v>
      </c>
      <c r="O13" s="688">
        <f>industrie!N18</f>
        <v>0</v>
      </c>
      <c r="P13" s="688">
        <f>industrie!O18</f>
        <v>0</v>
      </c>
      <c r="Q13" s="689">
        <f>industrie!P18</f>
        <v>0</v>
      </c>
      <c r="R13" s="691">
        <f>SUM(C13:Q13)</f>
        <v>113028.12511949886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99392.683759275329</v>
      </c>
      <c r="D16" s="721">
        <f t="shared" ref="D16:R16" ca="1" si="0">SUM(D9:D15)</f>
        <v>4017.8571428571431</v>
      </c>
      <c r="E16" s="721">
        <f t="shared" ca="1" si="0"/>
        <v>180901.57404879419</v>
      </c>
      <c r="F16" s="721">
        <f t="shared" si="0"/>
        <v>8590.1869072974168</v>
      </c>
      <c r="G16" s="721">
        <f t="shared" ca="1" si="0"/>
        <v>40984.200501879619</v>
      </c>
      <c r="H16" s="721">
        <f t="shared" si="0"/>
        <v>0</v>
      </c>
      <c r="I16" s="721">
        <f t="shared" si="0"/>
        <v>0</v>
      </c>
      <c r="J16" s="721">
        <f t="shared" si="0"/>
        <v>0</v>
      </c>
      <c r="K16" s="721">
        <f t="shared" si="0"/>
        <v>3518.09542459471</v>
      </c>
      <c r="L16" s="721">
        <f t="shared" si="0"/>
        <v>0</v>
      </c>
      <c r="M16" s="721">
        <f t="shared" ca="1" si="0"/>
        <v>0</v>
      </c>
      <c r="N16" s="721">
        <f t="shared" si="0"/>
        <v>0</v>
      </c>
      <c r="O16" s="721">
        <f t="shared" ca="1" si="0"/>
        <v>28945.381338262403</v>
      </c>
      <c r="P16" s="721">
        <f t="shared" si="0"/>
        <v>128.19333333333336</v>
      </c>
      <c r="Q16" s="721">
        <f t="shared" si="0"/>
        <v>228.8</v>
      </c>
      <c r="R16" s="721">
        <f t="shared" ca="1" si="0"/>
        <v>366706.97245629405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2038.3309878560244</v>
      </c>
      <c r="I19" s="688">
        <f>transport!H54</f>
        <v>0</v>
      </c>
      <c r="J19" s="688">
        <f>transport!I54</f>
        <v>0</v>
      </c>
      <c r="K19" s="688">
        <f>transport!J54</f>
        <v>0</v>
      </c>
      <c r="L19" s="688">
        <f>transport!K54</f>
        <v>0</v>
      </c>
      <c r="M19" s="688">
        <f>transport!L54</f>
        <v>0</v>
      </c>
      <c r="N19" s="688">
        <f>transport!M54</f>
        <v>89.50647611404662</v>
      </c>
      <c r="O19" s="688">
        <f>transport!N54</f>
        <v>0</v>
      </c>
      <c r="P19" s="688">
        <f>transport!O54</f>
        <v>0</v>
      </c>
      <c r="Q19" s="689">
        <f>transport!P54</f>
        <v>0</v>
      </c>
      <c r="R19" s="691">
        <f>SUM(C19:Q19)</f>
        <v>2127.837463970071</v>
      </c>
      <c r="S19" s="68"/>
    </row>
    <row r="20" spans="1:19" s="457" customFormat="1">
      <c r="A20" s="803" t="s">
        <v>307</v>
      </c>
      <c r="B20" s="808"/>
      <c r="C20" s="688">
        <f>transport!B14</f>
        <v>4.4265601465542579</v>
      </c>
      <c r="D20" s="688">
        <f>transport!C14</f>
        <v>0</v>
      </c>
      <c r="E20" s="688">
        <f>transport!D14</f>
        <v>12.151454864203108</v>
      </c>
      <c r="F20" s="688">
        <f>transport!E14</f>
        <v>788.16261432252293</v>
      </c>
      <c r="G20" s="688">
        <f>transport!F14</f>
        <v>0</v>
      </c>
      <c r="H20" s="688">
        <f>transport!G14</f>
        <v>173520.04329351019</v>
      </c>
      <c r="I20" s="688">
        <f>transport!H14</f>
        <v>27752.738024107268</v>
      </c>
      <c r="J20" s="688">
        <f>transport!I14</f>
        <v>0</v>
      </c>
      <c r="K20" s="688">
        <f>transport!J14</f>
        <v>0</v>
      </c>
      <c r="L20" s="688">
        <f>transport!K14</f>
        <v>0</v>
      </c>
      <c r="M20" s="688">
        <f>transport!L14</f>
        <v>0</v>
      </c>
      <c r="N20" s="688">
        <f>transport!M14</f>
        <v>8996.419340866878</v>
      </c>
      <c r="O20" s="688">
        <f>transport!N14</f>
        <v>0</v>
      </c>
      <c r="P20" s="688">
        <f>transport!O14</f>
        <v>0</v>
      </c>
      <c r="Q20" s="689">
        <f>transport!P14</f>
        <v>0</v>
      </c>
      <c r="R20" s="691">
        <f>SUM(C20:Q20)</f>
        <v>211073.94128781761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4.4265601465542579</v>
      </c>
      <c r="D22" s="806">
        <f t="shared" ref="D22:R22" si="1">SUM(D18:D21)</f>
        <v>0</v>
      </c>
      <c r="E22" s="806">
        <f t="shared" si="1"/>
        <v>12.151454864203108</v>
      </c>
      <c r="F22" s="806">
        <f t="shared" si="1"/>
        <v>788.16261432252293</v>
      </c>
      <c r="G22" s="806">
        <f t="shared" si="1"/>
        <v>0</v>
      </c>
      <c r="H22" s="806">
        <f t="shared" si="1"/>
        <v>175558.37428136621</v>
      </c>
      <c r="I22" s="806">
        <f t="shared" si="1"/>
        <v>27752.738024107268</v>
      </c>
      <c r="J22" s="806">
        <f t="shared" si="1"/>
        <v>0</v>
      </c>
      <c r="K22" s="806">
        <f t="shared" si="1"/>
        <v>0</v>
      </c>
      <c r="L22" s="806">
        <f t="shared" si="1"/>
        <v>0</v>
      </c>
      <c r="M22" s="806">
        <f t="shared" si="1"/>
        <v>0</v>
      </c>
      <c r="N22" s="806">
        <f t="shared" si="1"/>
        <v>9085.9258169809254</v>
      </c>
      <c r="O22" s="806">
        <f t="shared" si="1"/>
        <v>0</v>
      </c>
      <c r="P22" s="806">
        <f t="shared" si="1"/>
        <v>0</v>
      </c>
      <c r="Q22" s="806">
        <f t="shared" si="1"/>
        <v>0</v>
      </c>
      <c r="R22" s="806">
        <f t="shared" si="1"/>
        <v>213201.77875178767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4500.6715352801239</v>
      </c>
      <c r="D24" s="688">
        <f>+landbouw!C8</f>
        <v>16977.857142857145</v>
      </c>
      <c r="E24" s="688">
        <f>+landbouw!D8</f>
        <v>9581.9549312066883</v>
      </c>
      <c r="F24" s="688">
        <f>+landbouw!E8</f>
        <v>42.399341411186754</v>
      </c>
      <c r="G24" s="688">
        <f>+landbouw!F8</f>
        <v>14687.184861325117</v>
      </c>
      <c r="H24" s="688">
        <f>+landbouw!G8</f>
        <v>0</v>
      </c>
      <c r="I24" s="688">
        <f>+landbouw!H8</f>
        <v>0</v>
      </c>
      <c r="J24" s="688">
        <f>+landbouw!I8</f>
        <v>0</v>
      </c>
      <c r="K24" s="688">
        <f>+landbouw!J8</f>
        <v>556.75496017629393</v>
      </c>
      <c r="L24" s="688">
        <f>+landbouw!K8</f>
        <v>0</v>
      </c>
      <c r="M24" s="688">
        <f>+landbouw!L8</f>
        <v>0</v>
      </c>
      <c r="N24" s="688">
        <f>+landbouw!M8</f>
        <v>0</v>
      </c>
      <c r="O24" s="688">
        <f>+landbouw!N8</f>
        <v>0</v>
      </c>
      <c r="P24" s="688">
        <f>+landbouw!O8</f>
        <v>0</v>
      </c>
      <c r="Q24" s="689">
        <f>+landbouw!P8</f>
        <v>0</v>
      </c>
      <c r="R24" s="691">
        <f>SUM(C24:Q24)</f>
        <v>46346.822772256557</v>
      </c>
      <c r="S24" s="68"/>
    </row>
    <row r="25" spans="1:19" s="457" customFormat="1" ht="15" thickBot="1">
      <c r="A25" s="825" t="s">
        <v>912</v>
      </c>
      <c r="B25" s="1001"/>
      <c r="C25" s="1002">
        <f>IF(Onbekend_ele_kWh="---",0,Onbekend_ele_kWh)/1000+IF(REST_rest_ele_kWh="---",0,REST_rest_ele_kWh)/1000</f>
        <v>1724.62428337397</v>
      </c>
      <c r="D25" s="1002"/>
      <c r="E25" s="1002">
        <f>IF(onbekend_gas_kWh="---",0,onbekend_gas_kWh)/1000+IF(REST_rest_gas_kWh="---",0,REST_rest_gas_kWh)/1000</f>
        <v>2820.0022318106603</v>
      </c>
      <c r="F25" s="1002"/>
      <c r="G25" s="1002"/>
      <c r="H25" s="1002"/>
      <c r="I25" s="1002"/>
      <c r="J25" s="1002"/>
      <c r="K25" s="1002"/>
      <c r="L25" s="1002"/>
      <c r="M25" s="1002"/>
      <c r="N25" s="1002"/>
      <c r="O25" s="1002"/>
      <c r="P25" s="1002"/>
      <c r="Q25" s="1003"/>
      <c r="R25" s="691">
        <f>SUM(C25:Q25)</f>
        <v>4544.6265151846301</v>
      </c>
      <c r="S25" s="68"/>
    </row>
    <row r="26" spans="1:19" s="457" customFormat="1" ht="15.75" thickBot="1">
      <c r="A26" s="694" t="s">
        <v>913</v>
      </c>
      <c r="B26" s="811"/>
      <c r="C26" s="806">
        <f>SUM(C24:C25)</f>
        <v>6225.2958186540936</v>
      </c>
      <c r="D26" s="806">
        <f t="shared" ref="D26:R26" si="2">SUM(D24:D25)</f>
        <v>16977.857142857145</v>
      </c>
      <c r="E26" s="806">
        <f t="shared" si="2"/>
        <v>12401.957163017349</v>
      </c>
      <c r="F26" s="806">
        <f t="shared" si="2"/>
        <v>42.399341411186754</v>
      </c>
      <c r="G26" s="806">
        <f t="shared" si="2"/>
        <v>14687.184861325117</v>
      </c>
      <c r="H26" s="806">
        <f t="shared" si="2"/>
        <v>0</v>
      </c>
      <c r="I26" s="806">
        <f t="shared" si="2"/>
        <v>0</v>
      </c>
      <c r="J26" s="806">
        <f t="shared" si="2"/>
        <v>0</v>
      </c>
      <c r="K26" s="806">
        <f t="shared" si="2"/>
        <v>556.75496017629393</v>
      </c>
      <c r="L26" s="806">
        <f t="shared" si="2"/>
        <v>0</v>
      </c>
      <c r="M26" s="806">
        <f t="shared" si="2"/>
        <v>0</v>
      </c>
      <c r="N26" s="806">
        <f t="shared" si="2"/>
        <v>0</v>
      </c>
      <c r="O26" s="806">
        <f t="shared" si="2"/>
        <v>0</v>
      </c>
      <c r="P26" s="806">
        <f t="shared" si="2"/>
        <v>0</v>
      </c>
      <c r="Q26" s="806">
        <f t="shared" si="2"/>
        <v>0</v>
      </c>
      <c r="R26" s="806">
        <f t="shared" si="2"/>
        <v>50891.449287441188</v>
      </c>
      <c r="S26" s="68"/>
    </row>
    <row r="27" spans="1:19" s="457" customFormat="1" ht="17.25" thickTop="1" thickBot="1">
      <c r="A27" s="695" t="s">
        <v>116</v>
      </c>
      <c r="B27" s="798"/>
      <c r="C27" s="696">
        <f ca="1">C22+C16+C26</f>
        <v>105622.40613807598</v>
      </c>
      <c r="D27" s="696">
        <f t="shared" ref="D27:R27" ca="1" si="3">D22+D16+D26</f>
        <v>20995.71428571429</v>
      </c>
      <c r="E27" s="696">
        <f t="shared" ca="1" si="3"/>
        <v>193315.68266667577</v>
      </c>
      <c r="F27" s="696">
        <f t="shared" si="3"/>
        <v>9420.7488630311254</v>
      </c>
      <c r="G27" s="696">
        <f t="shared" ca="1" si="3"/>
        <v>55671.385363204739</v>
      </c>
      <c r="H27" s="696">
        <f t="shared" si="3"/>
        <v>175558.37428136621</v>
      </c>
      <c r="I27" s="696">
        <f t="shared" si="3"/>
        <v>27752.738024107268</v>
      </c>
      <c r="J27" s="696">
        <f t="shared" si="3"/>
        <v>0</v>
      </c>
      <c r="K27" s="696">
        <f t="shared" si="3"/>
        <v>4074.850384771004</v>
      </c>
      <c r="L27" s="696">
        <f t="shared" si="3"/>
        <v>0</v>
      </c>
      <c r="M27" s="696">
        <f t="shared" ca="1" si="3"/>
        <v>0</v>
      </c>
      <c r="N27" s="696">
        <f t="shared" si="3"/>
        <v>9085.9258169809254</v>
      </c>
      <c r="O27" s="696">
        <f t="shared" ca="1" si="3"/>
        <v>28945.381338262403</v>
      </c>
      <c r="P27" s="696">
        <f t="shared" si="3"/>
        <v>128.19333333333336</v>
      </c>
      <c r="Q27" s="696">
        <f t="shared" si="3"/>
        <v>228.8</v>
      </c>
      <c r="R27" s="696">
        <f t="shared" ca="1" si="3"/>
        <v>630800.20049552293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4802.3075744621619</v>
      </c>
      <c r="D40" s="688">
        <f ca="1">tertiair!C20</f>
        <v>0</v>
      </c>
      <c r="E40" s="688">
        <f ca="1">tertiair!D20</f>
        <v>5622.5694710557245</v>
      </c>
      <c r="F40" s="688">
        <f>tertiair!E20</f>
        <v>51.02715414228588</v>
      </c>
      <c r="G40" s="688">
        <f ca="1">tertiair!F20</f>
        <v>1273.3882894738972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11749.29248913407</v>
      </c>
    </row>
    <row r="41" spans="1:18">
      <c r="A41" s="816" t="s">
        <v>225</v>
      </c>
      <c r="B41" s="823"/>
      <c r="C41" s="688">
        <f ca="1">huishoudens!B12</f>
        <v>8851.4816119754596</v>
      </c>
      <c r="D41" s="688">
        <f ca="1">huishoudens!C12</f>
        <v>0</v>
      </c>
      <c r="E41" s="688">
        <f>huishoudens!D12</f>
        <v>16012.627692039288</v>
      </c>
      <c r="F41" s="688">
        <f>huishoudens!E12</f>
        <v>1844.504023422357</v>
      </c>
      <c r="G41" s="688">
        <f>huishoudens!F12</f>
        <v>8017.5592990327141</v>
      </c>
      <c r="H41" s="688">
        <f>huishoudens!G12</f>
        <v>0</v>
      </c>
      <c r="I41" s="688">
        <f>huishoudens!H12</f>
        <v>0</v>
      </c>
      <c r="J41" s="688">
        <f>huishoudens!I12</f>
        <v>0</v>
      </c>
      <c r="K41" s="688">
        <f>huishoudens!J12</f>
        <v>1181.9113373257812</v>
      </c>
      <c r="L41" s="688">
        <f>huishoudens!K12</f>
        <v>0</v>
      </c>
      <c r="M41" s="688">
        <f>huishoudens!L12</f>
        <v>0</v>
      </c>
      <c r="N41" s="688">
        <f>huishoudens!M12</f>
        <v>0</v>
      </c>
      <c r="O41" s="688">
        <f>huishoudens!N12</f>
        <v>0</v>
      </c>
      <c r="P41" s="688">
        <f>huishoudens!O12</f>
        <v>0</v>
      </c>
      <c r="Q41" s="763">
        <f>huishoudens!P12</f>
        <v>0</v>
      </c>
      <c r="R41" s="844">
        <f t="shared" ca="1" si="4"/>
        <v>35908.083963795594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5518.1945559346923</v>
      </c>
      <c r="D43" s="688">
        <f ca="1">industrie!C22</f>
        <v>772.10996155963926</v>
      </c>
      <c r="E43" s="688">
        <f>industrie!D22</f>
        <v>14906.920794761416</v>
      </c>
      <c r="F43" s="688">
        <f>industrie!E22</f>
        <v>54.441250391870888</v>
      </c>
      <c r="G43" s="688">
        <f>industrie!F22</f>
        <v>1651.833945495247</v>
      </c>
      <c r="H43" s="688">
        <f>industrie!G22</f>
        <v>0</v>
      </c>
      <c r="I43" s="688">
        <f>industrie!H22</f>
        <v>0</v>
      </c>
      <c r="J43" s="688">
        <f>industrie!I22</f>
        <v>0</v>
      </c>
      <c r="K43" s="688">
        <f>industrie!J22</f>
        <v>63.494442980746065</v>
      </c>
      <c r="L43" s="688">
        <f>industrie!K22</f>
        <v>0</v>
      </c>
      <c r="M43" s="688">
        <f>industrie!L22</f>
        <v>0</v>
      </c>
      <c r="N43" s="688">
        <f>industrie!M22</f>
        <v>0</v>
      </c>
      <c r="O43" s="688">
        <f>industrie!N22</f>
        <v>0</v>
      </c>
      <c r="P43" s="688">
        <f>industrie!O22</f>
        <v>0</v>
      </c>
      <c r="Q43" s="763">
        <f>industrie!P22</f>
        <v>0</v>
      </c>
      <c r="R43" s="843">
        <f t="shared" ca="1" si="4"/>
        <v>22966.994951123615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19171.983742372315</v>
      </c>
      <c r="D46" s="721">
        <f t="shared" ref="D46:Q46" ca="1" si="5">SUM(D39:D45)</f>
        <v>772.10996155963926</v>
      </c>
      <c r="E46" s="721">
        <f t="shared" ca="1" si="5"/>
        <v>36542.117957856433</v>
      </c>
      <c r="F46" s="721">
        <f t="shared" si="5"/>
        <v>1949.9724279565137</v>
      </c>
      <c r="G46" s="721">
        <f t="shared" ca="1" si="5"/>
        <v>10942.781534001859</v>
      </c>
      <c r="H46" s="721">
        <f t="shared" si="5"/>
        <v>0</v>
      </c>
      <c r="I46" s="721">
        <f t="shared" si="5"/>
        <v>0</v>
      </c>
      <c r="J46" s="721">
        <f t="shared" si="5"/>
        <v>0</v>
      </c>
      <c r="K46" s="721">
        <f t="shared" si="5"/>
        <v>1245.4057803065273</v>
      </c>
      <c r="L46" s="721">
        <f t="shared" si="5"/>
        <v>0</v>
      </c>
      <c r="M46" s="721">
        <f t="shared" ca="1" si="5"/>
        <v>0</v>
      </c>
      <c r="N46" s="721">
        <f t="shared" si="5"/>
        <v>0</v>
      </c>
      <c r="O46" s="721">
        <f t="shared" ca="1" si="5"/>
        <v>0</v>
      </c>
      <c r="P46" s="721">
        <f t="shared" si="5"/>
        <v>0</v>
      </c>
      <c r="Q46" s="721">
        <f t="shared" si="5"/>
        <v>0</v>
      </c>
      <c r="R46" s="721">
        <f ca="1">SUM(R39:R45)</f>
        <v>70624.37140405328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544.2343737575585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544.2343737575585</v>
      </c>
    </row>
    <row r="50" spans="1:18">
      <c r="A50" s="819" t="s">
        <v>307</v>
      </c>
      <c r="B50" s="829"/>
      <c r="C50" s="1008">
        <f ca="1">transport!B18</f>
        <v>0.85384493057771726</v>
      </c>
      <c r="D50" s="1008">
        <f>transport!C18</f>
        <v>0</v>
      </c>
      <c r="E50" s="1008">
        <f>transport!D18</f>
        <v>2.4545938825690281</v>
      </c>
      <c r="F50" s="1008">
        <f>transport!E18</f>
        <v>178.91291345121272</v>
      </c>
      <c r="G50" s="1008">
        <f>transport!F18</f>
        <v>0</v>
      </c>
      <c r="H50" s="1008">
        <f>transport!G18</f>
        <v>46329.85155936722</v>
      </c>
      <c r="I50" s="1008">
        <f>transport!H18</f>
        <v>6910.4317680027098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53422.504679634287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0.85384493057771726</v>
      </c>
      <c r="D52" s="721">
        <f t="shared" ref="D52:Q52" ca="1" si="6">SUM(D48:D51)</f>
        <v>0</v>
      </c>
      <c r="E52" s="721">
        <f t="shared" si="6"/>
        <v>2.4545938825690281</v>
      </c>
      <c r="F52" s="721">
        <f t="shared" si="6"/>
        <v>178.91291345121272</v>
      </c>
      <c r="G52" s="721">
        <f t="shared" si="6"/>
        <v>0</v>
      </c>
      <c r="H52" s="721">
        <f t="shared" si="6"/>
        <v>46874.085933124778</v>
      </c>
      <c r="I52" s="721">
        <f t="shared" si="6"/>
        <v>6910.4317680027098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53966.739053391844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868.14037251606157</v>
      </c>
      <c r="D54" s="1008">
        <f ca="1">+landbouw!C12</f>
        <v>3262.6278535664114</v>
      </c>
      <c r="E54" s="1008">
        <f>+landbouw!D12</f>
        <v>1935.5548961037512</v>
      </c>
      <c r="F54" s="1008">
        <f>+landbouw!E12</f>
        <v>9.6246505003393938</v>
      </c>
      <c r="G54" s="1008">
        <f>+landbouw!F12</f>
        <v>3921.4783579738064</v>
      </c>
      <c r="H54" s="1008">
        <f>+landbouw!G12</f>
        <v>0</v>
      </c>
      <c r="I54" s="1008">
        <f>+landbouw!H12</f>
        <v>0</v>
      </c>
      <c r="J54" s="1008">
        <f>+landbouw!I12</f>
        <v>0</v>
      </c>
      <c r="K54" s="1008">
        <f>+landbouw!J12</f>
        <v>197.09125590240805</v>
      </c>
      <c r="L54" s="1008">
        <f>+landbouw!K12</f>
        <v>0</v>
      </c>
      <c r="M54" s="1008">
        <f>+landbouw!L12</f>
        <v>0</v>
      </c>
      <c r="N54" s="1008">
        <f>+landbouw!M12</f>
        <v>0</v>
      </c>
      <c r="O54" s="1008">
        <f>+landbouw!N12</f>
        <v>0</v>
      </c>
      <c r="P54" s="1008">
        <f>+landbouw!O12</f>
        <v>0</v>
      </c>
      <c r="Q54" s="1009">
        <f>+landbouw!P12</f>
        <v>0</v>
      </c>
      <c r="R54" s="720">
        <f ca="1">SUM(C54:Q54)</f>
        <v>10194.517386562777</v>
      </c>
    </row>
    <row r="55" spans="1:18" ht="15" thickBot="1">
      <c r="A55" s="819" t="s">
        <v>912</v>
      </c>
      <c r="B55" s="829"/>
      <c r="C55" s="1008">
        <f ca="1">C25*'EF ele_warmte'!B12</f>
        <v>332.66501589419732</v>
      </c>
      <c r="D55" s="1008"/>
      <c r="E55" s="1008">
        <f>E25*EF_CO2_aardgas</f>
        <v>569.64045082575342</v>
      </c>
      <c r="F55" s="1008"/>
      <c r="G55" s="1008"/>
      <c r="H55" s="1008"/>
      <c r="I55" s="1008"/>
      <c r="J55" s="1008"/>
      <c r="K55" s="1008"/>
      <c r="L55" s="1008"/>
      <c r="M55" s="1008"/>
      <c r="N55" s="1008"/>
      <c r="O55" s="1008"/>
      <c r="P55" s="1008"/>
      <c r="Q55" s="1009"/>
      <c r="R55" s="720">
        <f ca="1">SUM(C55:Q55)</f>
        <v>902.3054667199508</v>
      </c>
    </row>
    <row r="56" spans="1:18" ht="15.75" thickBot="1">
      <c r="A56" s="817" t="s">
        <v>913</v>
      </c>
      <c r="B56" s="830"/>
      <c r="C56" s="721">
        <f ca="1">SUM(C54:C55)</f>
        <v>1200.805388410259</v>
      </c>
      <c r="D56" s="721">
        <f t="shared" ref="D56:Q56" ca="1" si="7">SUM(D54:D55)</f>
        <v>3262.6278535664114</v>
      </c>
      <c r="E56" s="721">
        <f t="shared" si="7"/>
        <v>2505.1953469295045</v>
      </c>
      <c r="F56" s="721">
        <f t="shared" si="7"/>
        <v>9.6246505003393938</v>
      </c>
      <c r="G56" s="721">
        <f t="shared" si="7"/>
        <v>3921.4783579738064</v>
      </c>
      <c r="H56" s="721">
        <f t="shared" si="7"/>
        <v>0</v>
      </c>
      <c r="I56" s="721">
        <f t="shared" si="7"/>
        <v>0</v>
      </c>
      <c r="J56" s="721">
        <f t="shared" si="7"/>
        <v>0</v>
      </c>
      <c r="K56" s="721">
        <f t="shared" si="7"/>
        <v>197.09125590240805</v>
      </c>
      <c r="L56" s="721">
        <f t="shared" si="7"/>
        <v>0</v>
      </c>
      <c r="M56" s="721">
        <f t="shared" si="7"/>
        <v>0</v>
      </c>
      <c r="N56" s="721">
        <f t="shared" si="7"/>
        <v>0</v>
      </c>
      <c r="O56" s="721">
        <f t="shared" si="7"/>
        <v>0</v>
      </c>
      <c r="P56" s="721">
        <f t="shared" si="7"/>
        <v>0</v>
      </c>
      <c r="Q56" s="722">
        <f t="shared" si="7"/>
        <v>0</v>
      </c>
      <c r="R56" s="723">
        <f ca="1">SUM(R54:R55)</f>
        <v>11096.822853282727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20373.642975713152</v>
      </c>
      <c r="D61" s="729">
        <f t="shared" ref="D61:Q61" ca="1" si="8">D46+D52+D56</f>
        <v>4034.7378151260509</v>
      </c>
      <c r="E61" s="729">
        <f t="shared" ca="1" si="8"/>
        <v>39049.767898668506</v>
      </c>
      <c r="F61" s="729">
        <f t="shared" si="8"/>
        <v>2138.5099919080662</v>
      </c>
      <c r="G61" s="729">
        <f t="shared" ca="1" si="8"/>
        <v>14864.259891975666</v>
      </c>
      <c r="H61" s="729">
        <f t="shared" si="8"/>
        <v>46874.085933124778</v>
      </c>
      <c r="I61" s="729">
        <f t="shared" si="8"/>
        <v>6910.4317680027098</v>
      </c>
      <c r="J61" s="729">
        <f t="shared" si="8"/>
        <v>0</v>
      </c>
      <c r="K61" s="729">
        <f t="shared" si="8"/>
        <v>1442.4970362089352</v>
      </c>
      <c r="L61" s="729">
        <f t="shared" si="8"/>
        <v>0</v>
      </c>
      <c r="M61" s="729">
        <f t="shared" ca="1" si="8"/>
        <v>0</v>
      </c>
      <c r="N61" s="729">
        <f t="shared" si="8"/>
        <v>0</v>
      </c>
      <c r="O61" s="729">
        <f t="shared" ca="1" si="8"/>
        <v>0</v>
      </c>
      <c r="P61" s="729">
        <f t="shared" si="8"/>
        <v>0</v>
      </c>
      <c r="Q61" s="729">
        <f t="shared" si="8"/>
        <v>0</v>
      </c>
      <c r="R61" s="729">
        <f ca="1">R46+R52+R56</f>
        <v>135687.93331072785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0.19289129760099857</v>
      </c>
      <c r="D63" s="773">
        <f t="shared" ca="1" si="9"/>
        <v>0.1921695904326213</v>
      </c>
      <c r="E63" s="1010">
        <f t="shared" ca="1" si="9"/>
        <v>0.20200000000000001</v>
      </c>
      <c r="F63" s="773">
        <f t="shared" si="9"/>
        <v>0.22700000000000009</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2979.8416899012332</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8536.8472304149309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2812.5</v>
      </c>
      <c r="C76" s="739">
        <f>'lokale energieproductie'!B8*IFERROR(SUM(D76:H76)/SUM(D76:O76),0)</f>
        <v>11884.5</v>
      </c>
      <c r="D76" s="1020">
        <f>'lokale energieproductie'!C8</f>
        <v>13981.764705882351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3308.8235294117644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2824.316470588235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14329.188920316165</v>
      </c>
      <c r="C78" s="744">
        <f>SUM(C72:C77)</f>
        <v>11884.5</v>
      </c>
      <c r="D78" s="745">
        <f t="shared" ref="D78:H78" si="10">SUM(D76:D77)</f>
        <v>13981.764705882351</v>
      </c>
      <c r="E78" s="745">
        <f t="shared" si="10"/>
        <v>0</v>
      </c>
      <c r="F78" s="745">
        <f t="shared" si="10"/>
        <v>0</v>
      </c>
      <c r="G78" s="745">
        <f t="shared" si="10"/>
        <v>0</v>
      </c>
      <c r="H78" s="745">
        <f t="shared" si="10"/>
        <v>0</v>
      </c>
      <c r="I78" s="745">
        <f>SUM(I76:I77)</f>
        <v>0</v>
      </c>
      <c r="J78" s="745">
        <f>SUM(J76:J77)</f>
        <v>3308.8235294117644</v>
      </c>
      <c r="K78" s="745">
        <f t="shared" ref="K78:L78" si="11">SUM(K76:K77)</f>
        <v>0</v>
      </c>
      <c r="L78" s="745">
        <f t="shared" si="11"/>
        <v>0</v>
      </c>
      <c r="M78" s="745">
        <f>SUM(M76:M77)</f>
        <v>0</v>
      </c>
      <c r="N78" s="745">
        <f>SUM(N76:N77)</f>
        <v>0</v>
      </c>
      <c r="O78" s="854">
        <f>SUM(O76:O77)</f>
        <v>0</v>
      </c>
      <c r="P78" s="746">
        <v>0</v>
      </c>
      <c r="Q78" s="746">
        <f>SUM(Q76:Q77)</f>
        <v>2824.316470588235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4017.8571428571422</v>
      </c>
      <c r="C87" s="755">
        <f>'lokale energieproductie'!B17*IFERROR(SUM(D87:H87)/SUM(D87:O87),0)</f>
        <v>16977.857142857145</v>
      </c>
      <c r="D87" s="766">
        <f>'lokale energieproductie'!C17</f>
        <v>19973.949579831933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4726.8907563025205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4034.7378151260509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4017.8571428571422</v>
      </c>
      <c r="C90" s="744">
        <f>SUM(C87:C89)</f>
        <v>16977.857142857145</v>
      </c>
      <c r="D90" s="744">
        <f t="shared" ref="D90:H90" si="12">SUM(D87:D89)</f>
        <v>19973.949579831933</v>
      </c>
      <c r="E90" s="744">
        <f t="shared" si="12"/>
        <v>0</v>
      </c>
      <c r="F90" s="744">
        <f t="shared" si="12"/>
        <v>0</v>
      </c>
      <c r="G90" s="744">
        <f t="shared" si="12"/>
        <v>0</v>
      </c>
      <c r="H90" s="744">
        <f t="shared" si="12"/>
        <v>0</v>
      </c>
      <c r="I90" s="744">
        <f>SUM(I87:I89)</f>
        <v>0</v>
      </c>
      <c r="J90" s="744">
        <f>SUM(J87:J89)</f>
        <v>4726.8907563025205</v>
      </c>
      <c r="K90" s="744">
        <f t="shared" ref="K90:L90" si="13">SUM(K87:K89)</f>
        <v>0</v>
      </c>
      <c r="L90" s="744">
        <f t="shared" si="13"/>
        <v>0</v>
      </c>
      <c r="M90" s="744">
        <f>SUM(M87:M89)</f>
        <v>0</v>
      </c>
      <c r="N90" s="744">
        <f>SUM(N87:N89)</f>
        <v>0</v>
      </c>
      <c r="O90" s="744">
        <f>SUM(O87:O89)</f>
        <v>0</v>
      </c>
      <c r="P90" s="744">
        <v>0</v>
      </c>
      <c r="Q90" s="744">
        <f>SUM(Q87:Q89)</f>
        <v>4034.7378151260509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2979.8416899012332</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8536.8472304149309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14697</v>
      </c>
      <c r="C8" s="558">
        <f>B101</f>
        <v>13981.764705882351</v>
      </c>
      <c r="D8" s="991"/>
      <c r="E8" s="991">
        <f>E101</f>
        <v>0</v>
      </c>
      <c r="F8" s="992"/>
      <c r="G8" s="559"/>
      <c r="H8" s="991">
        <f>I101</f>
        <v>0</v>
      </c>
      <c r="I8" s="991">
        <f>G101+F101</f>
        <v>0</v>
      </c>
      <c r="J8" s="991">
        <f>H101+D101+C101</f>
        <v>3308.8235294117644</v>
      </c>
      <c r="K8" s="991"/>
      <c r="L8" s="991"/>
      <c r="M8" s="991"/>
      <c r="N8" s="560"/>
      <c r="O8" s="561">
        <f>C8*$C$12+D8*$D$12+E8*$E$12+F8*$F$12+G8*$G$12+H8*$H$12+I8*$I$12+J8*$J$12</f>
        <v>2824.316470588235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26213.688920316163</v>
      </c>
      <c r="C10" s="570">
        <f t="shared" ref="C10:L10" si="0">SUM(C8:C9)</f>
        <v>13981.764705882351</v>
      </c>
      <c r="D10" s="570">
        <f t="shared" si="0"/>
        <v>0</v>
      </c>
      <c r="E10" s="570">
        <f t="shared" si="0"/>
        <v>0</v>
      </c>
      <c r="F10" s="570">
        <f t="shared" si="0"/>
        <v>0</v>
      </c>
      <c r="G10" s="570">
        <f t="shared" si="0"/>
        <v>0</v>
      </c>
      <c r="H10" s="570">
        <f t="shared" si="0"/>
        <v>0</v>
      </c>
      <c r="I10" s="570">
        <f t="shared" si="0"/>
        <v>0</v>
      </c>
      <c r="J10" s="570">
        <f t="shared" si="0"/>
        <v>3308.8235294117644</v>
      </c>
      <c r="K10" s="570">
        <f t="shared" si="0"/>
        <v>0</v>
      </c>
      <c r="L10" s="570">
        <f t="shared" si="0"/>
        <v>0</v>
      </c>
      <c r="M10" s="995"/>
      <c r="N10" s="995"/>
      <c r="O10" s="571">
        <f>SUM(O4:O9)</f>
        <v>2824.316470588235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20995.714285714286</v>
      </c>
      <c r="C17" s="582">
        <f>B102</f>
        <v>19973.949579831933</v>
      </c>
      <c r="D17" s="583"/>
      <c r="E17" s="583">
        <f>E102</f>
        <v>0</v>
      </c>
      <c r="F17" s="584"/>
      <c r="G17" s="585"/>
      <c r="H17" s="582">
        <f>I102</f>
        <v>0</v>
      </c>
      <c r="I17" s="583">
        <f>G102+F102</f>
        <v>0</v>
      </c>
      <c r="J17" s="583">
        <f>H102+D102+C102</f>
        <v>4726.8907563025205</v>
      </c>
      <c r="K17" s="583"/>
      <c r="L17" s="583"/>
      <c r="M17" s="583"/>
      <c r="N17" s="998"/>
      <c r="O17" s="586">
        <f>C17*$C$22+E17*$E$22+H17*$H$22+I17*$I$22+J17*$J$22+D17*$D$22+F17*$F$22+G17*$G$22+K17*$K$22+L17*$L$22</f>
        <v>4034.7378151260509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20995.714285714286</v>
      </c>
      <c r="C20" s="569">
        <f>SUM(C17:C19)</f>
        <v>19973.949579831933</v>
      </c>
      <c r="D20" s="569">
        <f t="shared" ref="D20:L20" si="1">SUM(D17:D19)</f>
        <v>0</v>
      </c>
      <c r="E20" s="569">
        <f t="shared" si="1"/>
        <v>0</v>
      </c>
      <c r="F20" s="569">
        <f t="shared" si="1"/>
        <v>0</v>
      </c>
      <c r="G20" s="569">
        <f t="shared" si="1"/>
        <v>0</v>
      </c>
      <c r="H20" s="569">
        <f t="shared" si="1"/>
        <v>0</v>
      </c>
      <c r="I20" s="569">
        <f t="shared" si="1"/>
        <v>0</v>
      </c>
      <c r="J20" s="569">
        <f t="shared" si="1"/>
        <v>4726.8907563025205</v>
      </c>
      <c r="K20" s="569">
        <f t="shared" si="1"/>
        <v>0</v>
      </c>
      <c r="L20" s="569">
        <f t="shared" si="1"/>
        <v>0</v>
      </c>
      <c r="M20" s="569"/>
      <c r="N20" s="569"/>
      <c r="O20" s="590">
        <f>SUM(O17:O19)</f>
        <v>4034.7378151260509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31040</v>
      </c>
      <c r="C28" s="789">
        <v>8210</v>
      </c>
      <c r="D28" s="642" t="s">
        <v>948</v>
      </c>
      <c r="E28" s="641" t="s">
        <v>949</v>
      </c>
      <c r="F28" s="641" t="s">
        <v>950</v>
      </c>
      <c r="G28" s="641" t="s">
        <v>951</v>
      </c>
      <c r="H28" s="641" t="s">
        <v>952</v>
      </c>
      <c r="I28" s="641" t="s">
        <v>953</v>
      </c>
      <c r="J28" s="788">
        <v>39828</v>
      </c>
      <c r="K28" s="788">
        <v>39814</v>
      </c>
      <c r="L28" s="641" t="s">
        <v>954</v>
      </c>
      <c r="M28" s="641">
        <v>625</v>
      </c>
      <c r="N28" s="641">
        <v>2812.5</v>
      </c>
      <c r="O28" s="641">
        <v>4017.8571428571431</v>
      </c>
      <c r="P28" s="641">
        <v>0</v>
      </c>
      <c r="Q28" s="641">
        <v>8035.7142857142862</v>
      </c>
      <c r="R28" s="641">
        <v>0</v>
      </c>
      <c r="S28" s="641">
        <v>0</v>
      </c>
      <c r="T28" s="641">
        <v>0</v>
      </c>
      <c r="U28" s="641">
        <v>0</v>
      </c>
      <c r="V28" s="641">
        <v>0</v>
      </c>
      <c r="W28" s="641"/>
      <c r="X28" s="641">
        <v>500</v>
      </c>
      <c r="Y28" s="641" t="s">
        <v>41</v>
      </c>
      <c r="Z28" s="643" t="s">
        <v>391</v>
      </c>
    </row>
    <row r="29" spans="1:26" s="595" customFormat="1" ht="25.5">
      <c r="A29" s="594"/>
      <c r="B29" s="789">
        <v>31040</v>
      </c>
      <c r="C29" s="789">
        <v>8210</v>
      </c>
      <c r="D29" s="642" t="s">
        <v>955</v>
      </c>
      <c r="E29" s="641" t="s">
        <v>956</v>
      </c>
      <c r="F29" s="641" t="s">
        <v>957</v>
      </c>
      <c r="G29" s="641" t="s">
        <v>951</v>
      </c>
      <c r="H29" s="641" t="s">
        <v>952</v>
      </c>
      <c r="I29" s="641" t="s">
        <v>956</v>
      </c>
      <c r="J29" s="788">
        <v>40626</v>
      </c>
      <c r="K29" s="788">
        <v>40641</v>
      </c>
      <c r="L29" s="641" t="s">
        <v>954</v>
      </c>
      <c r="M29" s="641">
        <v>1485</v>
      </c>
      <c r="N29" s="641">
        <v>6682.5</v>
      </c>
      <c r="O29" s="641">
        <v>9546.4285714285725</v>
      </c>
      <c r="P29" s="641">
        <v>19092.857142857145</v>
      </c>
      <c r="Q29" s="641">
        <v>0</v>
      </c>
      <c r="R29" s="641">
        <v>0</v>
      </c>
      <c r="S29" s="641">
        <v>0</v>
      </c>
      <c r="T29" s="641">
        <v>0</v>
      </c>
      <c r="U29" s="641">
        <v>0</v>
      </c>
      <c r="V29" s="641">
        <v>0</v>
      </c>
      <c r="W29" s="641"/>
      <c r="X29" s="641">
        <v>10</v>
      </c>
      <c r="Y29" s="641" t="s">
        <v>112</v>
      </c>
      <c r="Z29" s="643" t="s">
        <v>112</v>
      </c>
    </row>
    <row r="30" spans="1:26" s="595" customFormat="1" ht="25.5">
      <c r="A30" s="594"/>
      <c r="B30" s="789">
        <v>31040</v>
      </c>
      <c r="C30" s="789">
        <v>8210</v>
      </c>
      <c r="D30" s="642" t="s">
        <v>958</v>
      </c>
      <c r="E30" s="641" t="s">
        <v>959</v>
      </c>
      <c r="F30" s="641" t="s">
        <v>960</v>
      </c>
      <c r="G30" s="641" t="s">
        <v>951</v>
      </c>
      <c r="H30" s="641" t="s">
        <v>952</v>
      </c>
      <c r="I30" s="641" t="s">
        <v>959</v>
      </c>
      <c r="J30" s="788">
        <v>41039</v>
      </c>
      <c r="K30" s="788">
        <v>38899</v>
      </c>
      <c r="L30" s="641" t="s">
        <v>954</v>
      </c>
      <c r="M30" s="641">
        <v>1156</v>
      </c>
      <c r="N30" s="641">
        <v>5202</v>
      </c>
      <c r="O30" s="641">
        <v>7431.4285714285716</v>
      </c>
      <c r="P30" s="641">
        <v>14862.857142857143</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3266</v>
      </c>
      <c r="N58" s="599">
        <f>SUM(N28:N57)</f>
        <v>14697</v>
      </c>
      <c r="O58" s="599">
        <f t="shared" ref="O58:W58" si="2">SUM(O28:O57)</f>
        <v>20995.714285714286</v>
      </c>
      <c r="P58" s="599">
        <f t="shared" si="2"/>
        <v>33955.71428571429</v>
      </c>
      <c r="Q58" s="599">
        <f t="shared" si="2"/>
        <v>8035.7142857142862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625</v>
      </c>
      <c r="N59" s="599">
        <f t="shared" si="3"/>
        <v>2812.5</v>
      </c>
      <c r="O59" s="599">
        <f t="shared" si="3"/>
        <v>4017.8571428571431</v>
      </c>
      <c r="P59" s="599">
        <f t="shared" si="3"/>
        <v>0</v>
      </c>
      <c r="Q59" s="599">
        <f t="shared" si="3"/>
        <v>8035.7142857142862</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2641</v>
      </c>
      <c r="N61" s="604">
        <f t="shared" si="4"/>
        <v>11884.5</v>
      </c>
      <c r="O61" s="604">
        <f t="shared" si="4"/>
        <v>16977.857142857145</v>
      </c>
      <c r="P61" s="604">
        <f t="shared" si="4"/>
        <v>33955.71428571429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13981.764705882351</v>
      </c>
      <c r="C101" s="633">
        <f t="shared" si="9"/>
        <v>3308.8235294117644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19973.949579831933</v>
      </c>
      <c r="C102" s="636">
        <f t="shared" si="10"/>
        <v>4726.8907563025205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45888.444538773409</v>
      </c>
      <c r="C4" s="461">
        <f>huishoudens!C8</f>
        <v>0</v>
      </c>
      <c r="D4" s="461">
        <f>huishoudens!D8</f>
        <v>79270.434119006371</v>
      </c>
      <c r="E4" s="461">
        <f>huishoudens!E8</f>
        <v>8125.5683851205149</v>
      </c>
      <c r="F4" s="461">
        <f>huishoudens!F8</f>
        <v>30028.311981395931</v>
      </c>
      <c r="G4" s="461">
        <f>huishoudens!G8</f>
        <v>0</v>
      </c>
      <c r="H4" s="461">
        <f>huishoudens!H8</f>
        <v>0</v>
      </c>
      <c r="I4" s="461">
        <f>huishoudens!I8</f>
        <v>0</v>
      </c>
      <c r="J4" s="461">
        <f>huishoudens!J8</f>
        <v>3338.7325913157665</v>
      </c>
      <c r="K4" s="461">
        <f>huishoudens!K8</f>
        <v>0</v>
      </c>
      <c r="L4" s="461">
        <f>huishoudens!L8</f>
        <v>0</v>
      </c>
      <c r="M4" s="461">
        <f>huishoudens!M8</f>
        <v>0</v>
      </c>
      <c r="N4" s="461">
        <f>huishoudens!N8</f>
        <v>26271.880871389654</v>
      </c>
      <c r="O4" s="461">
        <f>huishoudens!O8</f>
        <v>128.19333333333336</v>
      </c>
      <c r="P4" s="462">
        <f>huishoudens!P8</f>
        <v>228.8</v>
      </c>
      <c r="Q4" s="463">
        <f>SUM(B4:P4)</f>
        <v>193280.36582033493</v>
      </c>
    </row>
    <row r="5" spans="1:17">
      <c r="A5" s="460" t="s">
        <v>156</v>
      </c>
      <c r="B5" s="461">
        <f ca="1">tertiair!B16</f>
        <v>22933.7329624673</v>
      </c>
      <c r="C5" s="461">
        <f ca="1">tertiair!C16</f>
        <v>0</v>
      </c>
      <c r="D5" s="461">
        <f ca="1">tertiair!D16</f>
        <v>27834.502331959033</v>
      </c>
      <c r="E5" s="461">
        <f>tertiair!E16</f>
        <v>224.78922529641358</v>
      </c>
      <c r="F5" s="461">
        <f ca="1">tertiair!F16</f>
        <v>4769.2445298647835</v>
      </c>
      <c r="G5" s="461">
        <f>tertiair!G16</f>
        <v>0</v>
      </c>
      <c r="H5" s="461">
        <f>tertiair!H16</f>
        <v>0</v>
      </c>
      <c r="I5" s="461">
        <f>tertiair!I16</f>
        <v>0</v>
      </c>
      <c r="J5" s="461">
        <f>tertiair!J16</f>
        <v>0</v>
      </c>
      <c r="K5" s="461">
        <f>tertiair!K16</f>
        <v>0</v>
      </c>
      <c r="L5" s="461">
        <f ca="1">tertiair!L16</f>
        <v>0</v>
      </c>
      <c r="M5" s="461">
        <f>tertiair!M16</f>
        <v>0</v>
      </c>
      <c r="N5" s="461">
        <f ca="1">tertiair!N16</f>
        <v>2673.5004668727502</v>
      </c>
      <c r="O5" s="461">
        <f>tertiair!O16</f>
        <v>0</v>
      </c>
      <c r="P5" s="462">
        <f>tertiair!P16</f>
        <v>0</v>
      </c>
      <c r="Q5" s="460">
        <f t="shared" ref="Q5:Q14" ca="1" si="0">SUM(B5:P5)</f>
        <v>58435.769516460277</v>
      </c>
    </row>
    <row r="6" spans="1:17">
      <c r="A6" s="460" t="s">
        <v>194</v>
      </c>
      <c r="B6" s="461">
        <f>'openbare verlichting'!B8</f>
        <v>1962.712</v>
      </c>
      <c r="C6" s="461"/>
      <c r="D6" s="461"/>
      <c r="E6" s="461"/>
      <c r="F6" s="461"/>
      <c r="G6" s="461"/>
      <c r="H6" s="461"/>
      <c r="I6" s="461"/>
      <c r="J6" s="461"/>
      <c r="K6" s="461"/>
      <c r="L6" s="461"/>
      <c r="M6" s="461"/>
      <c r="N6" s="461"/>
      <c r="O6" s="461"/>
      <c r="P6" s="462"/>
      <c r="Q6" s="460">
        <f t="shared" si="0"/>
        <v>1962.712</v>
      </c>
    </row>
    <row r="7" spans="1:17">
      <c r="A7" s="460" t="s">
        <v>112</v>
      </c>
      <c r="B7" s="461">
        <f>landbouw!B8</f>
        <v>4500.6715352801239</v>
      </c>
      <c r="C7" s="461">
        <f>landbouw!C8</f>
        <v>16977.857142857145</v>
      </c>
      <c r="D7" s="461">
        <f>landbouw!D8</f>
        <v>9581.9549312066883</v>
      </c>
      <c r="E7" s="461">
        <f>landbouw!E8</f>
        <v>42.399341411186754</v>
      </c>
      <c r="F7" s="461">
        <f>landbouw!F8</f>
        <v>14687.184861325117</v>
      </c>
      <c r="G7" s="461">
        <f>landbouw!G8</f>
        <v>0</v>
      </c>
      <c r="H7" s="461">
        <f>landbouw!H8</f>
        <v>0</v>
      </c>
      <c r="I7" s="461">
        <f>landbouw!I8</f>
        <v>0</v>
      </c>
      <c r="J7" s="461">
        <f>landbouw!J8</f>
        <v>556.75496017629393</v>
      </c>
      <c r="K7" s="461">
        <f>landbouw!K8</f>
        <v>0</v>
      </c>
      <c r="L7" s="461">
        <f>landbouw!L8</f>
        <v>0</v>
      </c>
      <c r="M7" s="461">
        <f>landbouw!M8</f>
        <v>0</v>
      </c>
      <c r="N7" s="461">
        <f>landbouw!N8</f>
        <v>0</v>
      </c>
      <c r="O7" s="461">
        <f>landbouw!O8</f>
        <v>0</v>
      </c>
      <c r="P7" s="462">
        <f>landbouw!P8</f>
        <v>0</v>
      </c>
      <c r="Q7" s="460">
        <f t="shared" si="0"/>
        <v>46346.822772256557</v>
      </c>
    </row>
    <row r="8" spans="1:17">
      <c r="A8" s="460" t="s">
        <v>685</v>
      </c>
      <c r="B8" s="461">
        <f>industrie!B18</f>
        <v>28607.79425803461</v>
      </c>
      <c r="C8" s="461">
        <f>industrie!C18</f>
        <v>4017.8571428571431</v>
      </c>
      <c r="D8" s="461">
        <f>industrie!D18</f>
        <v>73796.637597828783</v>
      </c>
      <c r="E8" s="461">
        <f>industrie!E18</f>
        <v>239.82929688048847</v>
      </c>
      <c r="F8" s="461">
        <f>industrie!F18</f>
        <v>6186.6439906189025</v>
      </c>
      <c r="G8" s="461">
        <f>industrie!G18</f>
        <v>0</v>
      </c>
      <c r="H8" s="461">
        <f>industrie!H18</f>
        <v>0</v>
      </c>
      <c r="I8" s="461">
        <f>industrie!I18</f>
        <v>0</v>
      </c>
      <c r="J8" s="461">
        <f>industrie!J18</f>
        <v>179.3628332789437</v>
      </c>
      <c r="K8" s="461">
        <f>industrie!K18</f>
        <v>0</v>
      </c>
      <c r="L8" s="461">
        <f>industrie!L18</f>
        <v>0</v>
      </c>
      <c r="M8" s="461">
        <f>industrie!M18</f>
        <v>0</v>
      </c>
      <c r="N8" s="461">
        <f>industrie!N18</f>
        <v>0</v>
      </c>
      <c r="O8" s="461">
        <f>industrie!O18</f>
        <v>0</v>
      </c>
      <c r="P8" s="462">
        <f>industrie!P18</f>
        <v>0</v>
      </c>
      <c r="Q8" s="460">
        <f t="shared" si="0"/>
        <v>113028.12511949886</v>
      </c>
    </row>
    <row r="9" spans="1:17" s="466" customFormat="1">
      <c r="A9" s="464" t="s">
        <v>579</v>
      </c>
      <c r="B9" s="465">
        <f>transport!B14</f>
        <v>4.4265601465542579</v>
      </c>
      <c r="C9" s="465">
        <f>transport!C14</f>
        <v>0</v>
      </c>
      <c r="D9" s="465">
        <f>transport!D14</f>
        <v>12.151454864203108</v>
      </c>
      <c r="E9" s="465">
        <f>transport!E14</f>
        <v>788.16261432252293</v>
      </c>
      <c r="F9" s="465">
        <f>transport!F14</f>
        <v>0</v>
      </c>
      <c r="G9" s="465">
        <f>transport!G14</f>
        <v>173520.04329351019</v>
      </c>
      <c r="H9" s="465">
        <f>transport!H14</f>
        <v>27752.738024107268</v>
      </c>
      <c r="I9" s="465">
        <f>transport!I14</f>
        <v>0</v>
      </c>
      <c r="J9" s="465">
        <f>transport!J14</f>
        <v>0</v>
      </c>
      <c r="K9" s="465">
        <f>transport!K14</f>
        <v>0</v>
      </c>
      <c r="L9" s="465">
        <f>transport!L14</f>
        <v>0</v>
      </c>
      <c r="M9" s="465">
        <f>transport!M14</f>
        <v>8996.419340866878</v>
      </c>
      <c r="N9" s="465">
        <f>transport!N14</f>
        <v>0</v>
      </c>
      <c r="O9" s="465">
        <f>transport!O14</f>
        <v>0</v>
      </c>
      <c r="P9" s="465">
        <f>transport!P14</f>
        <v>0</v>
      </c>
      <c r="Q9" s="464">
        <f>SUM(B9:P9)</f>
        <v>211073.94128781761</v>
      </c>
    </row>
    <row r="10" spans="1:17">
      <c r="A10" s="460" t="s">
        <v>569</v>
      </c>
      <c r="B10" s="461">
        <f>transport!B54</f>
        <v>0</v>
      </c>
      <c r="C10" s="461">
        <f>transport!C54</f>
        <v>0</v>
      </c>
      <c r="D10" s="461">
        <f>transport!D54</f>
        <v>0</v>
      </c>
      <c r="E10" s="461">
        <f>transport!E54</f>
        <v>0</v>
      </c>
      <c r="F10" s="461">
        <f>transport!F54</f>
        <v>0</v>
      </c>
      <c r="G10" s="461">
        <f>transport!G54</f>
        <v>2038.3309878560244</v>
      </c>
      <c r="H10" s="461">
        <f>transport!H54</f>
        <v>0</v>
      </c>
      <c r="I10" s="461">
        <f>transport!I54</f>
        <v>0</v>
      </c>
      <c r="J10" s="461">
        <f>transport!J54</f>
        <v>0</v>
      </c>
      <c r="K10" s="461">
        <f>transport!K54</f>
        <v>0</v>
      </c>
      <c r="L10" s="461">
        <f>transport!L54</f>
        <v>0</v>
      </c>
      <c r="M10" s="461">
        <f>transport!M54</f>
        <v>89.50647611404662</v>
      </c>
      <c r="N10" s="461">
        <f>transport!N54</f>
        <v>0</v>
      </c>
      <c r="O10" s="461">
        <f>transport!O54</f>
        <v>0</v>
      </c>
      <c r="P10" s="462">
        <f>transport!P54</f>
        <v>0</v>
      </c>
      <c r="Q10" s="460">
        <f t="shared" si="0"/>
        <v>2127.837463970071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1724.62428337397</v>
      </c>
      <c r="C14" s="468"/>
      <c r="D14" s="468">
        <f>'SEAP template'!E25</f>
        <v>2820.0022318106603</v>
      </c>
      <c r="E14" s="468"/>
      <c r="F14" s="468"/>
      <c r="G14" s="468"/>
      <c r="H14" s="468"/>
      <c r="I14" s="468"/>
      <c r="J14" s="468"/>
      <c r="K14" s="468"/>
      <c r="L14" s="468"/>
      <c r="M14" s="468"/>
      <c r="N14" s="468"/>
      <c r="O14" s="468"/>
      <c r="P14" s="469"/>
      <c r="Q14" s="460">
        <f t="shared" si="0"/>
        <v>4544.6265151846301</v>
      </c>
    </row>
    <row r="15" spans="1:17" s="473" customFormat="1">
      <c r="A15" s="470" t="s">
        <v>573</v>
      </c>
      <c r="B15" s="471">
        <f ca="1">SUM(B4:B14)</f>
        <v>105622.40613807598</v>
      </c>
      <c r="C15" s="471">
        <f t="shared" ref="C15:Q15" ca="1" si="1">SUM(C4:C14)</f>
        <v>20995.71428571429</v>
      </c>
      <c r="D15" s="471">
        <f t="shared" ca="1" si="1"/>
        <v>193315.68266667574</v>
      </c>
      <c r="E15" s="471">
        <f t="shared" si="1"/>
        <v>9420.7488630311254</v>
      </c>
      <c r="F15" s="471">
        <f t="shared" ca="1" si="1"/>
        <v>55671.385363204739</v>
      </c>
      <c r="G15" s="471">
        <f t="shared" si="1"/>
        <v>175558.37428136621</v>
      </c>
      <c r="H15" s="471">
        <f t="shared" si="1"/>
        <v>27752.738024107268</v>
      </c>
      <c r="I15" s="471">
        <f t="shared" si="1"/>
        <v>0</v>
      </c>
      <c r="J15" s="471">
        <f t="shared" si="1"/>
        <v>4074.850384771004</v>
      </c>
      <c r="K15" s="471">
        <f t="shared" si="1"/>
        <v>0</v>
      </c>
      <c r="L15" s="471">
        <f t="shared" ca="1" si="1"/>
        <v>0</v>
      </c>
      <c r="M15" s="471">
        <f t="shared" si="1"/>
        <v>9085.9258169809254</v>
      </c>
      <c r="N15" s="471">
        <f t="shared" ca="1" si="1"/>
        <v>28945.381338262403</v>
      </c>
      <c r="O15" s="471">
        <f t="shared" si="1"/>
        <v>128.19333333333336</v>
      </c>
      <c r="P15" s="471">
        <f t="shared" si="1"/>
        <v>228.8</v>
      </c>
      <c r="Q15" s="471">
        <f t="shared" ca="1" si="1"/>
        <v>630800.20049552293</v>
      </c>
    </row>
    <row r="17" spans="1:17">
      <c r="A17" s="474" t="s">
        <v>574</v>
      </c>
      <c r="B17" s="778">
        <f ca="1">huishoudens!B10</f>
        <v>0.19289129760099857</v>
      </c>
      <c r="C17" s="778">
        <f ca="1">huishoudens!C10</f>
        <v>0.1921695904326213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8851.4816119754596</v>
      </c>
      <c r="C22" s="461">
        <f t="shared" ref="C22:C32" ca="1" si="3">C4*$C$17</f>
        <v>0</v>
      </c>
      <c r="D22" s="461">
        <f t="shared" ref="D22:D32" si="4">D4*$D$17</f>
        <v>16012.627692039288</v>
      </c>
      <c r="E22" s="461">
        <f t="shared" ref="E22:E32" si="5">E4*$E$17</f>
        <v>1844.504023422357</v>
      </c>
      <c r="F22" s="461">
        <f t="shared" ref="F22:F32" si="6">F4*$F$17</f>
        <v>8017.5592990327141</v>
      </c>
      <c r="G22" s="461">
        <f t="shared" ref="G22:G32" si="7">G4*$G$17</f>
        <v>0</v>
      </c>
      <c r="H22" s="461">
        <f t="shared" ref="H22:H32" si="8">H4*$H$17</f>
        <v>0</v>
      </c>
      <c r="I22" s="461">
        <f t="shared" ref="I22:I32" si="9">I4*$I$17</f>
        <v>0</v>
      </c>
      <c r="J22" s="461">
        <f t="shared" ref="J22:J32" si="10">J4*$J$17</f>
        <v>1181.9113373257812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35908.083963795594</v>
      </c>
    </row>
    <row r="23" spans="1:17">
      <c r="A23" s="460" t="s">
        <v>156</v>
      </c>
      <c r="B23" s="461">
        <f t="shared" ca="1" si="2"/>
        <v>4423.7175099651104</v>
      </c>
      <c r="C23" s="461">
        <f t="shared" ca="1" si="3"/>
        <v>0</v>
      </c>
      <c r="D23" s="461">
        <f t="shared" ca="1" si="4"/>
        <v>5622.5694710557245</v>
      </c>
      <c r="E23" s="461">
        <f t="shared" si="5"/>
        <v>51.02715414228588</v>
      </c>
      <c r="F23" s="461">
        <f t="shared" ca="1" si="6"/>
        <v>1273.3882894738972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11370.70242463702</v>
      </c>
    </row>
    <row r="24" spans="1:17">
      <c r="A24" s="460" t="s">
        <v>194</v>
      </c>
      <c r="B24" s="461">
        <f t="shared" ca="1" si="2"/>
        <v>378.59006449705112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378.59006449705112</v>
      </c>
    </row>
    <row r="25" spans="1:17">
      <c r="A25" s="460" t="s">
        <v>112</v>
      </c>
      <c r="B25" s="461">
        <f t="shared" ca="1" si="2"/>
        <v>868.14037251606157</v>
      </c>
      <c r="C25" s="461">
        <f t="shared" ca="1" si="3"/>
        <v>3262.6278535664114</v>
      </c>
      <c r="D25" s="461">
        <f t="shared" si="4"/>
        <v>1935.5548961037512</v>
      </c>
      <c r="E25" s="461">
        <f t="shared" si="5"/>
        <v>9.6246505003393938</v>
      </c>
      <c r="F25" s="461">
        <f t="shared" si="6"/>
        <v>3921.4783579738064</v>
      </c>
      <c r="G25" s="461">
        <f t="shared" si="7"/>
        <v>0</v>
      </c>
      <c r="H25" s="461">
        <f t="shared" si="8"/>
        <v>0</v>
      </c>
      <c r="I25" s="461">
        <f t="shared" si="9"/>
        <v>0</v>
      </c>
      <c r="J25" s="461">
        <f t="shared" si="10"/>
        <v>197.09125590240805</v>
      </c>
      <c r="K25" s="461">
        <f t="shared" si="11"/>
        <v>0</v>
      </c>
      <c r="L25" s="461">
        <f t="shared" si="12"/>
        <v>0</v>
      </c>
      <c r="M25" s="461">
        <f t="shared" si="13"/>
        <v>0</v>
      </c>
      <c r="N25" s="461">
        <f t="shared" si="14"/>
        <v>0</v>
      </c>
      <c r="O25" s="461">
        <f t="shared" si="15"/>
        <v>0</v>
      </c>
      <c r="P25" s="462">
        <f t="shared" si="16"/>
        <v>0</v>
      </c>
      <c r="Q25" s="460">
        <f t="shared" ca="1" si="17"/>
        <v>10194.517386562777</v>
      </c>
    </row>
    <row r="26" spans="1:17">
      <c r="A26" s="460" t="s">
        <v>685</v>
      </c>
      <c r="B26" s="461">
        <f t="shared" ca="1" si="2"/>
        <v>5518.1945559346923</v>
      </c>
      <c r="C26" s="461">
        <f t="shared" ca="1" si="3"/>
        <v>772.10996155963926</v>
      </c>
      <c r="D26" s="461">
        <f t="shared" si="4"/>
        <v>14906.920794761416</v>
      </c>
      <c r="E26" s="461">
        <f t="shared" si="5"/>
        <v>54.441250391870888</v>
      </c>
      <c r="F26" s="461">
        <f t="shared" si="6"/>
        <v>1651.833945495247</v>
      </c>
      <c r="G26" s="461">
        <f t="shared" si="7"/>
        <v>0</v>
      </c>
      <c r="H26" s="461">
        <f t="shared" si="8"/>
        <v>0</v>
      </c>
      <c r="I26" s="461">
        <f t="shared" si="9"/>
        <v>0</v>
      </c>
      <c r="J26" s="461">
        <f t="shared" si="10"/>
        <v>63.494442980746065</v>
      </c>
      <c r="K26" s="461">
        <f t="shared" si="11"/>
        <v>0</v>
      </c>
      <c r="L26" s="461">
        <f t="shared" si="12"/>
        <v>0</v>
      </c>
      <c r="M26" s="461">
        <f t="shared" si="13"/>
        <v>0</v>
      </c>
      <c r="N26" s="461">
        <f t="shared" si="14"/>
        <v>0</v>
      </c>
      <c r="O26" s="461">
        <f t="shared" si="15"/>
        <v>0</v>
      </c>
      <c r="P26" s="462">
        <f t="shared" si="16"/>
        <v>0</v>
      </c>
      <c r="Q26" s="460">
        <f t="shared" ca="1" si="17"/>
        <v>22966.994951123615</v>
      </c>
    </row>
    <row r="27" spans="1:17" s="466" customFormat="1">
      <c r="A27" s="464" t="s">
        <v>579</v>
      </c>
      <c r="B27" s="772">
        <f t="shared" ca="1" si="2"/>
        <v>0.85384493057771726</v>
      </c>
      <c r="C27" s="465">
        <f t="shared" ca="1" si="3"/>
        <v>0</v>
      </c>
      <c r="D27" s="465">
        <f t="shared" si="4"/>
        <v>2.4545938825690281</v>
      </c>
      <c r="E27" s="465">
        <f t="shared" si="5"/>
        <v>178.91291345121272</v>
      </c>
      <c r="F27" s="465">
        <f t="shared" si="6"/>
        <v>0</v>
      </c>
      <c r="G27" s="465">
        <f t="shared" si="7"/>
        <v>46329.85155936722</v>
      </c>
      <c r="H27" s="465">
        <f t="shared" si="8"/>
        <v>6910.4317680027098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53422.504679634287</v>
      </c>
    </row>
    <row r="28" spans="1:17">
      <c r="A28" s="460" t="s">
        <v>569</v>
      </c>
      <c r="B28" s="461">
        <f t="shared" ca="1" si="2"/>
        <v>0</v>
      </c>
      <c r="C28" s="461">
        <f t="shared" ca="1" si="3"/>
        <v>0</v>
      </c>
      <c r="D28" s="461">
        <f t="shared" si="4"/>
        <v>0</v>
      </c>
      <c r="E28" s="461">
        <f t="shared" si="5"/>
        <v>0</v>
      </c>
      <c r="F28" s="461">
        <f t="shared" si="6"/>
        <v>0</v>
      </c>
      <c r="G28" s="461">
        <f t="shared" si="7"/>
        <v>544.2343737575585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544.2343737575585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332.66501589419732</v>
      </c>
      <c r="C32" s="461">
        <f t="shared" ca="1" si="3"/>
        <v>0</v>
      </c>
      <c r="D32" s="461">
        <f t="shared" si="4"/>
        <v>569.64045082575342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902.3054667199508</v>
      </c>
    </row>
    <row r="33" spans="1:17" s="473" customFormat="1">
      <c r="A33" s="470" t="s">
        <v>573</v>
      </c>
      <c r="B33" s="471">
        <f ca="1">SUM(B22:B32)</f>
        <v>20373.642975713148</v>
      </c>
      <c r="C33" s="471">
        <f t="shared" ref="C33:Q33" ca="1" si="18">SUM(C22:C32)</f>
        <v>4034.7378151260509</v>
      </c>
      <c r="D33" s="471">
        <f t="shared" ca="1" si="18"/>
        <v>39049.767898668499</v>
      </c>
      <c r="E33" s="471">
        <f t="shared" si="18"/>
        <v>2138.5099919080658</v>
      </c>
      <c r="F33" s="471">
        <f t="shared" ca="1" si="18"/>
        <v>14864.259891975666</v>
      </c>
      <c r="G33" s="471">
        <f t="shared" si="18"/>
        <v>46874.085933124778</v>
      </c>
      <c r="H33" s="471">
        <f t="shared" si="18"/>
        <v>6910.4317680027098</v>
      </c>
      <c r="I33" s="471">
        <f t="shared" si="18"/>
        <v>0</v>
      </c>
      <c r="J33" s="471">
        <f t="shared" si="18"/>
        <v>1442.4970362089352</v>
      </c>
      <c r="K33" s="471">
        <f t="shared" si="18"/>
        <v>0</v>
      </c>
      <c r="L33" s="471">
        <f t="shared" ca="1" si="18"/>
        <v>0</v>
      </c>
      <c r="M33" s="471">
        <f t="shared" si="18"/>
        <v>0</v>
      </c>
      <c r="N33" s="471">
        <f t="shared" ca="1" si="18"/>
        <v>0</v>
      </c>
      <c r="O33" s="471">
        <f t="shared" si="18"/>
        <v>0</v>
      </c>
      <c r="P33" s="471">
        <f t="shared" si="18"/>
        <v>0</v>
      </c>
      <c r="Q33" s="471">
        <f t="shared" ca="1" si="18"/>
        <v>135687.93331072788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2979.8416899012332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8536.8472304149309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2812.5</v>
      </c>
      <c r="C8" s="1037">
        <f>'SEAP template'!C76</f>
        <v>11884.5</v>
      </c>
      <c r="D8" s="1037">
        <f>'SEAP template'!D76</f>
        <v>13981.764705882351</v>
      </c>
      <c r="E8" s="1037">
        <f>'SEAP template'!E76</f>
        <v>0</v>
      </c>
      <c r="F8" s="1037">
        <f>'SEAP template'!F76</f>
        <v>0</v>
      </c>
      <c r="G8" s="1037">
        <f>'SEAP template'!G76</f>
        <v>0</v>
      </c>
      <c r="H8" s="1037">
        <f>'SEAP template'!H76</f>
        <v>0</v>
      </c>
      <c r="I8" s="1037">
        <f>'SEAP template'!I76</f>
        <v>0</v>
      </c>
      <c r="J8" s="1037">
        <f>'SEAP template'!J76</f>
        <v>3308.8235294117644</v>
      </c>
      <c r="K8" s="1037">
        <f>'SEAP template'!K76</f>
        <v>0</v>
      </c>
      <c r="L8" s="1037">
        <f>'SEAP template'!L76</f>
        <v>0</v>
      </c>
      <c r="M8" s="1037">
        <f>'SEAP template'!M76</f>
        <v>0</v>
      </c>
      <c r="N8" s="1037">
        <f>'SEAP template'!N76</f>
        <v>0</v>
      </c>
      <c r="O8" s="1037">
        <f>'SEAP template'!O76</f>
        <v>0</v>
      </c>
      <c r="P8" s="1038">
        <f>'SEAP template'!Q76</f>
        <v>2824.316470588235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14329.188920316165</v>
      </c>
      <c r="C10" s="1041">
        <f>SUM(C4:C9)</f>
        <v>11884.5</v>
      </c>
      <c r="D10" s="1041">
        <f t="shared" ref="D10:H10" si="0">SUM(D8:D9)</f>
        <v>13981.764705882351</v>
      </c>
      <c r="E10" s="1041">
        <f t="shared" si="0"/>
        <v>0</v>
      </c>
      <c r="F10" s="1041">
        <f t="shared" si="0"/>
        <v>0</v>
      </c>
      <c r="G10" s="1041">
        <f t="shared" si="0"/>
        <v>0</v>
      </c>
      <c r="H10" s="1041">
        <f t="shared" si="0"/>
        <v>0</v>
      </c>
      <c r="I10" s="1041">
        <f>SUM(I8:I9)</f>
        <v>0</v>
      </c>
      <c r="J10" s="1041">
        <f>SUM(J8:J9)</f>
        <v>3308.8235294117644</v>
      </c>
      <c r="K10" s="1041">
        <f t="shared" ref="K10:L10" si="1">SUM(K8:K9)</f>
        <v>0</v>
      </c>
      <c r="L10" s="1041">
        <f t="shared" si="1"/>
        <v>0</v>
      </c>
      <c r="M10" s="1041">
        <f>SUM(M8:M9)</f>
        <v>0</v>
      </c>
      <c r="N10" s="1041">
        <f>SUM(N8:N9)</f>
        <v>0</v>
      </c>
      <c r="O10" s="1041">
        <f>SUM(O8:O9)</f>
        <v>0</v>
      </c>
      <c r="P10" s="1041">
        <f>SUM(P8:P9)</f>
        <v>2824.316470588235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0.19289129760099857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4017.8571428571422</v>
      </c>
      <c r="C17" s="1044">
        <f>'SEAP template'!C87</f>
        <v>16977.857142857145</v>
      </c>
      <c r="D17" s="1038">
        <f>'SEAP template'!D87</f>
        <v>19973.949579831933</v>
      </c>
      <c r="E17" s="1038">
        <f>'SEAP template'!E87</f>
        <v>0</v>
      </c>
      <c r="F17" s="1038">
        <f>'SEAP template'!F87</f>
        <v>0</v>
      </c>
      <c r="G17" s="1038">
        <f>'SEAP template'!G87</f>
        <v>0</v>
      </c>
      <c r="H17" s="1038">
        <f>'SEAP template'!H87</f>
        <v>0</v>
      </c>
      <c r="I17" s="1038">
        <f>'SEAP template'!I87</f>
        <v>0</v>
      </c>
      <c r="J17" s="1038">
        <f>'SEAP template'!J87</f>
        <v>4726.8907563025205</v>
      </c>
      <c r="K17" s="1038">
        <f>'SEAP template'!K87</f>
        <v>0</v>
      </c>
      <c r="L17" s="1038">
        <f>'SEAP template'!L87</f>
        <v>0</v>
      </c>
      <c r="M17" s="1038">
        <f>'SEAP template'!M87</f>
        <v>0</v>
      </c>
      <c r="N17" s="1038">
        <f>'SEAP template'!N87</f>
        <v>0</v>
      </c>
      <c r="O17" s="1038">
        <f>'SEAP template'!O87</f>
        <v>0</v>
      </c>
      <c r="P17" s="1038">
        <f>'SEAP template'!Q87</f>
        <v>4034.7378151260509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4017.8571428571422</v>
      </c>
      <c r="C20" s="1041">
        <f>SUM(C17:C19)</f>
        <v>16977.857142857145</v>
      </c>
      <c r="D20" s="1041">
        <f t="shared" ref="D20:H20" si="2">SUM(D17:D19)</f>
        <v>19973.949579831933</v>
      </c>
      <c r="E20" s="1041">
        <f t="shared" si="2"/>
        <v>0</v>
      </c>
      <c r="F20" s="1041">
        <f t="shared" si="2"/>
        <v>0</v>
      </c>
      <c r="G20" s="1041">
        <f t="shared" si="2"/>
        <v>0</v>
      </c>
      <c r="H20" s="1041">
        <f t="shared" si="2"/>
        <v>0</v>
      </c>
      <c r="I20" s="1041">
        <f>SUM(I17:I19)</f>
        <v>0</v>
      </c>
      <c r="J20" s="1041">
        <f>SUM(J17:J19)</f>
        <v>4726.8907563025205</v>
      </c>
      <c r="K20" s="1041">
        <f t="shared" ref="K20:L20" si="3">SUM(K17:K19)</f>
        <v>0</v>
      </c>
      <c r="L20" s="1041">
        <f t="shared" si="3"/>
        <v>0</v>
      </c>
      <c r="M20" s="1041">
        <f>SUM(M17:M19)</f>
        <v>0</v>
      </c>
      <c r="N20" s="1041">
        <f>SUM(N17:N19)</f>
        <v>0</v>
      </c>
      <c r="O20" s="1041">
        <f>SUM(O17:O19)</f>
        <v>0</v>
      </c>
      <c r="P20" s="1041">
        <f>SUM(P17:P19)</f>
        <v>4034.7378151260509</v>
      </c>
    </row>
    <row r="22" spans="1:16">
      <c r="A22" s="474" t="s">
        <v>932</v>
      </c>
      <c r="B22" s="778" t="s">
        <v>926</v>
      </c>
      <c r="C22" s="778">
        <f ca="1">'EF ele_warmte'!B22</f>
        <v>0.1921695904326213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0.19289129760099857</v>
      </c>
      <c r="C17" s="510">
        <f ca="1">'EF ele_warmte'!B22</f>
        <v>0.1921695904326213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2019-08-12T07:54:15Z</dcterms:modified>
</cp:coreProperties>
</file>