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19" l="1"/>
  <c r="F20"/>
  <c r="B17"/>
  <c r="B20" s="1"/>
  <c r="O9"/>
  <c r="C98"/>
  <c r="B10"/>
  <c r="O18"/>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1" s="1"/>
  <c r="P32"/>
  <c r="O32"/>
  <c r="P31"/>
  <c r="O31"/>
  <c r="Q12"/>
  <c r="P29"/>
  <c r="O29"/>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P26" i="14"/>
  <c r="L22"/>
  <c r="D22"/>
  <c r="R12"/>
  <c r="F13" i="15"/>
  <c r="D13"/>
  <c r="C13"/>
  <c r="Q14" i="48" l="1"/>
  <c r="L90" i="14"/>
  <c r="L17" i="56"/>
  <c r="L20" s="1"/>
  <c r="G90" i="14"/>
  <c r="G18" i="56"/>
  <c r="G20" s="1"/>
  <c r="O90" i="14"/>
  <c r="O18" i="56"/>
  <c r="O20" s="1"/>
  <c r="C77" i="14"/>
  <c r="C9" i="56" s="1"/>
  <c r="D9"/>
  <c r="D10" s="1"/>
  <c r="K90" i="14"/>
  <c r="K18" i="56"/>
  <c r="N78" i="14"/>
  <c r="N8" i="56"/>
  <c r="N10" s="1"/>
  <c r="J78" i="14"/>
  <c r="F78"/>
  <c r="G10" i="56"/>
  <c r="N90" i="14"/>
  <c r="F10" i="56"/>
  <c r="F20"/>
  <c r="K78" i="14"/>
  <c r="K8" i="56"/>
  <c r="K10" s="1"/>
  <c r="O78" i="14"/>
  <c r="O9" i="56"/>
  <c r="O10" s="1"/>
  <c r="Q88" i="14"/>
  <c r="P18" i="56" s="1"/>
  <c r="D18"/>
  <c r="C76" i="14"/>
  <c r="C8" i="56" s="1"/>
  <c r="C10" s="1"/>
  <c r="E8"/>
  <c r="E10" s="1"/>
  <c r="M78" i="14"/>
  <c r="M8" i="56"/>
  <c r="M10" s="1"/>
  <c r="H78" i="14"/>
  <c r="H9" i="56"/>
  <c r="H10" s="1"/>
  <c r="Q87" i="14"/>
  <c r="P17" i="56" s="1"/>
  <c r="P20" s="1"/>
  <c r="D17"/>
  <c r="D20" s="1"/>
  <c r="K20"/>
  <c r="G78" i="14"/>
  <c r="F90"/>
  <c r="E20" i="56"/>
  <c r="H90" i="14"/>
  <c r="M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I90"/>
  <c r="M90"/>
  <c r="D90"/>
  <c r="Q78" l="1"/>
  <c r="B9" i="6" s="1"/>
  <c r="P9" i="56"/>
  <c r="P10" s="1"/>
  <c r="C20"/>
  <c r="J90" i="14"/>
  <c r="J17" i="56"/>
  <c r="J20" s="1"/>
  <c r="C90" i="14"/>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29"/>
  <c r="D24"/>
  <c r="D31"/>
  <c r="D32"/>
  <c r="L32"/>
  <c r="L28"/>
  <c r="L24"/>
  <c r="L30"/>
  <c r="L31"/>
  <c r="L27"/>
  <c r="L22"/>
  <c r="L29"/>
  <c r="P5"/>
  <c r="P23" s="1"/>
  <c r="Q10" i="14"/>
  <c r="K32" i="48"/>
  <c r="K26"/>
  <c r="K28"/>
  <c r="K30"/>
  <c r="K31"/>
  <c r="K22"/>
  <c r="K25"/>
  <c r="K24"/>
  <c r="K27"/>
  <c r="K29"/>
  <c r="J27"/>
  <c r="J24"/>
  <c r="J32"/>
  <c r="J30"/>
  <c r="J28"/>
  <c r="J31"/>
  <c r="J29"/>
  <c r="P11" i="14"/>
  <c r="O4" i="48"/>
  <c r="H29"/>
  <c r="H32"/>
  <c r="H28"/>
  <c r="H24"/>
  <c r="H25"/>
  <c r="H26"/>
  <c r="H22"/>
  <c r="H30"/>
  <c r="H23"/>
  <c r="C4"/>
  <c r="D11" i="14"/>
  <c r="G29" i="48"/>
  <c r="G32"/>
  <c r="G25"/>
  <c r="G26"/>
  <c r="G30"/>
  <c r="G22"/>
  <c r="G24"/>
  <c r="G23"/>
  <c r="B38" i="13"/>
  <c r="B50" s="1"/>
  <c r="E32" i="48"/>
  <c r="E29"/>
  <c r="E28"/>
  <c r="E30"/>
  <c r="E24"/>
  <c r="E31"/>
  <c r="M12" i="13"/>
  <c r="N41" i="14" s="1"/>
  <c r="M17" i="48"/>
  <c r="J10" i="14"/>
  <c r="J16" s="1"/>
  <c r="J27" s="1"/>
  <c r="I5" i="48"/>
  <c r="P4"/>
  <c r="Q11" i="14"/>
  <c r="B7" i="48"/>
  <c r="C24" i="14"/>
  <c r="C26" s="1"/>
  <c r="I28" i="48"/>
  <c r="I27"/>
  <c r="I32"/>
  <c r="I22"/>
  <c r="I25"/>
  <c r="I30"/>
  <c r="I24"/>
  <c r="I29"/>
  <c r="I31"/>
  <c r="I26"/>
  <c r="D4"/>
  <c r="D22" s="1"/>
  <c r="E11" i="14"/>
  <c r="C11"/>
  <c r="B4" i="48"/>
  <c r="F24"/>
  <c r="F31"/>
  <c r="F32"/>
  <c r="F30"/>
  <c r="F29"/>
  <c r="F27"/>
  <c r="F28"/>
  <c r="N31"/>
  <c r="N32"/>
  <c r="N29"/>
  <c r="N24"/>
  <c r="N30"/>
  <c r="N28"/>
  <c r="N27"/>
  <c r="C19" i="14"/>
  <c r="B10"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1" i="14" l="1"/>
  <c r="F4" i="48"/>
  <c r="F22" s="1"/>
  <c r="I18" i="14"/>
  <c r="H13" i="48"/>
  <c r="H31" s="1"/>
  <c r="M26"/>
  <c r="M32"/>
  <c r="M25"/>
  <c r="M29"/>
  <c r="M24"/>
  <c r="M30"/>
  <c r="M22"/>
  <c r="M23"/>
  <c r="Q13" i="14"/>
  <c r="P8" i="48"/>
  <c r="P26" s="1"/>
  <c r="O22"/>
  <c r="J46" i="14"/>
  <c r="J61" s="1"/>
  <c r="J63" s="1"/>
  <c r="K33" i="48"/>
  <c r="Q16" i="14"/>
  <c r="Q27" s="1"/>
  <c r="L46"/>
  <c r="L61" s="1"/>
  <c r="L63" s="1"/>
  <c r="K23" i="48"/>
  <c r="K15"/>
  <c r="P10" i="14"/>
  <c r="O5" i="48"/>
  <c r="O23" s="1"/>
  <c r="H18" i="14"/>
  <c r="G13" i="48"/>
  <c r="N18" i="14"/>
  <c r="M13" i="48"/>
  <c r="M31" s="1"/>
  <c r="I23"/>
  <c r="I15"/>
  <c r="J12" i="17"/>
  <c r="K54" i="14" s="1"/>
  <c r="K56" s="1"/>
  <c r="J7" i="48"/>
  <c r="J25" s="1"/>
  <c r="K24" i="14"/>
  <c r="K26" s="1"/>
  <c r="P15" i="48"/>
  <c r="P22"/>
  <c r="P33" s="1"/>
  <c r="I3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E4" i="48"/>
  <c r="F11" i="14"/>
  <c r="M10" i="48"/>
  <c r="M28" s="1"/>
  <c r="N19" i="14"/>
  <c r="E20"/>
  <c r="E22" s="1"/>
  <c r="D9" i="48"/>
  <c r="D27" s="1"/>
  <c r="O11" i="14"/>
  <c r="N4" i="48"/>
  <c r="N22" s="1"/>
  <c r="G10"/>
  <c r="H19" i="14"/>
  <c r="R19" s="1"/>
  <c r="J4" i="48"/>
  <c r="K11" i="14"/>
  <c r="M9" i="48"/>
  <c r="N20" i="14"/>
  <c r="N22" s="1"/>
  <c r="N27" s="1"/>
  <c r="N63" s="1"/>
  <c r="E7" i="48"/>
  <c r="E25" s="1"/>
  <c r="F24" i="14"/>
  <c r="F26" s="1"/>
  <c r="R18"/>
  <c r="E9" i="48"/>
  <c r="E27" s="1"/>
  <c r="F20" i="14"/>
  <c r="F22" s="1"/>
  <c r="G31" i="48"/>
  <c r="Q13"/>
  <c r="H9"/>
  <c r="I20" i="14"/>
  <c r="I22" s="1"/>
  <c r="I27" s="1"/>
  <c r="P13"/>
  <c r="O8" i="48"/>
  <c r="O26" s="1"/>
  <c r="C20" i="14"/>
  <c r="B9" i="48"/>
  <c r="O33"/>
  <c r="E12" i="17"/>
  <c r="F54" i="14" s="1"/>
  <c r="F56" s="1"/>
  <c r="D16"/>
  <c r="D27" s="1"/>
  <c r="B20" i="6" s="1"/>
  <c r="B22" s="1"/>
  <c r="C22" i="56" s="1"/>
  <c r="Q46" i="14"/>
  <c r="Q61" s="1"/>
  <c r="Q63" s="1"/>
  <c r="I52"/>
  <c r="I61" s="1"/>
  <c r="N52"/>
  <c r="N61" s="1"/>
  <c r="P16"/>
  <c r="P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27" i="48" l="1"/>
  <c r="H33" s="1"/>
  <c r="H15"/>
  <c r="E22"/>
  <c r="Q4"/>
  <c r="G9"/>
  <c r="H20" i="14"/>
  <c r="H22" s="1"/>
  <c r="H27" s="1"/>
  <c r="H63" s="1"/>
  <c r="J5" i="48"/>
  <c r="J23" s="1"/>
  <c r="K10" i="14"/>
  <c r="C22"/>
  <c r="J22" i="48"/>
  <c r="R11" i="14"/>
  <c r="G28" i="48"/>
  <c r="Q10"/>
  <c r="E5"/>
  <c r="E23" s="1"/>
  <c r="F10" i="14"/>
  <c r="M27" i="48"/>
  <c r="M33" s="1"/>
  <c r="M15"/>
  <c r="I63" i="14"/>
  <c r="E46"/>
  <c r="E61" s="1"/>
  <c r="O15" i="48"/>
  <c r="D15"/>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F46" i="14"/>
  <c r="F61" s="1"/>
  <c r="Q5" i="48"/>
  <c r="E63" i="14"/>
  <c r="J15" i="48"/>
  <c r="K13" i="14"/>
  <c r="K16" s="1"/>
  <c r="K27" s="1"/>
  <c r="K63" s="1"/>
  <c r="J8" i="48"/>
  <c r="J26" s="1"/>
  <c r="F13" i="14"/>
  <c r="E8" i="48"/>
  <c r="Q9"/>
  <c r="K46" i="14"/>
  <c r="K61" s="1"/>
  <c r="R20"/>
  <c r="R22" s="1"/>
  <c r="F16"/>
  <c r="F27" s="1"/>
  <c r="F63" s="1"/>
  <c r="J33"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<sst xmlns="http://schemas.openxmlformats.org/spreadsheetml/2006/main" count="2486" uniqueCount="948">
  <si>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</si>
  <si>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</si>
  <si>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</si>
  <si>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</si>
  <si>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</si>
  <si>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</si>
  <si>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</si>
  <si>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</si>
  <si>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</si>
  <si>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</si>
  <si>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</si>
  <si>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</si>
  <si>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</si>
  <si>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</si>
  <si>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</si>
  <si>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</si>
  <si>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</si>
  <si>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</si>
  <si>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</si>
  <si>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</si>
  <si>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</si>
  <si>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</si>
  <si>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</si>
  <si>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</si>
  <si>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</si>
  <si>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</si>
  <si>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</si>
  <si>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</si>
  <si>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</si>
  <si>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</si>
  <si>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</si>
  <si>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</si>
  <si>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</si>
  <si>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</si>
  <si>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</si>
  <si>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</si>
  <si>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</si>
  <si>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</si>
  <si>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</si>
  <si>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</si>
  <si>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</si>
  <si>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</si>
  <si>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</si>
  <si>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</si>
  <si>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</si>
  <si>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</si>
  <si>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</si>
  <si>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</si>
  <si>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</si>
  <si>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</si>
  <si>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</si>
  <si>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</si>
  <si>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</si>
  <si>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</si>
  <si>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</si>
  <si>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</si>
  <si>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</si>
  <si>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</si>
  <si>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</si>
  <si>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</si>
  <si>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</si>
  <si>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</si>
  <si>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</si>
  <si>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</si>
  <si>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</si>
  <si>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</si>
  <si>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</si>
  <si>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</si>
  <si>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</si>
  <si>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</si>
  <si>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</si>
  <si>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</si>
  <si>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</si>
  <si>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</si>
  <si>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</si>
  <si>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</si>
  <si>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</si>
  <si>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</si>
  <si>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</si>
  <si>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</si>
  <si>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</si>
  <si>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</si>
  <si>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</si>
  <si>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</si>
  <si>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</si>
  <si>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</si>
  <si>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</si>
  <si>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</si>
  <si>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</si>
  <si>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</si>
  <si>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</si>
  <si>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</si>
  <si>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</si>
  <si>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</si>
  <si>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</si>
  <si>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</si>
  <si>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</si>
  <si>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</si>
  <si>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</si>
  <si>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</si>
  <si>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</si>
  <si>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</si>
  <si>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</si>
  <si>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</si>
  <si>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</si>
  <si>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</si>
  <si>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</si>
  <si>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</si>
  <si>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</si>
  <si>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</si>
  <si>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</si>
  <si>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</si>
  <si>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</si>
  <si>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</si>
  <si>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</si>
  <si>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</si>
  <si>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</si>
  <si>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</si>
  <si>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</si>
  <si>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</si>
  <si>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</si>
  <si>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</si>
  <si>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</si>
  <si>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</si>
  <si>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</si>
  <si>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</si>
  <si>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</si>
  <si>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</si>
  <si>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</si>
  <si>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</si>
  <si>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</si>
  <si>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</si>
  <si>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</si>
  <si>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</si>
  <si>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</si>
  <si>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</si>
  <si>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</si>
  <si>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</si>
  <si>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</si>
  <si>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</si>
  <si>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</si>
  <si>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</si>
  <si>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</si>
  <si>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</si>
  <si>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</si>
  <si>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</si>
  <si>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</si>
  <si>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</si>
  <si>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</si>
  <si>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</si>
  <si>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</si>
  <si>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</si>
  <si>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</si>
  <si>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</si>
  <si>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</si>
  <si>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</si>
  <si>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</si>
  <si>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</si>
  <si>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</si>
  <si>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</si>
  <si>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</si>
  <si>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</si>
  <si>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</si>
  <si>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</si>
  <si>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</si>
  <si>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</si>
  <si>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</si>
  <si>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</si>
  <si>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</si>
  <si>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</si>
  <si>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</si>
  <si>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</si>
  <si>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</si>
  <si>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</si>
  <si>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</si>
  <si>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</si>
  <si>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</si>
  <si>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</si>
  <si>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</si>
  <si>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</si>
  <si>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</si>
  <si>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</si>
  <si>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</si>
  <si>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</si>
  <si>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</si>
  <si>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</si>
  <si>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</si>
  <si>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</si>
  <si>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</si>
  <si>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</si>
  <si>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</si>
  <si>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</si>
  <si>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</si>
  <si>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</si>
  <si>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</si>
  <si>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</si>
  <si>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</si>
  <si>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</si>
  <si>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</si>
  <si>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</si>
  <si>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</si>
  <si>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</si>
  <si>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</si>
  <si>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</si>
  <si>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</si>
  <si>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</si>
  <si>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</si>
  <si>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</si>
  <si>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</si>
  <si>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</si>
  <si>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</si>
  <si>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</si>
  <si>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</si>
  <si>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</si>
  <si>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</si>
  <si>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</si>
  <si>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</si>
  <si>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</si>
  <si>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</si>
  <si>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</si>
  <si>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</si>
  <si>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</si>
  <si>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</si>
  <si>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</si>
  <si>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</si>
  <si>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</si>
  <si>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</si>
  <si>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</si>
  <si>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</si>
  <si>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</si>
  <si>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</si>
  <si>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</si>
  <si>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</si>
  <si>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</si>
  <si>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</si>
  <si>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</si>
  <si>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</si>
  <si>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</si>
  <si>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</si>
  <si>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</si>
  <si>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</si>
  <si>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</si>
  <si>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</si>
  <si>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</si>
  <si>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</si>
  <si>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</si>
  <si>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</si>
  <si>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</si>
  <si>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</si>
  <si>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</si>
  <si>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</si>
  <si>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</si>
  <si>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</si>
  <si>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</si>
  <si>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</si>
  <si>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</si>
  <si>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</si>
  <si>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</si>
  <si>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</si>
  <si>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</si>
  <si>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</si>
  <si>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</si>
  <si>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</si>
  <si>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</si>
  <si>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</si>
  <si>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</si>
  <si>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</si>
  <si>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</si>
  <si>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</si>
  <si>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</si>
  <si>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</si>
  <si>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</si>
  <si>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</si>
  <si>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</si>
  <si>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</si>
  <si>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</si>
  <si>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</si>
  <si>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</si>
  <si>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</si>
  <si>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</si>
  <si>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</si>
  <si>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</si>
  <si>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</si>
  <si>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</si>
  <si>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</si>
  <si>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</si>
  <si>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</si>
  <si>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</si>
  <si>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</si>
  <si>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</si>
  <si>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</si>
  <si>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</si>
  <si>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</si>
  <si>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</si>
  <si>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</si>
  <si>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</si>
  <si>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</si>
  <si>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</si>
  <si>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</si>
  <si>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</si>
  <si>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</si>
  <si>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</si>
  <si>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</si>
  <si>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</si>
  <si>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</si>
  <si>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</si>
  <si>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</si>
  <si>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</si>
  <si>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</si>
  <si>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</si>
  <si>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</si>
  <si>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</si>
  <si>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</si>
  <si>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</si>
  <si>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</si>
  <si>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</si>
  <si>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</si>
  <si>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</si>
  <si>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</si>
  <si>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</si>
  <si>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</si>
  <si>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</si>
  <si>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</si>
  <si>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</si>
  <si>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</si>
  <si>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</si>
  <si>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</si>
  <si>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</si>
  <si>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</si>
  <si>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</si>
  <si>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</si>
  <si>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</si>
  <si>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</si>
  <si>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</si>
  <si>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</si>
  <si>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</si>
  <si>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</si>
  <si>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</si>
  <si>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</si>
  <si>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</si>
  <si>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</si>
  <si>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</si>
  <si>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</si>
  <si>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</si>
  <si>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</si>
  <si>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</si>
  <si>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</si>
  <si>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</si>
  <si>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</si>
  <si>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</si>
  <si>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</si>
  <si>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</si>
  <si>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</si>
  <si>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</si>
  <si>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</si>
  <si>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</si>
  <si>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</si>
  <si>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</si>
  <si>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</si>
  <si>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</si>
  <si>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</si>
  <si>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</si>
  <si>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</si>
  <si>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</si>
  <si>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</si>
  <si>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</si>
  <si>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</si>
  <si>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</si>
  <si>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</si>
  <si>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</si>
  <si>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</si>
  <si>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</si>
  <si>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</si>
  <si>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</si>
  <si>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</si>
  <si>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</si>
  <si>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</si>
  <si>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</si>
  <si>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</si>
  <si>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</si>
  <si>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</si>
  <si>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</si>
  <si>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</si>
  <si>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</si>
  <si>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</si>
  <si>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</si>
  <si>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</si>
  <si>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</si>
  <si>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</si>
  <si>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</si>
  <si>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</si>
  <si>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</si>
  <si>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</si>
  <si>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</si>
  <si>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</si>
  <si>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</si>
  <si>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</si>
  <si>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</si>
  <si>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</si>
  <si>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</si>
  <si>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</si>
  <si>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</si>
  <si>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</si>
  <si>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</si>
  <si>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</si>
  <si>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</si>
  <si>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</si>
  <si>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</si>
  <si>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</si>
  <si>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</si>
  <si>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</si>
  <si>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</si>
  <si>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</si>
  <si>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</si>
  <si>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</si>
  <si>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</si>
  <si>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</si>
  <si>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</si>
  <si>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</si>
  <si>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</si>
  <si>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</si>
  <si>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</si>
  <si>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</si>
  <si>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</si>
  <si>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</si>
  <si>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</si>
  <si>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</si>
  <si>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</si>
  <si>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</si>
  <si>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</si>
  <si>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</si>
  <si>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</si>
  <si>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</si>
  <si>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</si>
  <si>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</si>
  <si>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</si>
  <si>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</si>
  <si>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</si>
  <si>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</si>
  <si>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</si>
  <si>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</si>
  <si>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</si>
  <si>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</si>
  <si>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</si>
  <si>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</si>
  <si>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</si>
  <si>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</si>
  <si>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</si>
  <si>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</si>
  <si>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</si>
  <si>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</si>
  <si>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</si>
  <si>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</si>
  <si>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</si>
  <si>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</si>
  <si>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</si>
  <si>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</si>
  <si>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</si>
  <si>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</si>
  <si>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</si>
  <si>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</si>
  <si>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</si>
  <si>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</si>
  <si>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</si>
  <si>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</si>
  <si>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</si>
  <si>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</si>
  <si>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</si>
  <si>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</si>
  <si>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</si>
  <si>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</si>
  <si>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</si>
  <si>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</si>
  <si>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</si>
  <si>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</si>
  <si>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</si>
  <si>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</si>
  <si>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</si>
  <si>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</si>
  <si>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</si>
  <si>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</si>
  <si>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</si>
  <si>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</si>
  <si>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</si>
  <si>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</si>
  <si>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</si>
  <si>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</si>
  <si>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</si>
  <si>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</si>
  <si>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</si>
  <si>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</si>
  <si>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</si>
  <si>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</si>
  <si>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</si>
  <si>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</si>
  <si>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</si>
  <si>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</si>
  <si>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</si>
  <si>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</si>
  <si>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</si>
  <si>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</si>
  <si>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</si>
  <si>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</si>
  <si>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</si>
  <si>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</si>
  <si>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</si>
  <si>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</si>
  <si>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</si>
  <si>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</si>
  <si>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</si>
  <si>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</si>
  <si>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</si>
  <si>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</si>
  <si>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</si>
  <si>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</si>
  <si>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</si>
  <si>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</si>
  <si>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</si>
  <si>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</si>
  <si>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</si>
  <si>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</si>
  <si>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</si>
  <si>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</si>
  <si>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</si>
  <si>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</si>
  <si>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</si>
  <si>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</si>
  <si>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</si>
  <si>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</si>
  <si>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</si>
  <si>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</si>
  <si>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</si>
  <si>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</si>
  <si>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</si>
  <si>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</si>
  <si>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</si>
  <si>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</si>
  <si>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</si>
  <si>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</si>
  <si>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</si>
  <si>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</si>
  <si>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</si>
  <si>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</si>
  <si>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</si>
  <si>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</si>
  <si>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</si>
  <si>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</si>
  <si>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</si>
  <si>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</si>
  <si>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</si>
  <si>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</si>
  <si>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</si>
  <si>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</si>
  <si>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</si>
  <si>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</si>
  <si>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</si>
  <si>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</si>
  <si>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</si>
  <si>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</si>
  <si>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</si>
  <si>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</si>
  <si>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</si>
  <si>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</si>
  <si>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</si>
  <si>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</si>
  <si>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</si>
  <si>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</si>
  <si>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</si>
  <si>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</si>
  <si>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</si>
  <si>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</si>
  <si>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</si>
  <si>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</si>
  <si>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</si>
  <si>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</si>
  <si>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</si>
  <si>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</si>
  <si>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</si>
  <si>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</si>
  <si>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</si>
  <si>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</si>
  <si>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</si>
  <si>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</si>
  <si>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</si>
  <si>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</si>
  <si>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</si>
  <si>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</si>
  <si>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</si>
  <si>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</si>
  <si>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</si>
  <si>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</si>
  <si>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</si>
  <si>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</si>
  <si>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</si>
  <si>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</si>
  <si>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</si>
  <si>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</si>
  <si>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</si>
  <si>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</si>
  <si>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</si>
  <si>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</si>
  <si>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</si>
  <si>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</si>
  <si>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</si>
  <si>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</si>
  <si>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</si>
  <si>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</si>
  <si>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</si>
  <si>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</si>
  <si>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</si>
  <si>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</si>
  <si>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</si>
  <si>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</si>
  <si>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</si>
  <si>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</si>
  <si>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</si>
  <si>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</si>
  <si>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</si>
  <si>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</si>
  <si>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</si>
  <si>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</si>
  <si>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</si>
  <si>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</si>
  <si>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</si>
  <si>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</si>
  <si>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</si>
  <si>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</si>
  <si>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</si>
  <si>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</si>
  <si>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</si>
  <si>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</si>
  <si>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</si>
  <si>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</si>
  <si>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</si>
  <si>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</si>
  <si>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</si>
  <si>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</si>
  <si>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</si>
  <si>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</si>
  <si>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</si>
  <si>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</si>
  <si>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</si>
  <si>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</si>
  <si>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</si>
  <si>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</si>
  <si>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</si>
  <si>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</si>
  <si>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</si>
  <si>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</si>
  <si>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</si>
  <si>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</si>
  <si>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</si>
  <si>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</si>
  <si>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</si>
  <si>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</si>
  <si>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</si>
  <si>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</si>
  <si>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</si>
  <si>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</si>
  <si>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</si>
  <si>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</si>
  <si>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</si>
  <si>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</si>
  <si>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</si>
  <si>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</si>
  <si>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</si>
  <si>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</si>
  <si>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</si>
  <si>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</si>
  <si>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</si>
  <si>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</si>
  <si>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</si>
  <si>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</si>
  <si>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</si>
  <si>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</si>
  <si>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</si>
  <si>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</si>
  <si>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</si>
  <si>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</si>
  <si>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</si>
  <si>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</si>
  <si>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</si>
  <si>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</si>
  <si>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</si>
  <si>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</si>
  <si>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</si>
  <si>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</si>
  <si>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</si>
  <si>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</si>
  <si>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</si>
  <si>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</si>
  <si>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</si>
  <si>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</si>
  <si>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</si>
  <si>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</si>
  <si>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</si>
  <si>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</si>
  <si>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</si>
  <si>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</si>
  <si>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</si>
  <si>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</si>
  <si>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</si>
  <si>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</si>
  <si>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</si>
  <si>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</si>
  <si>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</si>
  <si>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</si>
  <si>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</si>
  <si>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</si>
  <si>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</si>
  <si>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</si>
  <si>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</si>
  <si>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</si>
  <si>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</si>
  <si>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</si>
  <si>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</si>
  <si>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</si>
  <si>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</si>
  <si>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</si>
  <si>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</si>
  <si>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</si>
  <si>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</si>
  <si>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</si>
  <si>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</si>
  <si>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</si>
  <si>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</si>
  <si>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</si>
  <si>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</si>
  <si>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</si>
  <si>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</si>
  <si>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</si>
  <si>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</si>
  <si>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</si>
  <si>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</si>
  <si>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</si>
  <si>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</si>
  <si>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</si>
  <si>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</si>
  <si>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</si>
  <si>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</si>
  <si>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</si>
  <si>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</si>
  <si>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</si>
  <si>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</si>
  <si>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</si>
  <si>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</si>
  <si>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</si>
  <si>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</si>
  <si>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</si>
  <si>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</si>
  <si>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</si>
  <si>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</si>
  <si>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</si>
  <si>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</si>
  <si>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</si>
  <si>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</si>
  <si>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</si>
  <si>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</si>
  <si>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</si>
  <si>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</si>
  <si>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</si>
  <si>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</si>
  <si>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</si>
  <si>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</si>
  <si>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</si>
  <si>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</si>
  <si>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</si>
  <si>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</si>
  <si>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</si>
  <si>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</si>
  <si>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</si>
  <si>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</si>
  <si>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</si>
  <si>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</si>
  <si>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</si>
  <si>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</si>
  <si>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</si>
  <si>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</si>
  <si>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</si>
  <si>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</si>
  <si>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</si>
  <si>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</si>
  <si>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</si>
  <si>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</si>
  <si>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</si>
  <si>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</si>
  <si>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</si>
  <si>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</si>
  <si>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</si>
  <si>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</si>
  <si>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</si>
  <si>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</si>
  <si>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</si>
  <si>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</si>
  <si>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</si>
  <si>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</si>
  <si>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</si>
  <si>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</si>
  <si>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</si>
  <si>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</si>
  <si>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</si>
  <si>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</si>
  <si>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</si>
  <si>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</si>
  <si>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</si>
  <si>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</si>
  <si>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</si>
  <si>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</si>
  <si>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</si>
  <si>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</si>
  <si>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</si>
  <si>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</si>
  <si>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</si>
  <si>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</si>
  <si>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</si>
  <si>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</si>
  <si>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</si>
  <si>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</si>
  <si>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</si>
  <si>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</si>
  <si>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</si>
  <si>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</si>
  <si>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</si>
  <si>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</si>
  <si>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</si>
  <si>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</si>
  <si>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</si>
  <si>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</si>
  <si>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</si>
  <si>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</si>
  <si>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</si>
  <si>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</si>
  <si>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</si>
  <si>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</si>
  <si>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</si>
  <si>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</si>
  <si>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</si>
  <si>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</si>
  <si>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</si>
  <si>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</si>
  <si>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</si>
  <si>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</si>
  <si>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</si>
  <si>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</si>
  <si>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</si>
  <si>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</si>
  <si>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</si>
  <si>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</si>
  <si>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</si>
  <si>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</si>
  <si>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</si>
  <si>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</si>
  <si>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</si>
  <si>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</si>
  <si>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</si>
  <si>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</si>
  <si>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</si>
  <si>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</si>
  <si>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</si>
  <si>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</si>
  <si>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</si>
  <si>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</si>
  <si>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</si>
  <si>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</si>
  <si>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</si>
  <si>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</si>
  <si>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</si>
  <si>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</si>
  <si>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</si>
  <si>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</si>
  <si>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</si>
  <si>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</si>
  <si>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</si>
  <si>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</si>
  <si>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</si>
  <si>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</si>
  <si>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</si>
  <si>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</si>
  <si>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</si>
  <si>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</si>
  <si>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</si>
  <si>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</si>
  <si>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</si>
  <si>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</si>
  <si>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</si>
  <si>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</si>
  <si>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</si>
  <si>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</si>
  <si>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</si>
  <si>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</si>
  <si>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</si>
  <si>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</si>
  <si>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</si>
  <si>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</si>
  <si>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</si>
  <si>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</si>
  <si>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</si>
  <si>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</si>
  <si>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</si>
  <si>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</si>
  <si>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</si>
  <si>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</si>
  <si>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</si>
  <si>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</si>
  <si>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</si>
  <si>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</si>
  <si>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</si>
  <si>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</si>
  <si>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</si>
  <si>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</si>
  <si>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</si>
  <si>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</si>
  <si>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</si>
  <si>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</si>
  <si>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</si>
  <si>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</si>
  <si>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</si>
  <si>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</si>
  <si>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</si>
  <si>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</si>
  <si>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</si>
  <si>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</si>
  <si>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</si>
  <si>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</si>
  <si>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</si>
  <si>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</si>
  <si>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</si>
  <si>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</si>
  <si>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</si>
  <si>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</si>
  <si>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</si>
  <si>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</si>
  <si>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</si>
  <si>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</si>
  <si>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</si>
  <si>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</si>
  <si>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</si>
  <si>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</si>
  <si>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</si>
  <si>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</si>
  <si>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</si>
  <si>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</si>
  <si>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24086</t>
  </si>
  <si>
    <t>OUD-HEVERLEE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</si>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</sst>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24086</v>
      </c>
      <c r="B6" s="397"/>
      <c r="C6" s="398"/>
    </row>
    <row r="7" spans="1:7" s="395" customFormat="1" ht="15.75" customHeight="1">
      <c r="A7" s="399" t="str">
        <f>txtMunicipality</f>
        <v>OUD-HEVERLEE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8343.8339999999989</v>
      </c>
      <c r="D10" s="688">
        <f ca="1">tertiair!C16</f>
        <v>0</v>
      </c>
      <c r="E10" s="688">
        <f ca="1">tertiair!D16</f>
        <v>5570.9170659999991</v>
      </c>
      <c r="F10" s="688">
        <f>tertiair!E16</f>
        <v>88.662581111977744</v>
      </c>
      <c r="G10" s="688">
        <f ca="1">tertiair!F16</f>
        <v>1488.6311501318837</v>
      </c>
      <c r="H10" s="688">
        <f>tertiair!G16</f>
        <v>0</v>
      </c>
      <c r="I10" s="688">
        <f>tertiair!H16</f>
        <v>0</v>
      </c>
      <c r="J10" s="688">
        <f>tertiair!I16</f>
        <v>0</v>
      </c>
      <c r="K10" s="688">
        <f>tertiair!J16</f>
        <v>0</v>
      </c>
      <c r="L10" s="688">
        <f>tertiair!K16</f>
        <v>0</v>
      </c>
      <c r="M10" s="688">
        <f ca="1">tertiair!L16</f>
        <v>0</v>
      </c>
      <c r="N10" s="688">
        <f>tertiair!M16</f>
        <v>0</v>
      </c>
      <c r="O10" s="688">
        <f ca="1">tertiair!N16</f>
        <v>624.12605838028196</v>
      </c>
      <c r="P10" s="688">
        <f>tertiair!O16</f>
        <v>0</v>
      </c>
      <c r="Q10" s="689">
        <f>tertiair!P16</f>
        <v>0</v>
      </c>
      <c r="R10" s="691">
        <f ca="1">SUM(C10:Q10)</f>
        <v>16116.170855624139</v>
      </c>
      <c r="S10" s="68"/>
    </row>
    <row r="11" spans="1:19" s="457" customFormat="1">
      <c r="A11" s="803" t="s">
        <v>225</v>
      </c>
      <c r="B11" s="808"/>
      <c r="C11" s="688">
        <f>huishoudens!B8</f>
        <v>22407.779096088252</v>
      </c>
      <c r="D11" s="688">
        <f>huishoudens!C8</f>
        <v>0</v>
      </c>
      <c r="E11" s="688">
        <f>huishoudens!D8</f>
        <v>25960.860683999999</v>
      </c>
      <c r="F11" s="688">
        <f>huishoudens!E8</f>
        <v>3273.7779023479829</v>
      </c>
      <c r="G11" s="688">
        <f>huishoudens!F8</f>
        <v>31368.650124662287</v>
      </c>
      <c r="H11" s="688">
        <f>huishoudens!G8</f>
        <v>0</v>
      </c>
      <c r="I11" s="688">
        <f>huishoudens!H8</f>
        <v>0</v>
      </c>
      <c r="J11" s="688">
        <f>huishoudens!I8</f>
        <v>0</v>
      </c>
      <c r="K11" s="688">
        <f>huishoudens!J8</f>
        <v>0</v>
      </c>
      <c r="L11" s="688">
        <f>huishoudens!K8</f>
        <v>0</v>
      </c>
      <c r="M11" s="688">
        <f>huishoudens!L8</f>
        <v>0</v>
      </c>
      <c r="N11" s="688">
        <f>huishoudens!M8</f>
        <v>0</v>
      </c>
      <c r="O11" s="688">
        <f>huishoudens!N8</f>
        <v>9175.3309237710164</v>
      </c>
      <c r="P11" s="688">
        <f>huishoudens!O8</f>
        <v>62.533333333333331</v>
      </c>
      <c r="Q11" s="689">
        <f>huishoudens!P8</f>
        <v>286</v>
      </c>
      <c r="R11" s="691">
        <f>SUM(C11:Q11)</f>
        <v>92534.932064202891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387.57599999999996</v>
      </c>
      <c r="D13" s="688">
        <f>industrie!C18</f>
        <v>0</v>
      </c>
      <c r="E13" s="688">
        <f>industrie!D18</f>
        <v>170.60518199999999</v>
      </c>
      <c r="F13" s="688">
        <f>industrie!E18</f>
        <v>2.6819096307910981</v>
      </c>
      <c r="G13" s="688">
        <f>industrie!F18</f>
        <v>230.84662350383556</v>
      </c>
      <c r="H13" s="688">
        <f>industrie!G18</f>
        <v>0</v>
      </c>
      <c r="I13" s="688">
        <f>industrie!H18</f>
        <v>0</v>
      </c>
      <c r="J13" s="688">
        <f>industrie!I18</f>
        <v>0</v>
      </c>
      <c r="K13" s="688">
        <f>industrie!J18</f>
        <v>0.36640059531747193</v>
      </c>
      <c r="L13" s="688">
        <f>industrie!K18</f>
        <v>0</v>
      </c>
      <c r="M13" s="688">
        <f>industrie!L18</f>
        <v>0</v>
      </c>
      <c r="N13" s="688">
        <f>industrie!M18</f>
        <v>0</v>
      </c>
      <c r="O13" s="688">
        <f>industrie!N18</f>
        <v>22.556617920178656</v>
      </c>
      <c r="P13" s="688">
        <f>industrie!O18</f>
        <v>0</v>
      </c>
      <c r="Q13" s="689">
        <f>industrie!P18</f>
        <v>0</v>
      </c>
      <c r="R13" s="691">
        <f>SUM(C13:Q13)</f>
        <v>814.63273365012265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31139.189096088252</v>
      </c>
      <c r="D16" s="721">
        <f t="shared" ref="D16:R16" ca="1" si="0">SUM(D9:D15)</f>
        <v>0</v>
      </c>
      <c r="E16" s="721">
        <f t="shared" ca="1" si="0"/>
        <v>31702.382931999997</v>
      </c>
      <c r="F16" s="721">
        <f t="shared" si="0"/>
        <v>3365.1223930907522</v>
      </c>
      <c r="G16" s="721">
        <f t="shared" ca="1" si="0"/>
        <v>33088.127898298007</v>
      </c>
      <c r="H16" s="721">
        <f t="shared" si="0"/>
        <v>0</v>
      </c>
      <c r="I16" s="721">
        <f t="shared" si="0"/>
        <v>0</v>
      </c>
      <c r="J16" s="721">
        <f t="shared" si="0"/>
        <v>0</v>
      </c>
      <c r="K16" s="721">
        <f t="shared" si="0"/>
        <v>0.36640059531747193</v>
      </c>
      <c r="L16" s="721">
        <f t="shared" si="0"/>
        <v>0</v>
      </c>
      <c r="M16" s="721">
        <f t="shared" ca="1" si="0"/>
        <v>0</v>
      </c>
      <c r="N16" s="721">
        <f t="shared" si="0"/>
        <v>0</v>
      </c>
      <c r="O16" s="721">
        <f t="shared" ca="1" si="0"/>
        <v>9822.0136000714756</v>
      </c>
      <c r="P16" s="721">
        <f t="shared" si="0"/>
        <v>62.533333333333331</v>
      </c>
      <c r="Q16" s="721">
        <f t="shared" si="0"/>
        <v>286</v>
      </c>
      <c r="R16" s="721">
        <f t="shared" ca="1" si="0"/>
        <v>109465.73565347715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1094.5405590519522</v>
      </c>
      <c r="I19" s="688">
        <f>transport!H54</f>
        <v>0</v>
      </c>
      <c r="J19" s="688">
        <f>transport!I54</f>
        <v>0</v>
      </c>
      <c r="K19" s="688">
        <f>transport!J54</f>
        <v>0</v>
      </c>
      <c r="L19" s="688">
        <f>transport!K54</f>
        <v>0</v>
      </c>
      <c r="M19" s="688">
        <f>transport!L54</f>
        <v>0</v>
      </c>
      <c r="N19" s="688">
        <f>transport!M54</f>
        <v>48.063081505562984</v>
      </c>
      <c r="O19" s="688">
        <f>transport!N54</f>
        <v>0</v>
      </c>
      <c r="P19" s="688">
        <f>transport!O54</f>
        <v>0</v>
      </c>
      <c r="Q19" s="689">
        <f>transport!P54</f>
        <v>0</v>
      </c>
      <c r="R19" s="691">
        <f>SUM(C19:Q19)</f>
        <v>1142.6036405575151</v>
      </c>
      <c r="S19" s="68"/>
    </row>
    <row r="20" spans="1:19" s="457" customFormat="1">
      <c r="A20" s="803" t="s">
        <v>307</v>
      </c>
      <c r="B20" s="808"/>
      <c r="C20" s="688">
        <f>transport!B14</f>
        <v>2.0973279177258717</v>
      </c>
      <c r="D20" s="688">
        <f>transport!C14</f>
        <v>0</v>
      </c>
      <c r="E20" s="688">
        <f>transport!D14</f>
        <v>6.4070019943239958</v>
      </c>
      <c r="F20" s="688">
        <f>transport!E14</f>
        <v>396.32062652979147</v>
      </c>
      <c r="G20" s="688">
        <f>transport!F14</f>
        <v>0</v>
      </c>
      <c r="H20" s="688">
        <f>transport!G14</f>
        <v>73353.396397002871</v>
      </c>
      <c r="I20" s="688">
        <f>transport!H14</f>
        <v>14389.084994466328</v>
      </c>
      <c r="J20" s="688">
        <f>transport!I14</f>
        <v>0</v>
      </c>
      <c r="K20" s="688">
        <f>transport!J14</f>
        <v>0</v>
      </c>
      <c r="L20" s="688">
        <f>transport!K14</f>
        <v>0</v>
      </c>
      <c r="M20" s="688">
        <f>transport!L14</f>
        <v>0</v>
      </c>
      <c r="N20" s="688">
        <f>transport!M14</f>
        <v>3924.646711577303</v>
      </c>
      <c r="O20" s="688">
        <f>transport!N14</f>
        <v>0</v>
      </c>
      <c r="P20" s="688">
        <f>transport!O14</f>
        <v>0</v>
      </c>
      <c r="Q20" s="689">
        <f>transport!P14</f>
        <v>0</v>
      </c>
      <c r="R20" s="691">
        <f>SUM(C20:Q20)</f>
        <v>92071.95305948834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2.0973279177258717</v>
      </c>
      <c r="D22" s="806">
        <f t="shared" ref="D22:R22" si="1">SUM(D18:D21)</f>
        <v>0</v>
      </c>
      <c r="E22" s="806">
        <f t="shared" si="1"/>
        <v>6.4070019943239958</v>
      </c>
      <c r="F22" s="806">
        <f t="shared" si="1"/>
        <v>396.32062652979147</v>
      </c>
      <c r="G22" s="806">
        <f t="shared" si="1"/>
        <v>0</v>
      </c>
      <c r="H22" s="806">
        <f t="shared" si="1"/>
        <v>74447.936956054822</v>
      </c>
      <c r="I22" s="806">
        <f t="shared" si="1"/>
        <v>14389.084994466328</v>
      </c>
      <c r="J22" s="806">
        <f t="shared" si="1"/>
        <v>0</v>
      </c>
      <c r="K22" s="806">
        <f t="shared" si="1"/>
        <v>0</v>
      </c>
      <c r="L22" s="806">
        <f t="shared" si="1"/>
        <v>0</v>
      </c>
      <c r="M22" s="806">
        <f t="shared" si="1"/>
        <v>0</v>
      </c>
      <c r="N22" s="806">
        <f t="shared" si="1"/>
        <v>3972.7097930828659</v>
      </c>
      <c r="O22" s="806">
        <f t="shared" si="1"/>
        <v>0</v>
      </c>
      <c r="P22" s="806">
        <f t="shared" si="1"/>
        <v>0</v>
      </c>
      <c r="Q22" s="806">
        <f t="shared" si="1"/>
        <v>0</v>
      </c>
      <c r="R22" s="806">
        <f t="shared" si="1"/>
        <v>93214.556700045854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53.55</v>
      </c>
      <c r="D24" s="688">
        <f>+landbouw!C8</f>
        <v>0</v>
      </c>
      <c r="E24" s="688">
        <f>+landbouw!D8</f>
        <v>74.987770000000012</v>
      </c>
      <c r="F24" s="688">
        <f>+landbouw!E8</f>
        <v>0.50447687967696453</v>
      </c>
      <c r="G24" s="688">
        <f>+landbouw!F8</f>
        <v>174.75142168423272</v>
      </c>
      <c r="H24" s="688">
        <f>+landbouw!G8</f>
        <v>0</v>
      </c>
      <c r="I24" s="688">
        <f>+landbouw!H8</f>
        <v>0</v>
      </c>
      <c r="J24" s="688">
        <f>+landbouw!I8</f>
        <v>0</v>
      </c>
      <c r="K24" s="688">
        <f>+landbouw!J8</f>
        <v>6.6243954671499674</v>
      </c>
      <c r="L24" s="688">
        <f>+landbouw!K8</f>
        <v>0</v>
      </c>
      <c r="M24" s="688">
        <f>+landbouw!L8</f>
        <v>0</v>
      </c>
      <c r="N24" s="688">
        <f>+landbouw!M8</f>
        <v>0</v>
      </c>
      <c r="O24" s="688">
        <f>+landbouw!N8</f>
        <v>0</v>
      </c>
      <c r="P24" s="688">
        <f>+landbouw!O8</f>
        <v>0</v>
      </c>
      <c r="Q24" s="689">
        <f>+landbouw!P8</f>
        <v>0</v>
      </c>
      <c r="R24" s="691">
        <f>SUM(C24:Q24)</f>
        <v>310.41806403105966</v>
      </c>
      <c r="S24" s="68"/>
    </row>
    <row r="25" spans="1:19" s="457" customFormat="1" ht="15" thickBot="1">
      <c r="A25" s="825" t="s">
        <v>912</v>
      </c>
      <c r="B25" s="1001"/>
      <c r="C25" s="1002">
        <f>IF(Onbekend_ele_kWh="---",0,Onbekend_ele_kWh)/1000+IF(REST_rest_ele_kWh="---",0,REST_rest_ele_kWh)/1000</f>
        <v>621.64099999999996</v>
      </c>
      <c r="D25" s="1002"/>
      <c r="E25" s="1002">
        <f>IF(onbekend_gas_kWh="---",0,onbekend_gas_kWh)/1000+IF(REST_rest_gas_kWh="---",0,REST_rest_gas_kWh)/1000</f>
        <v>659.89400000000001</v>
      </c>
      <c r="F25" s="1002"/>
      <c r="G25" s="1002"/>
      <c r="H25" s="1002"/>
      <c r="I25" s="1002"/>
      <c r="J25" s="1002"/>
      <c r="K25" s="1002"/>
      <c r="L25" s="1002"/>
      <c r="M25" s="1002"/>
      <c r="N25" s="1002"/>
      <c r="O25" s="1002"/>
      <c r="P25" s="1002"/>
      <c r="Q25" s="1003"/>
      <c r="R25" s="691">
        <f>SUM(C25:Q25)</f>
        <v>1281.5349999999999</v>
      </c>
      <c r="S25" s="68"/>
    </row>
    <row r="26" spans="1:19" s="457" customFormat="1" ht="15.75" thickBot="1">
      <c r="A26" s="694" t="s">
        <v>913</v>
      </c>
      <c r="B26" s="811"/>
      <c r="C26" s="806">
        <f>SUM(C24:C25)</f>
        <v>675.19099999999992</v>
      </c>
      <c r="D26" s="806">
        <f t="shared" ref="D26:R26" si="2">SUM(D24:D25)</f>
        <v>0</v>
      </c>
      <c r="E26" s="806">
        <f t="shared" si="2"/>
        <v>734.88176999999996</v>
      </c>
      <c r="F26" s="806">
        <f t="shared" si="2"/>
        <v>0.50447687967696453</v>
      </c>
      <c r="G26" s="806">
        <f t="shared" si="2"/>
        <v>174.75142168423272</v>
      </c>
      <c r="H26" s="806">
        <f t="shared" si="2"/>
        <v>0</v>
      </c>
      <c r="I26" s="806">
        <f t="shared" si="2"/>
        <v>0</v>
      </c>
      <c r="J26" s="806">
        <f t="shared" si="2"/>
        <v>0</v>
      </c>
      <c r="K26" s="806">
        <f t="shared" si="2"/>
        <v>6.6243954671499674</v>
      </c>
      <c r="L26" s="806">
        <f t="shared" si="2"/>
        <v>0</v>
      </c>
      <c r="M26" s="806">
        <f t="shared" si="2"/>
        <v>0</v>
      </c>
      <c r="N26" s="806">
        <f t="shared" si="2"/>
        <v>0</v>
      </c>
      <c r="O26" s="806">
        <f t="shared" si="2"/>
        <v>0</v>
      </c>
      <c r="P26" s="806">
        <f t="shared" si="2"/>
        <v>0</v>
      </c>
      <c r="Q26" s="806">
        <f t="shared" si="2"/>
        <v>0</v>
      </c>
      <c r="R26" s="806">
        <f t="shared" si="2"/>
        <v>1591.9530640310595</v>
      </c>
      <c r="S26" s="68"/>
    </row>
    <row r="27" spans="1:19" s="457" customFormat="1" ht="17.25" thickTop="1" thickBot="1">
      <c r="A27" s="695" t="s">
        <v>116</v>
      </c>
      <c r="B27" s="798"/>
      <c r="C27" s="696">
        <f ca="1">C22+C16+C26</f>
        <v>31816.477424005978</v>
      </c>
      <c r="D27" s="696">
        <f t="shared" ref="D27:R27" ca="1" si="3">D22+D16+D26</f>
        <v>0</v>
      </c>
      <c r="E27" s="696">
        <f t="shared" ca="1" si="3"/>
        <v>32443.671703994321</v>
      </c>
      <c r="F27" s="696">
        <f t="shared" si="3"/>
        <v>3761.9474965002205</v>
      </c>
      <c r="G27" s="696">
        <f t="shared" ca="1" si="3"/>
        <v>33262.879319982239</v>
      </c>
      <c r="H27" s="696">
        <f t="shared" si="3"/>
        <v>74447.936956054822</v>
      </c>
      <c r="I27" s="696">
        <f t="shared" si="3"/>
        <v>14389.084994466328</v>
      </c>
      <c r="J27" s="696">
        <f t="shared" si="3"/>
        <v>0</v>
      </c>
      <c r="K27" s="696">
        <f t="shared" si="3"/>
        <v>6.9907960624674397</v>
      </c>
      <c r="L27" s="696">
        <f t="shared" si="3"/>
        <v>0</v>
      </c>
      <c r="M27" s="696">
        <f t="shared" ca="1" si="3"/>
        <v>0</v>
      </c>
      <c r="N27" s="696">
        <f t="shared" si="3"/>
        <v>3972.7097930828659</v>
      </c>
      <c r="O27" s="696">
        <f t="shared" ca="1" si="3"/>
        <v>9822.0136000714756</v>
      </c>
      <c r="P27" s="696">
        <f t="shared" si="3"/>
        <v>62.533333333333331</v>
      </c>
      <c r="Q27" s="696">
        <f t="shared" si="3"/>
        <v>286</v>
      </c>
      <c r="R27" s="696">
        <f t="shared" ca="1" si="3"/>
        <v>204272.24541755408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1743.0060021178133</v>
      </c>
      <c r="D40" s="688">
        <f ca="1">tertiair!C20</f>
        <v>0</v>
      </c>
      <c r="E40" s="688">
        <f ca="1">tertiair!D20</f>
        <v>1125.3252473319999</v>
      </c>
      <c r="F40" s="688">
        <f>tertiair!E20</f>
        <v>20.126405912418949</v>
      </c>
      <c r="G40" s="688">
        <f ca="1">tertiair!F20</f>
        <v>397.46451708521295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3285.9221724474455</v>
      </c>
    </row>
    <row r="41" spans="1:18">
      <c r="A41" s="816" t="s">
        <v>225</v>
      </c>
      <c r="B41" s="823"/>
      <c r="C41" s="688">
        <f ca="1">huishoudens!B12</f>
        <v>4680.9288701826872</v>
      </c>
      <c r="D41" s="688">
        <f ca="1">huishoudens!C12</f>
        <v>0</v>
      </c>
      <c r="E41" s="688">
        <f>huishoudens!D12</f>
        <v>5244.0938581680002</v>
      </c>
      <c r="F41" s="688">
        <f>huishoudens!E12</f>
        <v>743.14758383299215</v>
      </c>
      <c r="G41" s="688">
        <f>huishoudens!F12</f>
        <v>8375.4295832848311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19043.599895468509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80.963654631289828</v>
      </c>
      <c r="D43" s="688">
        <f ca="1">industrie!C22</f>
        <v>0</v>
      </c>
      <c r="E43" s="688">
        <f>industrie!D22</f>
        <v>34.462246764</v>
      </c>
      <c r="F43" s="688">
        <f>industrie!E22</f>
        <v>0.60879348618957929</v>
      </c>
      <c r="G43" s="688">
        <f>industrie!F22</f>
        <v>61.636048475524099</v>
      </c>
      <c r="H43" s="688">
        <f>industrie!G22</f>
        <v>0</v>
      </c>
      <c r="I43" s="688">
        <f>industrie!H22</f>
        <v>0</v>
      </c>
      <c r="J43" s="688">
        <f>industrie!I22</f>
        <v>0</v>
      </c>
      <c r="K43" s="688">
        <f>industrie!J22</f>
        <v>0.12970581074238505</v>
      </c>
      <c r="L43" s="688">
        <f>industrie!K22</f>
        <v>0</v>
      </c>
      <c r="M43" s="688">
        <f>industrie!L22</f>
        <v>0</v>
      </c>
      <c r="N43" s="688">
        <f>industrie!M22</f>
        <v>0</v>
      </c>
      <c r="O43" s="688">
        <f>industrie!N22</f>
        <v>0</v>
      </c>
      <c r="P43" s="688">
        <f>industrie!O22</f>
        <v>0</v>
      </c>
      <c r="Q43" s="763">
        <f>industrie!P22</f>
        <v>0</v>
      </c>
      <c r="R43" s="843">
        <f t="shared" ca="1" si="4"/>
        <v>177.80044916774591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6504.89852693179</v>
      </c>
      <c r="D46" s="721">
        <f t="shared" ref="D46:Q46" ca="1" si="5">SUM(D39:D45)</f>
        <v>0</v>
      </c>
      <c r="E46" s="721">
        <f t="shared" ca="1" si="5"/>
        <v>6403.8813522640003</v>
      </c>
      <c r="F46" s="721">
        <f t="shared" si="5"/>
        <v>763.88278323160068</v>
      </c>
      <c r="G46" s="721">
        <f t="shared" ca="1" si="5"/>
        <v>8834.530148845568</v>
      </c>
      <c r="H46" s="721">
        <f t="shared" si="5"/>
        <v>0</v>
      </c>
      <c r="I46" s="721">
        <f t="shared" si="5"/>
        <v>0</v>
      </c>
      <c r="J46" s="721">
        <f t="shared" si="5"/>
        <v>0</v>
      </c>
      <c r="K46" s="721">
        <f t="shared" si="5"/>
        <v>0.12970581074238505</v>
      </c>
      <c r="L46" s="721">
        <f t="shared" si="5"/>
        <v>0</v>
      </c>
      <c r="M46" s="721">
        <f t="shared" ca="1" si="5"/>
        <v>0</v>
      </c>
      <c r="N46" s="721">
        <f t="shared" si="5"/>
        <v>0</v>
      </c>
      <c r="O46" s="721">
        <f t="shared" ca="1" si="5"/>
        <v>0</v>
      </c>
      <c r="P46" s="721">
        <f t="shared" si="5"/>
        <v>0</v>
      </c>
      <c r="Q46" s="721">
        <f t="shared" si="5"/>
        <v>0</v>
      </c>
      <c r="R46" s="721">
        <f ca="1">SUM(R39:R45)</f>
        <v>22507.322517083699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292.24232926687125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292.24232926687125</v>
      </c>
    </row>
    <row r="50" spans="1:18">
      <c r="A50" s="819" t="s">
        <v>307</v>
      </c>
      <c r="B50" s="829"/>
      <c r="C50" s="1008">
        <f ca="1">transport!B18</f>
        <v>0.43812654338586426</v>
      </c>
      <c r="D50" s="1008">
        <f>transport!C18</f>
        <v>0</v>
      </c>
      <c r="E50" s="1008">
        <f>transport!D18</f>
        <v>1.2942144028534472</v>
      </c>
      <c r="F50" s="1008">
        <f>transport!E18</f>
        <v>89.96478222226267</v>
      </c>
      <c r="G50" s="1008">
        <f>transport!F18</f>
        <v>0</v>
      </c>
      <c r="H50" s="1008">
        <f>transport!G18</f>
        <v>19585.356837999767</v>
      </c>
      <c r="I50" s="1008">
        <f>transport!H18</f>
        <v>3582.8821636221155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23259.936124790383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0.43812654338586426</v>
      </c>
      <c r="D52" s="721">
        <f t="shared" ref="D52:Q52" ca="1" si="6">SUM(D48:D51)</f>
        <v>0</v>
      </c>
      <c r="E52" s="721">
        <f t="shared" si="6"/>
        <v>1.2942144028534472</v>
      </c>
      <c r="F52" s="721">
        <f t="shared" si="6"/>
        <v>89.96478222226267</v>
      </c>
      <c r="G52" s="721">
        <f t="shared" si="6"/>
        <v>0</v>
      </c>
      <c r="H52" s="721">
        <f t="shared" si="6"/>
        <v>19877.599167266639</v>
      </c>
      <c r="I52" s="721">
        <f t="shared" si="6"/>
        <v>3582.8821636221155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23552.178454057255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11.186460734167158</v>
      </c>
      <c r="D54" s="1008">
        <f ca="1">+landbouw!C12</f>
        <v>0</v>
      </c>
      <c r="E54" s="1008">
        <f>+landbouw!D12</f>
        <v>15.147529540000003</v>
      </c>
      <c r="F54" s="1008">
        <f>+landbouw!E12</f>
        <v>0.11451625168667096</v>
      </c>
      <c r="G54" s="1008">
        <f>+landbouw!F12</f>
        <v>46.658629589690143</v>
      </c>
      <c r="H54" s="1008">
        <f>+landbouw!G12</f>
        <v>0</v>
      </c>
      <c r="I54" s="1008">
        <f>+landbouw!H12</f>
        <v>0</v>
      </c>
      <c r="J54" s="1008">
        <f>+landbouw!I12</f>
        <v>0</v>
      </c>
      <c r="K54" s="1008">
        <f>+landbouw!J12</f>
        <v>2.3450359953710884</v>
      </c>
      <c r="L54" s="1008">
        <f>+landbouw!K12</f>
        <v>0</v>
      </c>
      <c r="M54" s="1008">
        <f>+landbouw!L12</f>
        <v>0</v>
      </c>
      <c r="N54" s="1008">
        <f>+landbouw!M12</f>
        <v>0</v>
      </c>
      <c r="O54" s="1008">
        <f>+landbouw!N12</f>
        <v>0</v>
      </c>
      <c r="P54" s="1008">
        <f>+landbouw!O12</f>
        <v>0</v>
      </c>
      <c r="Q54" s="1009">
        <f>+landbouw!P12</f>
        <v>0</v>
      </c>
      <c r="R54" s="720">
        <f ca="1">SUM(C54:Q54)</f>
        <v>75.452172110915058</v>
      </c>
    </row>
    <row r="55" spans="1:18" ht="15" thickBot="1">
      <c r="A55" s="819" t="s">
        <v>912</v>
      </c>
      <c r="B55" s="829"/>
      <c r="C55" s="1008">
        <f ca="1">C25*'EF ele_warmte'!B12</f>
        <v>129.85924626047444</v>
      </c>
      <c r="D55" s="1008"/>
      <c r="E55" s="1008">
        <f>E25*EF_CO2_aardgas</f>
        <v>133.29858800000002</v>
      </c>
      <c r="F55" s="1008"/>
      <c r="G55" s="1008"/>
      <c r="H55" s="1008"/>
      <c r="I55" s="1008"/>
      <c r="J55" s="1008"/>
      <c r="K55" s="1008"/>
      <c r="L55" s="1008"/>
      <c r="M55" s="1008"/>
      <c r="N55" s="1008"/>
      <c r="O55" s="1008"/>
      <c r="P55" s="1008"/>
      <c r="Q55" s="1009"/>
      <c r="R55" s="720">
        <f ca="1">SUM(C55:Q55)</f>
        <v>263.15783426047449</v>
      </c>
    </row>
    <row r="56" spans="1:18" ht="15.75" thickBot="1">
      <c r="A56" s="817" t="s">
        <v>913</v>
      </c>
      <c r="B56" s="830"/>
      <c r="C56" s="721">
        <f ca="1">SUM(C54:C55)</f>
        <v>141.04570699464159</v>
      </c>
      <c r="D56" s="721">
        <f t="shared" ref="D56:Q56" ca="1" si="7">SUM(D54:D55)</f>
        <v>0</v>
      </c>
      <c r="E56" s="721">
        <f t="shared" si="7"/>
        <v>148.44611754000002</v>
      </c>
      <c r="F56" s="721">
        <f t="shared" si="7"/>
        <v>0.11451625168667096</v>
      </c>
      <c r="G56" s="721">
        <f t="shared" si="7"/>
        <v>46.658629589690143</v>
      </c>
      <c r="H56" s="721">
        <f t="shared" si="7"/>
        <v>0</v>
      </c>
      <c r="I56" s="721">
        <f t="shared" si="7"/>
        <v>0</v>
      </c>
      <c r="J56" s="721">
        <f t="shared" si="7"/>
        <v>0</v>
      </c>
      <c r="K56" s="721">
        <f t="shared" si="7"/>
        <v>2.3450359953710884</v>
      </c>
      <c r="L56" s="721">
        <f t="shared" si="7"/>
        <v>0</v>
      </c>
      <c r="M56" s="721">
        <f t="shared" si="7"/>
        <v>0</v>
      </c>
      <c r="N56" s="721">
        <f t="shared" si="7"/>
        <v>0</v>
      </c>
      <c r="O56" s="721">
        <f t="shared" si="7"/>
        <v>0</v>
      </c>
      <c r="P56" s="721">
        <f t="shared" si="7"/>
        <v>0</v>
      </c>
      <c r="Q56" s="722">
        <f t="shared" si="7"/>
        <v>0</v>
      </c>
      <c r="R56" s="723">
        <f ca="1">SUM(R54:R55)</f>
        <v>338.61000637138955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6646.3823604698173</v>
      </c>
      <c r="D61" s="729">
        <f t="shared" ref="D61:Q61" ca="1" si="8">D46+D52+D56</f>
        <v>0</v>
      </c>
      <c r="E61" s="729">
        <f t="shared" ca="1" si="8"/>
        <v>6553.6216842068543</v>
      </c>
      <c r="F61" s="729">
        <f t="shared" si="8"/>
        <v>853.96208170555008</v>
      </c>
      <c r="G61" s="729">
        <f t="shared" ca="1" si="8"/>
        <v>8881.1887784352584</v>
      </c>
      <c r="H61" s="729">
        <f t="shared" si="8"/>
        <v>19877.599167266639</v>
      </c>
      <c r="I61" s="729">
        <f t="shared" si="8"/>
        <v>3582.8821636221155</v>
      </c>
      <c r="J61" s="729">
        <f t="shared" si="8"/>
        <v>0</v>
      </c>
      <c r="K61" s="729">
        <f t="shared" si="8"/>
        <v>2.4747418061134736</v>
      </c>
      <c r="L61" s="729">
        <f t="shared" si="8"/>
        <v>0</v>
      </c>
      <c r="M61" s="729">
        <f t="shared" ca="1" si="8"/>
        <v>0</v>
      </c>
      <c r="N61" s="729">
        <f t="shared" si="8"/>
        <v>0</v>
      </c>
      <c r="O61" s="729">
        <f t="shared" ca="1" si="8"/>
        <v>0</v>
      </c>
      <c r="P61" s="729">
        <f t="shared" si="8"/>
        <v>0</v>
      </c>
      <c r="Q61" s="729">
        <f t="shared" si="8"/>
        <v>0</v>
      </c>
      <c r="R61" s="729">
        <f ca="1">R46+R52+R56</f>
        <v>46398.11097751234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0.20889749270153424</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1742.3490960882516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1742.3490960882516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22407.779096088252</v>
      </c>
      <c r="C4" s="461">
        <f>huishoudens!C8</f>
        <v>0</v>
      </c>
      <c r="D4" s="461">
        <f>huishoudens!D8</f>
        <v>25960.860683999999</v>
      </c>
      <c r="E4" s="461">
        <f>huishoudens!E8</f>
        <v>3273.7779023479829</v>
      </c>
      <c r="F4" s="461">
        <f>huishoudens!F8</f>
        <v>31368.650124662287</v>
      </c>
      <c r="G4" s="461">
        <f>huishoudens!G8</f>
        <v>0</v>
      </c>
      <c r="H4" s="461">
        <f>huishoudens!H8</f>
        <v>0</v>
      </c>
      <c r="I4" s="461">
        <f>huishoudens!I8</f>
        <v>0</v>
      </c>
      <c r="J4" s="461">
        <f>huishoudens!J8</f>
        <v>0</v>
      </c>
      <c r="K4" s="461">
        <f>huishoudens!K8</f>
        <v>0</v>
      </c>
      <c r="L4" s="461">
        <f>huishoudens!L8</f>
        <v>0</v>
      </c>
      <c r="M4" s="461">
        <f>huishoudens!M8</f>
        <v>0</v>
      </c>
      <c r="N4" s="461">
        <f>huishoudens!N8</f>
        <v>9175.3309237710164</v>
      </c>
      <c r="O4" s="461">
        <f>huishoudens!O8</f>
        <v>62.533333333333331</v>
      </c>
      <c r="P4" s="462">
        <f>huishoudens!P8</f>
        <v>286</v>
      </c>
      <c r="Q4" s="463">
        <f>SUM(B4:P4)</f>
        <v>92534.932064202891</v>
      </c>
    </row>
    <row r="5" spans="1:17">
      <c r="A5" s="460" t="s">
        <v>156</v>
      </c>
      <c r="B5" s="461">
        <f ca="1">tertiair!B16</f>
        <v>7674.7129999999997</v>
      </c>
      <c r="C5" s="461">
        <f ca="1">tertiair!C16</f>
        <v>0</v>
      </c>
      <c r="D5" s="461">
        <f ca="1">tertiair!D16</f>
        <v>5570.9170659999991</v>
      </c>
      <c r="E5" s="461">
        <f>tertiair!E16</f>
        <v>88.662581111977744</v>
      </c>
      <c r="F5" s="461">
        <f ca="1">tertiair!F16</f>
        <v>1488.6311501318837</v>
      </c>
      <c r="G5" s="461">
        <f>tertiair!G16</f>
        <v>0</v>
      </c>
      <c r="H5" s="461">
        <f>tertiair!H16</f>
        <v>0</v>
      </c>
      <c r="I5" s="461">
        <f>tertiair!I16</f>
        <v>0</v>
      </c>
      <c r="J5" s="461">
        <f>tertiair!J16</f>
        <v>0</v>
      </c>
      <c r="K5" s="461">
        <f>tertiair!K16</f>
        <v>0</v>
      </c>
      <c r="L5" s="461">
        <f ca="1">tertiair!L16</f>
        <v>0</v>
      </c>
      <c r="M5" s="461">
        <f>tertiair!M16</f>
        <v>0</v>
      </c>
      <c r="N5" s="461">
        <f ca="1">tertiair!N16</f>
        <v>624.12605838028196</v>
      </c>
      <c r="O5" s="461">
        <f>tertiair!O16</f>
        <v>0</v>
      </c>
      <c r="P5" s="462">
        <f>tertiair!P16</f>
        <v>0</v>
      </c>
      <c r="Q5" s="460">
        <f t="shared" ref="Q5:Q14" ca="1" si="0">SUM(B5:P5)</f>
        <v>15447.04985562414</v>
      </c>
    </row>
    <row r="6" spans="1:17">
      <c r="A6" s="460" t="s">
        <v>194</v>
      </c>
      <c r="B6" s="461">
        <f>'openbare verlichting'!B8</f>
        <v>669.12099999999998</v>
      </c>
      <c r="C6" s="461"/>
      <c r="D6" s="461"/>
      <c r="E6" s="461"/>
      <c r="F6" s="461"/>
      <c r="G6" s="461"/>
      <c r="H6" s="461"/>
      <c r="I6" s="461"/>
      <c r="J6" s="461"/>
      <c r="K6" s="461"/>
      <c r="L6" s="461"/>
      <c r="M6" s="461"/>
      <c r="N6" s="461"/>
      <c r="O6" s="461"/>
      <c r="P6" s="462"/>
      <c r="Q6" s="460">
        <f t="shared" si="0"/>
        <v>669.12099999999998</v>
      </c>
    </row>
    <row r="7" spans="1:17">
      <c r="A7" s="460" t="s">
        <v>112</v>
      </c>
      <c r="B7" s="461">
        <f>landbouw!B8</f>
        <v>53.55</v>
      </c>
      <c r="C7" s="461">
        <f>landbouw!C8</f>
        <v>0</v>
      </c>
      <c r="D7" s="461">
        <f>landbouw!D8</f>
        <v>74.987770000000012</v>
      </c>
      <c r="E7" s="461">
        <f>landbouw!E8</f>
        <v>0.50447687967696453</v>
      </c>
      <c r="F7" s="461">
        <f>landbouw!F8</f>
        <v>174.75142168423272</v>
      </c>
      <c r="G7" s="461">
        <f>landbouw!G8</f>
        <v>0</v>
      </c>
      <c r="H7" s="461">
        <f>landbouw!H8</f>
        <v>0</v>
      </c>
      <c r="I7" s="461">
        <f>landbouw!I8</f>
        <v>0</v>
      </c>
      <c r="J7" s="461">
        <f>landbouw!J8</f>
        <v>6.6243954671499674</v>
      </c>
      <c r="K7" s="461">
        <f>landbouw!K8</f>
        <v>0</v>
      </c>
      <c r="L7" s="461">
        <f>landbouw!L8</f>
        <v>0</v>
      </c>
      <c r="M7" s="461">
        <f>landbouw!M8</f>
        <v>0</v>
      </c>
      <c r="N7" s="461">
        <f>landbouw!N8</f>
        <v>0</v>
      </c>
      <c r="O7" s="461">
        <f>landbouw!O8</f>
        <v>0</v>
      </c>
      <c r="P7" s="462">
        <f>landbouw!P8</f>
        <v>0</v>
      </c>
      <c r="Q7" s="460">
        <f t="shared" si="0"/>
        <v>310.41806403105966</v>
      </c>
    </row>
    <row r="8" spans="1:17">
      <c r="A8" s="460" t="s">
        <v>685</v>
      </c>
      <c r="B8" s="461">
        <f>industrie!B18</f>
        <v>387.57599999999996</v>
      </c>
      <c r="C8" s="461">
        <f>industrie!C18</f>
        <v>0</v>
      </c>
      <c r="D8" s="461">
        <f>industrie!D18</f>
        <v>170.60518199999999</v>
      </c>
      <c r="E8" s="461">
        <f>industrie!E18</f>
        <v>2.6819096307910981</v>
      </c>
      <c r="F8" s="461">
        <f>industrie!F18</f>
        <v>230.84662350383556</v>
      </c>
      <c r="G8" s="461">
        <f>industrie!G18</f>
        <v>0</v>
      </c>
      <c r="H8" s="461">
        <f>industrie!H18</f>
        <v>0</v>
      </c>
      <c r="I8" s="461">
        <f>industrie!I18</f>
        <v>0</v>
      </c>
      <c r="J8" s="461">
        <f>industrie!J18</f>
        <v>0.36640059531747193</v>
      </c>
      <c r="K8" s="461">
        <f>industrie!K18</f>
        <v>0</v>
      </c>
      <c r="L8" s="461">
        <f>industrie!L18</f>
        <v>0</v>
      </c>
      <c r="M8" s="461">
        <f>industrie!M18</f>
        <v>0</v>
      </c>
      <c r="N8" s="461">
        <f>industrie!N18</f>
        <v>22.556617920178656</v>
      </c>
      <c r="O8" s="461">
        <f>industrie!O18</f>
        <v>0</v>
      </c>
      <c r="P8" s="462">
        <f>industrie!P18</f>
        <v>0</v>
      </c>
      <c r="Q8" s="460">
        <f t="shared" si="0"/>
        <v>814.63273365012265</v>
      </c>
    </row>
    <row r="9" spans="1:17" s="466" customFormat="1">
      <c r="A9" s="464" t="s">
        <v>579</v>
      </c>
      <c r="B9" s="465">
        <f>transport!B14</f>
        <v>2.0973279177258717</v>
      </c>
      <c r="C9" s="465">
        <f>transport!C14</f>
        <v>0</v>
      </c>
      <c r="D9" s="465">
        <f>transport!D14</f>
        <v>6.4070019943239958</v>
      </c>
      <c r="E9" s="465">
        <f>transport!E14</f>
        <v>396.32062652979147</v>
      </c>
      <c r="F9" s="465">
        <f>transport!F14</f>
        <v>0</v>
      </c>
      <c r="G9" s="465">
        <f>transport!G14</f>
        <v>73353.396397002871</v>
      </c>
      <c r="H9" s="465">
        <f>transport!H14</f>
        <v>14389.084994466328</v>
      </c>
      <c r="I9" s="465">
        <f>transport!I14</f>
        <v>0</v>
      </c>
      <c r="J9" s="465">
        <f>transport!J14</f>
        <v>0</v>
      </c>
      <c r="K9" s="465">
        <f>transport!K14</f>
        <v>0</v>
      </c>
      <c r="L9" s="465">
        <f>transport!L14</f>
        <v>0</v>
      </c>
      <c r="M9" s="465">
        <f>transport!M14</f>
        <v>3924.646711577303</v>
      </c>
      <c r="N9" s="465">
        <f>transport!N14</f>
        <v>0</v>
      </c>
      <c r="O9" s="465">
        <f>transport!O14</f>
        <v>0</v>
      </c>
      <c r="P9" s="465">
        <f>transport!P14</f>
        <v>0</v>
      </c>
      <c r="Q9" s="464">
        <f>SUM(B9:P9)</f>
        <v>92071.95305948834</v>
      </c>
    </row>
    <row r="10" spans="1:17">
      <c r="A10" s="460" t="s">
        <v>569</v>
      </c>
      <c r="B10" s="461">
        <f>transport!B54</f>
        <v>0</v>
      </c>
      <c r="C10" s="461">
        <f>transport!C54</f>
        <v>0</v>
      </c>
      <c r="D10" s="461">
        <f>transport!D54</f>
        <v>0</v>
      </c>
      <c r="E10" s="461">
        <f>transport!E54</f>
        <v>0</v>
      </c>
      <c r="F10" s="461">
        <f>transport!F54</f>
        <v>0</v>
      </c>
      <c r="G10" s="461">
        <f>transport!G54</f>
        <v>1094.5405590519522</v>
      </c>
      <c r="H10" s="461">
        <f>transport!H54</f>
        <v>0</v>
      </c>
      <c r="I10" s="461">
        <f>transport!I54</f>
        <v>0</v>
      </c>
      <c r="J10" s="461">
        <f>transport!J54</f>
        <v>0</v>
      </c>
      <c r="K10" s="461">
        <f>transport!K54</f>
        <v>0</v>
      </c>
      <c r="L10" s="461">
        <f>transport!L54</f>
        <v>0</v>
      </c>
      <c r="M10" s="461">
        <f>transport!M54</f>
        <v>48.063081505562984</v>
      </c>
      <c r="N10" s="461">
        <f>transport!N54</f>
        <v>0</v>
      </c>
      <c r="O10" s="461">
        <f>transport!O54</f>
        <v>0</v>
      </c>
      <c r="P10" s="462">
        <f>transport!P54</f>
        <v>0</v>
      </c>
      <c r="Q10" s="460">
        <f t="shared" si="0"/>
        <v>1142.6036405575151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621.64099999999996</v>
      </c>
      <c r="C14" s="468"/>
      <c r="D14" s="468">
        <f>'SEAP template'!E25</f>
        <v>659.89400000000001</v>
      </c>
      <c r="E14" s="468"/>
      <c r="F14" s="468"/>
      <c r="G14" s="468"/>
      <c r="H14" s="468"/>
      <c r="I14" s="468"/>
      <c r="J14" s="468"/>
      <c r="K14" s="468"/>
      <c r="L14" s="468"/>
      <c r="M14" s="468"/>
      <c r="N14" s="468"/>
      <c r="O14" s="468"/>
      <c r="P14" s="469"/>
      <c r="Q14" s="460">
        <f t="shared" si="0"/>
        <v>1281.5349999999999</v>
      </c>
    </row>
    <row r="15" spans="1:17" s="473" customFormat="1">
      <c r="A15" s="470" t="s">
        <v>573</v>
      </c>
      <c r="B15" s="471">
        <f ca="1">SUM(B4:B14)</f>
        <v>31816.477424005978</v>
      </c>
      <c r="C15" s="471">
        <f t="shared" ref="C15:Q15" ca="1" si="1">SUM(C4:C14)</f>
        <v>0</v>
      </c>
      <c r="D15" s="471">
        <f t="shared" ca="1" si="1"/>
        <v>32443.671703994321</v>
      </c>
      <c r="E15" s="471">
        <f t="shared" si="1"/>
        <v>3761.9474965002205</v>
      </c>
      <c r="F15" s="471">
        <f t="shared" ca="1" si="1"/>
        <v>33262.879319982239</v>
      </c>
      <c r="G15" s="471">
        <f t="shared" si="1"/>
        <v>74447.936956054822</v>
      </c>
      <c r="H15" s="471">
        <f t="shared" si="1"/>
        <v>14389.084994466328</v>
      </c>
      <c r="I15" s="471">
        <f t="shared" si="1"/>
        <v>0</v>
      </c>
      <c r="J15" s="471">
        <f t="shared" si="1"/>
        <v>6.9907960624674397</v>
      </c>
      <c r="K15" s="471">
        <f t="shared" si="1"/>
        <v>0</v>
      </c>
      <c r="L15" s="471">
        <f t="shared" ca="1" si="1"/>
        <v>0</v>
      </c>
      <c r="M15" s="471">
        <f t="shared" si="1"/>
        <v>3972.7097930828659</v>
      </c>
      <c r="N15" s="471">
        <f t="shared" ca="1" si="1"/>
        <v>9822.0136000714756</v>
      </c>
      <c r="O15" s="471">
        <f t="shared" si="1"/>
        <v>62.533333333333331</v>
      </c>
      <c r="P15" s="471">
        <f t="shared" si="1"/>
        <v>286</v>
      </c>
      <c r="Q15" s="471">
        <f t="shared" ca="1" si="1"/>
        <v>204272.24541755411</v>
      </c>
    </row>
    <row r="17" spans="1:17">
      <c r="A17" s="474" t="s">
        <v>574</v>
      </c>
      <c r="B17" s="778">
        <f ca="1">huishoudens!B10</f>
        <v>0.20889749270153424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4680.9288701826872</v>
      </c>
      <c r="C22" s="461">
        <f t="shared" ref="C22:C32" ca="1" si="3">C4*$C$17</f>
        <v>0</v>
      </c>
      <c r="D22" s="461">
        <f t="shared" ref="D22:D32" si="4">D4*$D$17</f>
        <v>5244.0938581680002</v>
      </c>
      <c r="E22" s="461">
        <f t="shared" ref="E22:E32" si="5">E4*$E$17</f>
        <v>743.14758383299215</v>
      </c>
      <c r="F22" s="461">
        <f t="shared" ref="F22:F32" si="6">F4*$F$17</f>
        <v>8375.4295832848311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19043.599895468509</v>
      </c>
    </row>
    <row r="23" spans="1:17">
      <c r="A23" s="460" t="s">
        <v>156</v>
      </c>
      <c r="B23" s="461">
        <f t="shared" ca="1" si="2"/>
        <v>1603.2283029038699</v>
      </c>
      <c r="C23" s="461">
        <f t="shared" ca="1" si="3"/>
        <v>0</v>
      </c>
      <c r="D23" s="461">
        <f t="shared" ca="1" si="4"/>
        <v>1125.3252473319999</v>
      </c>
      <c r="E23" s="461">
        <f t="shared" si="5"/>
        <v>20.126405912418949</v>
      </c>
      <c r="F23" s="461">
        <f t="shared" ca="1" si="6"/>
        <v>397.46451708521295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3146.1444732335021</v>
      </c>
    </row>
    <row r="24" spans="1:17">
      <c r="A24" s="460" t="s">
        <v>194</v>
      </c>
      <c r="B24" s="461">
        <f t="shared" ca="1" si="2"/>
        <v>139.77769921394329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139.77769921394329</v>
      </c>
    </row>
    <row r="25" spans="1:17">
      <c r="A25" s="460" t="s">
        <v>112</v>
      </c>
      <c r="B25" s="461">
        <f t="shared" ca="1" si="2"/>
        <v>11.186460734167158</v>
      </c>
      <c r="C25" s="461">
        <f t="shared" ca="1" si="3"/>
        <v>0</v>
      </c>
      <c r="D25" s="461">
        <f t="shared" si="4"/>
        <v>15.147529540000003</v>
      </c>
      <c r="E25" s="461">
        <f t="shared" si="5"/>
        <v>0.11451625168667096</v>
      </c>
      <c r="F25" s="461">
        <f t="shared" si="6"/>
        <v>46.658629589690143</v>
      </c>
      <c r="G25" s="461">
        <f t="shared" si="7"/>
        <v>0</v>
      </c>
      <c r="H25" s="461">
        <f t="shared" si="8"/>
        <v>0</v>
      </c>
      <c r="I25" s="461">
        <f t="shared" si="9"/>
        <v>0</v>
      </c>
      <c r="J25" s="461">
        <f t="shared" si="10"/>
        <v>2.3450359953710884</v>
      </c>
      <c r="K25" s="461">
        <f t="shared" si="11"/>
        <v>0</v>
      </c>
      <c r="L25" s="461">
        <f t="shared" si="12"/>
        <v>0</v>
      </c>
      <c r="M25" s="461">
        <f t="shared" si="13"/>
        <v>0</v>
      </c>
      <c r="N25" s="461">
        <f t="shared" si="14"/>
        <v>0</v>
      </c>
      <c r="O25" s="461">
        <f t="shared" si="15"/>
        <v>0</v>
      </c>
      <c r="P25" s="462">
        <f t="shared" si="16"/>
        <v>0</v>
      </c>
      <c r="Q25" s="460">
        <f t="shared" ca="1" si="17"/>
        <v>75.452172110915058</v>
      </c>
    </row>
    <row r="26" spans="1:17">
      <c r="A26" s="460" t="s">
        <v>685</v>
      </c>
      <c r="B26" s="461">
        <f t="shared" ca="1" si="2"/>
        <v>80.963654631289828</v>
      </c>
      <c r="C26" s="461">
        <f t="shared" ca="1" si="3"/>
        <v>0</v>
      </c>
      <c r="D26" s="461">
        <f t="shared" si="4"/>
        <v>34.462246764</v>
      </c>
      <c r="E26" s="461">
        <f t="shared" si="5"/>
        <v>0.60879348618957929</v>
      </c>
      <c r="F26" s="461">
        <f t="shared" si="6"/>
        <v>61.636048475524099</v>
      </c>
      <c r="G26" s="461">
        <f t="shared" si="7"/>
        <v>0</v>
      </c>
      <c r="H26" s="461">
        <f t="shared" si="8"/>
        <v>0</v>
      </c>
      <c r="I26" s="461">
        <f t="shared" si="9"/>
        <v>0</v>
      </c>
      <c r="J26" s="461">
        <f t="shared" si="10"/>
        <v>0.12970581074238505</v>
      </c>
      <c r="K26" s="461">
        <f t="shared" si="11"/>
        <v>0</v>
      </c>
      <c r="L26" s="461">
        <f t="shared" si="12"/>
        <v>0</v>
      </c>
      <c r="M26" s="461">
        <f t="shared" si="13"/>
        <v>0</v>
      </c>
      <c r="N26" s="461">
        <f t="shared" si="14"/>
        <v>0</v>
      </c>
      <c r="O26" s="461">
        <f t="shared" si="15"/>
        <v>0</v>
      </c>
      <c r="P26" s="462">
        <f t="shared" si="16"/>
        <v>0</v>
      </c>
      <c r="Q26" s="460">
        <f t="shared" ca="1" si="17"/>
        <v>177.80044916774591</v>
      </c>
    </row>
    <row r="27" spans="1:17" s="466" customFormat="1">
      <c r="A27" s="464" t="s">
        <v>579</v>
      </c>
      <c r="B27" s="772">
        <f t="shared" ca="1" si="2"/>
        <v>0.43812654338586426</v>
      </c>
      <c r="C27" s="465">
        <f t="shared" ca="1" si="3"/>
        <v>0</v>
      </c>
      <c r="D27" s="465">
        <f t="shared" si="4"/>
        <v>1.2942144028534472</v>
      </c>
      <c r="E27" s="465">
        <f t="shared" si="5"/>
        <v>89.96478222226267</v>
      </c>
      <c r="F27" s="465">
        <f t="shared" si="6"/>
        <v>0</v>
      </c>
      <c r="G27" s="465">
        <f t="shared" si="7"/>
        <v>19585.356837999767</v>
      </c>
      <c r="H27" s="465">
        <f t="shared" si="8"/>
        <v>3582.8821636221155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23259.936124790383</v>
      </c>
    </row>
    <row r="28" spans="1:17">
      <c r="A28" s="460" t="s">
        <v>569</v>
      </c>
      <c r="B28" s="461">
        <f t="shared" ca="1" si="2"/>
        <v>0</v>
      </c>
      <c r="C28" s="461">
        <f t="shared" ca="1" si="3"/>
        <v>0</v>
      </c>
      <c r="D28" s="461">
        <f t="shared" si="4"/>
        <v>0</v>
      </c>
      <c r="E28" s="461">
        <f t="shared" si="5"/>
        <v>0</v>
      </c>
      <c r="F28" s="461">
        <f t="shared" si="6"/>
        <v>0</v>
      </c>
      <c r="G28" s="461">
        <f t="shared" si="7"/>
        <v>292.24232926687125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292.24232926687125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129.85924626047444</v>
      </c>
      <c r="C32" s="461">
        <f t="shared" ca="1" si="3"/>
        <v>0</v>
      </c>
      <c r="D32" s="461">
        <f t="shared" si="4"/>
        <v>133.29858800000002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263.15783426047449</v>
      </c>
    </row>
    <row r="33" spans="1:17" s="473" customFormat="1">
      <c r="A33" s="470" t="s">
        <v>573</v>
      </c>
      <c r="B33" s="471">
        <f ca="1">SUM(B22:B32)</f>
        <v>6646.3823604698173</v>
      </c>
      <c r="C33" s="471">
        <f t="shared" ref="C33:Q33" ca="1" si="18">SUM(C22:C32)</f>
        <v>0</v>
      </c>
      <c r="D33" s="471">
        <f t="shared" ca="1" si="18"/>
        <v>6553.6216842068534</v>
      </c>
      <c r="E33" s="471">
        <f t="shared" si="18"/>
        <v>853.96208170555008</v>
      </c>
      <c r="F33" s="471">
        <f t="shared" ca="1" si="18"/>
        <v>8881.1887784352584</v>
      </c>
      <c r="G33" s="471">
        <f t="shared" si="18"/>
        <v>19877.599167266639</v>
      </c>
      <c r="H33" s="471">
        <f t="shared" si="18"/>
        <v>3582.8821636221155</v>
      </c>
      <c r="I33" s="471">
        <f t="shared" si="18"/>
        <v>0</v>
      </c>
      <c r="J33" s="471">
        <f t="shared" si="18"/>
        <v>2.4747418061134736</v>
      </c>
      <c r="K33" s="471">
        <f t="shared" si="18"/>
        <v>0</v>
      </c>
      <c r="L33" s="471">
        <f t="shared" ca="1" si="18"/>
        <v>0</v>
      </c>
      <c r="M33" s="471">
        <f t="shared" si="18"/>
        <v>0</v>
      </c>
      <c r="N33" s="471">
        <f t="shared" ca="1" si="18"/>
        <v>0</v>
      </c>
      <c r="O33" s="471">
        <f t="shared" si="18"/>
        <v>0</v>
      </c>
      <c r="P33" s="471">
        <f t="shared" si="18"/>
        <v>0</v>
      </c>
      <c r="Q33" s="471">
        <f t="shared" ca="1" si="18"/>
        <v>46398.110977512348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1742.3490960882516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1742.3490960882516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0.20889749270153424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0.20889749270153424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0.20889749270153424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0.20889749270153424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24086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4235</v>
      </c>
      <c r="C9" s="338">
        <v>4389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693</v>
      </c>
    </row>
    <row r="15" spans="1:6">
      <c r="A15" s="1286" t="s">
        <v>184</v>
      </c>
      <c r="B15" s="335">
        <v>1</v>
      </c>
    </row>
    <row r="16" spans="1:6">
      <c r="A16" s="1286" t="s">
        <v>6</v>
      </c>
      <c r="B16" s="335">
        <v>0</v>
      </c>
    </row>
    <row r="17" spans="1:6">
      <c r="A17" s="1286" t="s">
        <v>7</v>
      </c>
      <c r="B17" s="335">
        <v>128</v>
      </c>
    </row>
    <row r="18" spans="1:6">
      <c r="A18" s="1286" t="s">
        <v>8</v>
      </c>
      <c r="B18" s="335">
        <v>116</v>
      </c>
    </row>
    <row r="19" spans="1:6">
      <c r="A19" s="1286" t="s">
        <v>9</v>
      </c>
      <c r="B19" s="335">
        <v>84</v>
      </c>
    </row>
    <row r="20" spans="1:6">
      <c r="A20" s="1286" t="s">
        <v>10</v>
      </c>
      <c r="B20" s="335">
        <v>60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96</v>
      </c>
    </row>
    <row r="27" spans="1:6">
      <c r="A27" s="1286" t="s">
        <v>17</v>
      </c>
      <c r="B27" s="335">
        <v>0</v>
      </c>
    </row>
    <row r="28" spans="1:6" s="341" customFormat="1">
      <c r="A28" s="1287" t="s">
        <v>18</v>
      </c>
      <c r="B28" s="1287">
        <v>0</v>
      </c>
    </row>
    <row r="29" spans="1:6">
      <c r="A29" s="1287" t="s">
        <v>944</v>
      </c>
      <c r="B29" s="1287">
        <v>229</v>
      </c>
      <c r="C29" s="341"/>
      <c r="D29" s="341"/>
      <c r="E29" s="341"/>
      <c r="F29" s="341"/>
    </row>
    <row r="30" spans="1:6">
      <c r="A30" s="1282" t="s">
        <v>945</v>
      </c>
      <c r="B30" s="1282">
        <v>39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1045</v>
      </c>
    </row>
    <row r="39" spans="1:6">
      <c r="A39" s="1286" t="s">
        <v>30</v>
      </c>
      <c r="B39" s="1286" t="s">
        <v>31</v>
      </c>
      <c r="C39" s="335">
        <v>1477</v>
      </c>
      <c r="D39" s="335">
        <v>28781442</v>
      </c>
      <c r="E39" s="335">
        <v>4218</v>
      </c>
      <c r="F39" s="335">
        <v>20665430</v>
      </c>
    </row>
    <row r="40" spans="1:6">
      <c r="A40" s="1286" t="s">
        <v>30</v>
      </c>
      <c r="B40" s="1286" t="s">
        <v>29</v>
      </c>
      <c r="C40" s="335">
        <v>0</v>
      </c>
      <c r="D40" s="335">
        <v>0</v>
      </c>
      <c r="E40" s="335">
        <v>0</v>
      </c>
      <c r="F40" s="335">
        <v>0</v>
      </c>
    </row>
    <row r="41" spans="1:6">
      <c r="A41" s="1286" t="s">
        <v>32</v>
      </c>
      <c r="B41" s="1286" t="s">
        <v>33</v>
      </c>
      <c r="C41" s="335">
        <v>8</v>
      </c>
      <c r="D41" s="335">
        <v>152932</v>
      </c>
      <c r="E41" s="335">
        <v>29</v>
      </c>
      <c r="F41" s="335">
        <v>270269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11607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36209</v>
      </c>
      <c r="E48" s="335">
        <v>1</v>
      </c>
      <c r="F48" s="335">
        <v>29868</v>
      </c>
    </row>
    <row r="49" spans="1:6">
      <c r="A49" s="1286" t="s">
        <v>32</v>
      </c>
      <c r="B49" s="1286" t="s">
        <v>40</v>
      </c>
      <c r="C49" s="335">
        <v>0</v>
      </c>
      <c r="D49" s="335">
        <v>0</v>
      </c>
      <c r="E49" s="335">
        <v>0</v>
      </c>
      <c r="F49" s="335">
        <v>0</v>
      </c>
    </row>
    <row r="50" spans="1:6">
      <c r="A50" s="1286" t="s">
        <v>32</v>
      </c>
      <c r="B50" s="1286" t="s">
        <v>41</v>
      </c>
      <c r="C50" s="335">
        <v>0</v>
      </c>
      <c r="D50" s="335">
        <v>0</v>
      </c>
      <c r="E50" s="335">
        <v>6</v>
      </c>
      <c r="F50" s="335">
        <v>75832</v>
      </c>
    </row>
    <row r="51" spans="1:6">
      <c r="A51" s="1286" t="s">
        <v>42</v>
      </c>
      <c r="B51" s="1286" t="s">
        <v>43</v>
      </c>
      <c r="C51" s="335">
        <v>3</v>
      </c>
      <c r="D51" s="335">
        <v>83135</v>
      </c>
      <c r="E51" s="335">
        <v>12</v>
      </c>
      <c r="F51" s="335">
        <v>53550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669121</v>
      </c>
    </row>
    <row r="55" spans="1:6">
      <c r="A55" s="1286" t="s">
        <v>46</v>
      </c>
      <c r="B55" s="1286" t="s">
        <v>29</v>
      </c>
      <c r="C55" s="335">
        <v>0</v>
      </c>
      <c r="D55" s="335">
        <v>0</v>
      </c>
      <c r="E55" s="335">
        <v>0</v>
      </c>
      <c r="F55" s="335">
        <v>0</v>
      </c>
    </row>
    <row r="56" spans="1:6">
      <c r="A56" s="1286" t="s">
        <v>48</v>
      </c>
      <c r="B56" s="1286" t="s">
        <v>29</v>
      </c>
      <c r="C56" s="335">
        <v>20</v>
      </c>
      <c r="D56" s="335">
        <v>659894</v>
      </c>
      <c r="E56" s="335">
        <v>69</v>
      </c>
      <c r="F56" s="335">
        <v>621641</v>
      </c>
    </row>
    <row r="57" spans="1:6">
      <c r="A57" s="1286" t="s">
        <v>49</v>
      </c>
      <c r="B57" s="1286" t="s">
        <v>50</v>
      </c>
      <c r="C57" s="335">
        <v>10</v>
      </c>
      <c r="D57" s="335">
        <v>567865</v>
      </c>
      <c r="E57" s="335">
        <v>49</v>
      </c>
      <c r="F57" s="335">
        <v>1050974</v>
      </c>
    </row>
    <row r="58" spans="1:6">
      <c r="A58" s="1286" t="s">
        <v>49</v>
      </c>
      <c r="B58" s="1286" t="s">
        <v>51</v>
      </c>
      <c r="C58" s="335">
        <v>3</v>
      </c>
      <c r="D58" s="335">
        <v>80007</v>
      </c>
      <c r="E58" s="335">
        <v>14</v>
      </c>
      <c r="F58" s="335">
        <v>257068</v>
      </c>
    </row>
    <row r="59" spans="1:6">
      <c r="A59" s="1286" t="s">
        <v>49</v>
      </c>
      <c r="B59" s="1286" t="s">
        <v>52</v>
      </c>
      <c r="C59" s="335">
        <v>22</v>
      </c>
      <c r="D59" s="335">
        <v>798637</v>
      </c>
      <c r="E59" s="335">
        <v>71</v>
      </c>
      <c r="F59" s="335">
        <v>1427558</v>
      </c>
    </row>
    <row r="60" spans="1:6">
      <c r="A60" s="1286" t="s">
        <v>49</v>
      </c>
      <c r="B60" s="1286" t="s">
        <v>53</v>
      </c>
      <c r="C60" s="335">
        <v>20</v>
      </c>
      <c r="D60" s="335">
        <v>1514231</v>
      </c>
      <c r="E60" s="335">
        <v>35</v>
      </c>
      <c r="F60" s="335">
        <v>1264719</v>
      </c>
    </row>
    <row r="61" spans="1:6">
      <c r="A61" s="1286" t="s">
        <v>49</v>
      </c>
      <c r="B61" s="1286" t="s">
        <v>54</v>
      </c>
      <c r="C61" s="335">
        <v>63</v>
      </c>
      <c r="D61" s="335">
        <v>2719187</v>
      </c>
      <c r="E61" s="335">
        <v>214</v>
      </c>
      <c r="F61" s="335">
        <v>3306296</v>
      </c>
    </row>
    <row r="62" spans="1:6">
      <c r="A62" s="1286" t="s">
        <v>49</v>
      </c>
      <c r="B62" s="1286" t="s">
        <v>55</v>
      </c>
      <c r="C62" s="335">
        <v>4</v>
      </c>
      <c r="D62" s="335">
        <v>496256</v>
      </c>
      <c r="E62" s="335">
        <v>7</v>
      </c>
      <c r="F62" s="335">
        <v>263501</v>
      </c>
    </row>
    <row r="63" spans="1:6">
      <c r="A63" s="1286" t="s">
        <v>49</v>
      </c>
      <c r="B63" s="1286" t="s">
        <v>29</v>
      </c>
      <c r="C63" s="335">
        <v>0</v>
      </c>
      <c r="D63" s="335">
        <v>0</v>
      </c>
      <c r="E63" s="335">
        <v>1</v>
      </c>
      <c r="F63" s="335">
        <v>104597</v>
      </c>
    </row>
    <row r="64" spans="1:6">
      <c r="A64" s="1286" t="s">
        <v>56</v>
      </c>
      <c r="B64" s="1286" t="s">
        <v>57</v>
      </c>
      <c r="C64" s="335">
        <v>0</v>
      </c>
      <c r="D64" s="335">
        <v>0</v>
      </c>
      <c r="E64" s="335">
        <v>0</v>
      </c>
      <c r="F64" s="335">
        <v>0</v>
      </c>
    </row>
    <row r="65" spans="1:6">
      <c r="A65" s="1286" t="s">
        <v>56</v>
      </c>
      <c r="B65" s="1286" t="s">
        <v>29</v>
      </c>
      <c r="C65" s="335">
        <v>0</v>
      </c>
      <c r="D65" s="335">
        <v>0</v>
      </c>
      <c r="E65" s="335">
        <v>1</v>
      </c>
      <c r="F65" s="335">
        <v>2886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31956202</v>
      </c>
      <c r="E73" s="335">
        <v>33303154.066235978</v>
      </c>
    </row>
    <row r="74" spans="1:6">
      <c r="A74" s="1286" t="s">
        <v>64</v>
      </c>
      <c r="B74" s="1286" t="s">
        <v>772</v>
      </c>
      <c r="C74" s="1297" t="s">
        <v>766</v>
      </c>
      <c r="D74" s="335">
        <v>2075998.5126934424</v>
      </c>
      <c r="E74" s="335">
        <v>2260352.2478493839</v>
      </c>
    </row>
    <row r="75" spans="1:6">
      <c r="A75" s="1286" t="s">
        <v>65</v>
      </c>
      <c r="B75" s="1286" t="s">
        <v>771</v>
      </c>
      <c r="C75" s="1297" t="s">
        <v>767</v>
      </c>
      <c r="D75" s="335">
        <v>29831917</v>
      </c>
      <c r="E75" s="335">
        <v>30884270.304384068</v>
      </c>
    </row>
    <row r="76" spans="1:6">
      <c r="A76" s="1286" t="s">
        <v>65</v>
      </c>
      <c r="B76" s="1286" t="s">
        <v>772</v>
      </c>
      <c r="C76" s="1297" t="s">
        <v>768</v>
      </c>
      <c r="D76" s="335">
        <v>1509532.5126934424</v>
      </c>
      <c r="E76" s="335">
        <v>1624579.5014443861</v>
      </c>
    </row>
    <row r="77" spans="1:6">
      <c r="A77" s="1286" t="s">
        <v>66</v>
      </c>
      <c r="B77" s="1286" t="s">
        <v>771</v>
      </c>
      <c r="C77" s="1297" t="s">
        <v>769</v>
      </c>
      <c r="D77" s="335">
        <v>37894631</v>
      </c>
      <c r="E77" s="335">
        <v>40648609.146945447</v>
      </c>
    </row>
    <row r="78" spans="1:6">
      <c r="A78" s="1282" t="s">
        <v>66</v>
      </c>
      <c r="B78" s="1282" t="s">
        <v>772</v>
      </c>
      <c r="C78" s="1282" t="s">
        <v>770</v>
      </c>
      <c r="D78" s="1282">
        <v>3355041</v>
      </c>
      <c r="E78" s="1282">
        <v>3406363.2261817218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300622.97461311513</v>
      </c>
      <c r="C83" s="335">
        <v>291374.66124190914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1742.3490960882516</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446</v>
      </c>
    </row>
    <row r="98" spans="1:6">
      <c r="A98" s="1286" t="s">
        <v>72</v>
      </c>
      <c r="B98" s="335">
        <v>1</v>
      </c>
    </row>
    <row r="99" spans="1:6">
      <c r="A99" s="1286" t="s">
        <v>73</v>
      </c>
      <c r="B99" s="335">
        <v>73</v>
      </c>
    </row>
    <row r="100" spans="1:6">
      <c r="A100" s="1286" t="s">
        <v>74</v>
      </c>
      <c r="B100" s="335">
        <v>431</v>
      </c>
    </row>
    <row r="101" spans="1:6">
      <c r="A101" s="1286" t="s">
        <v>75</v>
      </c>
      <c r="B101" s="335">
        <v>63</v>
      </c>
    </row>
    <row r="102" spans="1:6">
      <c r="A102" s="1286" t="s">
        <v>76</v>
      </c>
      <c r="B102" s="335">
        <v>40</v>
      </c>
    </row>
    <row r="103" spans="1:6">
      <c r="A103" s="1286" t="s">
        <v>77</v>
      </c>
      <c r="B103" s="335">
        <v>76</v>
      </c>
    </row>
    <row r="104" spans="1:6">
      <c r="A104" s="1286" t="s">
        <v>78</v>
      </c>
      <c r="B104" s="335">
        <v>2517</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31816.477424005978</v>
      </c>
      <c r="C3" s="44" t="s">
        <v>170</v>
      </c>
      <c r="D3" s="44"/>
      <c r="E3" s="157"/>
      <c r="F3" s="44"/>
      <c r="G3" s="44"/>
      <c r="H3" s="44"/>
      <c r="I3" s="44"/>
      <c r="J3" s="44"/>
      <c r="K3" s="97"/>
    </row>
    <row r="4" spans="1:11">
      <c r="A4" s="365" t="s">
        <v>171</v>
      </c>
      <c r="B4" s="50">
        <f>IF(ISERROR('SEAP template'!B78+'SEAP template'!C78),0,'SEAP template'!B78+'SEAP template'!C78)</f>
        <v>1742.3490960882516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0.20889749270153424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669.12099999999998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669.12099999999998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0.20889749270153424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139.77769921394329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20665.43</v>
      </c>
      <c r="C5" s="18">
        <f>IF(ISERROR('Eigen informatie GS &amp; warmtenet'!B57),0,'Eigen informatie GS &amp; warmtenet'!B57)</f>
        <v>0</v>
      </c>
      <c r="D5" s="31">
        <f>(SUM(HH_hh_gas_kWh,HH_rest_gas_kWh)/1000)*0.902</f>
        <v>25960.860683999999</v>
      </c>
      <c r="E5" s="18">
        <f>B46*B57</f>
        <v>3273.7779023479829</v>
      </c>
      <c r="F5" s="18">
        <f>B51*B62</f>
        <v>31368.650124662287</v>
      </c>
      <c r="G5" s="19"/>
      <c r="H5" s="18"/>
      <c r="I5" s="18"/>
      <c r="J5" s="18">
        <f>B50*B61+C50*C61</f>
        <v>0</v>
      </c>
      <c r="K5" s="18"/>
      <c r="L5" s="18"/>
      <c r="M5" s="18"/>
      <c r="N5" s="18">
        <f>B48*B59+C48*C59</f>
        <v>9175.3309237710164</v>
      </c>
      <c r="O5" s="18">
        <f>B69*B70*B71</f>
        <v>62.533333333333331</v>
      </c>
      <c r="P5" s="18">
        <f>B77*B78*B79/1000-B77*B78*B79/1000/B80</f>
        <v>286</v>
      </c>
    </row>
    <row r="6" spans="1:16">
      <c r="A6" s="17" t="s">
        <v>639</v>
      </c>
      <c r="B6" s="780">
        <f>kWh_PV_kleiner_dan_10kW</f>
        <v>1742.3490960882516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22407.779096088252</v>
      </c>
      <c r="C8" s="22">
        <f>C5</f>
        <v>0</v>
      </c>
      <c r="D8" s="22">
        <f>D5</f>
        <v>25960.860683999999</v>
      </c>
      <c r="E8" s="22">
        <f>E5</f>
        <v>3273.7779023479829</v>
      </c>
      <c r="F8" s="22">
        <f>F5</f>
        <v>31368.650124662287</v>
      </c>
      <c r="G8" s="22"/>
      <c r="H8" s="22"/>
      <c r="I8" s="22"/>
      <c r="J8" s="22">
        <f>J5</f>
        <v>0</v>
      </c>
      <c r="K8" s="22"/>
      <c r="L8" s="22">
        <f>L5</f>
        <v>0</v>
      </c>
      <c r="M8" s="22">
        <f>M5</f>
        <v>0</v>
      </c>
      <c r="N8" s="22">
        <f>N5</f>
        <v>9175.3309237710164</v>
      </c>
      <c r="O8" s="22">
        <f>O5</f>
        <v>62.533333333333331</v>
      </c>
      <c r="P8" s="22">
        <f>P5</f>
        <v>286</v>
      </c>
    </row>
    <row r="9" spans="1:16">
      <c r="B9" s="20"/>
      <c r="C9" s="20"/>
      <c r="D9" s="262"/>
      <c r="E9" s="20"/>
      <c r="F9" s="20"/>
      <c r="G9" s="20"/>
      <c r="H9" s="20"/>
      <c r="I9" s="20"/>
      <c r="J9" s="20"/>
      <c r="K9" s="20"/>
      <c r="L9" s="20"/>
      <c r="M9" s="20"/>
      <c r="N9" s="20"/>
      <c r="O9" s="20"/>
      <c r="P9" s="20"/>
    </row>
    <row r="10" spans="1:16">
      <c r="A10" s="25" t="s">
        <v>214</v>
      </c>
      <c r="B10" s="26">
        <f ca="1">'EF ele_warmte'!B12</f>
        <v>0.20889749270153424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4680.9288701826872</v>
      </c>
      <c r="C12" s="24">
        <f ca="1">C10*C8</f>
        <v>0</v>
      </c>
      <c r="D12" s="24">
        <f>D8*D10</f>
        <v>5244.0938581680002</v>
      </c>
      <c r="E12" s="24">
        <f>E10*E8</f>
        <v>743.14758383299215</v>
      </c>
      <c r="F12" s="24">
        <f>F10*F8</f>
        <v>8375.4295832848311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446</v>
      </c>
      <c r="C18" s="169" t="s">
        <v>111</v>
      </c>
      <c r="D18" s="231"/>
      <c r="E18" s="16"/>
    </row>
    <row r="19" spans="1:7">
      <c r="A19" s="174" t="s">
        <v>72</v>
      </c>
      <c r="B19" s="38">
        <f>aantalw2001_ander</f>
        <v>1</v>
      </c>
      <c r="C19" s="169" t="s">
        <v>111</v>
      </c>
      <c r="D19" s="232"/>
      <c r="E19" s="16"/>
    </row>
    <row r="20" spans="1:7">
      <c r="A20" s="174" t="s">
        <v>73</v>
      </c>
      <c r="B20" s="38">
        <f>aantalw2001_propaan</f>
        <v>73</v>
      </c>
      <c r="C20" s="170">
        <f>IF(ISERROR(B20/SUM($B$20,$B$21,$B$22)*100),0,B20/SUM($B$20,$B$21,$B$22)*100)</f>
        <v>12.874779541446207</v>
      </c>
      <c r="D20" s="232"/>
      <c r="E20" s="16"/>
    </row>
    <row r="21" spans="1:7">
      <c r="A21" s="174" t="s">
        <v>74</v>
      </c>
      <c r="B21" s="38">
        <f>aantalw2001_elektriciteit</f>
        <v>431</v>
      </c>
      <c r="C21" s="170">
        <f>IF(ISERROR(B21/SUM($B$20,$B$21,$B$22)*100),0,B21/SUM($B$20,$B$21,$B$22)*100)</f>
        <v>76.014109347442684</v>
      </c>
      <c r="D21" s="232"/>
      <c r="E21" s="16"/>
    </row>
    <row r="22" spans="1:7">
      <c r="A22" s="174" t="s">
        <v>75</v>
      </c>
      <c r="B22" s="38">
        <f>aantalw2001_hout</f>
        <v>63</v>
      </c>
      <c r="C22" s="170">
        <f>IF(ISERROR(B22/SUM($B$20,$B$21,$B$22)*100),0,B22/SUM($B$20,$B$21,$B$22)*100)</f>
        <v>11.111111111111111</v>
      </c>
      <c r="D22" s="232"/>
      <c r="E22" s="16"/>
    </row>
    <row r="23" spans="1:7">
      <c r="A23" s="174" t="s">
        <v>76</v>
      </c>
      <c r="B23" s="38">
        <f>aantalw2001_niet_gespec</f>
        <v>40</v>
      </c>
      <c r="C23" s="169" t="s">
        <v>111</v>
      </c>
      <c r="D23" s="231"/>
      <c r="E23" s="16"/>
    </row>
    <row r="24" spans="1:7">
      <c r="A24" s="174" t="s">
        <v>77</v>
      </c>
      <c r="B24" s="38">
        <f>aantalw2001_steenkool</f>
        <v>76</v>
      </c>
      <c r="C24" s="169" t="s">
        <v>111</v>
      </c>
      <c r="D24" s="232"/>
      <c r="E24" s="16"/>
    </row>
    <row r="25" spans="1:7">
      <c r="A25" s="174" t="s">
        <v>78</v>
      </c>
      <c r="B25" s="38">
        <f>aantalw2001_stookolie</f>
        <v>2517</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4235</v>
      </c>
      <c r="C28" s="37"/>
      <c r="D28" s="231"/>
    </row>
    <row r="29" spans="1:7" s="16" customFormat="1">
      <c r="A29" s="233" t="s">
        <v>666</v>
      </c>
      <c r="B29" s="38">
        <f>SUM(HH_hh_gas_aantal,HH_rest_gas_aantal)</f>
        <v>1477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1477</v>
      </c>
      <c r="C32" s="170">
        <f>IF(ISERROR(B32/SUM($B$32,$B$34,$B$35,$B$36,$B$38,$B$39)*100),0,B32/SUM($B$32,$B$34,$B$35,$B$36,$B$38,$B$39)*100)</f>
        <v>35</v>
      </c>
      <c r="D32" s="236"/>
      <c r="G32" s="16"/>
    </row>
    <row r="33" spans="1:7">
      <c r="A33" s="174" t="s">
        <v>72</v>
      </c>
      <c r="B33" s="35" t="s">
        <v>111</v>
      </c>
      <c r="C33" s="170"/>
      <c r="D33" s="236"/>
      <c r="G33" s="16"/>
    </row>
    <row r="34" spans="1:7">
      <c r="A34" s="174" t="s">
        <v>73</v>
      </c>
      <c r="B34" s="34">
        <f>IF((($B$28-$B$32-$B$39-$B$77-$B$38)*C20/100)&lt;0,0,($B$28-$B$32-$B$39-$B$77-$B$38)*C20/100)</f>
        <v>148.56208112874779</v>
      </c>
      <c r="C34" s="170">
        <f>IF(ISERROR(B34/SUM($B$32,$B$34,$B$35,$B$36,$B$38,$B$39)*100),0,B34/SUM($B$32,$B$34,$B$35,$B$36,$B$38,$B$39)*100)</f>
        <v>3.5204284627665352</v>
      </c>
      <c r="D34" s="236"/>
      <c r="G34" s="16"/>
    </row>
    <row r="35" spans="1:7">
      <c r="A35" s="174" t="s">
        <v>74</v>
      </c>
      <c r="B35" s="34">
        <f>IF((($B$28-$B$32-$B$39-$B$77-$B$38)*C21/100)&lt;0,0,($B$28-$B$32-$B$39-$B$77-$B$38)*C21/100)</f>
        <v>877.12680776014122</v>
      </c>
      <c r="C35" s="170">
        <f>IF(ISERROR(B35/SUM($B$32,$B$34,$B$35,$B$36,$B$38,$B$39)*100),0,B35/SUM($B$32,$B$34,$B$35,$B$36,$B$38,$B$39)*100)</f>
        <v>20.784995444553108</v>
      </c>
      <c r="D35" s="236"/>
      <c r="G35" s="16"/>
    </row>
    <row r="36" spans="1:7">
      <c r="A36" s="174" t="s">
        <v>75</v>
      </c>
      <c r="B36" s="34">
        <f>IF((($B$28-$B$32-$B$39-$B$77-$B$38)*C22/100)&lt;0,0,($B$28-$B$32-$B$39-$B$77-$B$38)*C22/100)</f>
        <v>128.21111111111111</v>
      </c>
      <c r="C36" s="170">
        <f>IF(ISERROR(B36/SUM($B$32,$B$34,$B$35,$B$36,$B$38,$B$39)*100),0,B36/SUM($B$32,$B$34,$B$35,$B$36,$B$38,$B$39)*100)</f>
        <v>3.0381779884149553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1589.1</v>
      </c>
      <c r="C39" s="170">
        <f>IF(ISERROR(B39/SUM($B$32,$B$34,$B$35,$B$36,$B$38,$B$39)*100),0,B39/SUM($B$32,$B$34,$B$35,$B$36,$B$38,$B$39)*100)</f>
        <v>37.656398104265399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1477</v>
      </c>
      <c r="C44" s="35" t="s">
        <v>111</v>
      </c>
      <c r="D44" s="177"/>
    </row>
    <row r="45" spans="1:7">
      <c r="A45" s="174" t="s">
        <v>72</v>
      </c>
      <c r="B45" s="34" t="str">
        <f t="shared" si="0"/>
        <v>-</v>
      </c>
      <c r="C45" s="35" t="s">
        <v>111</v>
      </c>
      <c r="D45" s="177"/>
    </row>
    <row r="46" spans="1:7">
      <c r="A46" s="174" t="s">
        <v>73</v>
      </c>
      <c r="B46" s="34">
        <f t="shared" si="0"/>
        <v>148.56208112874779</v>
      </c>
      <c r="C46" s="35" t="s">
        <v>111</v>
      </c>
      <c r="D46" s="177"/>
    </row>
    <row r="47" spans="1:7">
      <c r="A47" s="174" t="s">
        <v>74</v>
      </c>
      <c r="B47" s="34">
        <f t="shared" si="0"/>
        <v>877.12680776014122</v>
      </c>
      <c r="C47" s="35" t="s">
        <v>111</v>
      </c>
      <c r="D47" s="177"/>
    </row>
    <row r="48" spans="1:7">
      <c r="A48" s="174" t="s">
        <v>75</v>
      </c>
      <c r="B48" s="34">
        <f t="shared" si="0"/>
        <v>128.21111111111111</v>
      </c>
      <c r="C48" s="34">
        <f>B48*10</f>
        <v>1282.1111111111111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1589.1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7674.7129999999997</v>
      </c>
      <c r="C5" s="18">
        <f>IF(ISERROR('Eigen informatie GS &amp; warmtenet'!B58),0,'Eigen informatie GS &amp; warmtenet'!B58)</f>
        <v>0</v>
      </c>
      <c r="D5" s="31">
        <f>SUM(D6:D12)</f>
        <v>5570.9170659999991</v>
      </c>
      <c r="E5" s="18">
        <f>SUM(E6:E12)</f>
        <v>88.662581111977744</v>
      </c>
      <c r="F5" s="18">
        <f>SUM(F6:F12)</f>
        <v>1488.6311501318837</v>
      </c>
      <c r="G5" s="19"/>
      <c r="H5" s="18"/>
      <c r="I5" s="18"/>
      <c r="J5" s="18">
        <f>SUM(J6:J12)</f>
        <v>0</v>
      </c>
      <c r="K5" s="18"/>
      <c r="L5" s="18"/>
      <c r="M5" s="18"/>
      <c r="N5" s="18">
        <f>SUM(N6:N12)</f>
        <v>624.12605838028196</v>
      </c>
      <c r="O5" s="18">
        <f>B38*B39*B40</f>
        <v>0</v>
      </c>
      <c r="P5" s="18">
        <f>B46*B47*B48/1000-B46*B47*B48/1000/B49</f>
        <v>0</v>
      </c>
      <c r="R5" s="33"/>
    </row>
    <row r="6" spans="1:18">
      <c r="A6" s="33" t="s">
        <v>54</v>
      </c>
      <c r="B6" s="38">
        <f>B26</f>
        <v>3306.2959999999998</v>
      </c>
      <c r="C6" s="34"/>
      <c r="D6" s="38">
        <f>IF(ISERROR(TER_kantoor_gas_kWh/1000),0,TER_kantoor_gas_kWh/1000)*0.902</f>
        <v>2452.706674</v>
      </c>
      <c r="E6" s="34">
        <f>$C$26*'E Balans VL '!I12/100/3.6*1000000</f>
        <v>5.426301842348777</v>
      </c>
      <c r="F6" s="34">
        <f>$C$26*('E Balans VL '!L12+'E Balans VL '!N12)/100/3.6*1000000</f>
        <v>389.73450547962909</v>
      </c>
      <c r="G6" s="35"/>
      <c r="H6" s="34"/>
      <c r="I6" s="34"/>
      <c r="J6" s="34">
        <f>$C$26*('E Balans VL '!D12+'E Balans VL '!E12)/100/3.6*1000000</f>
        <v>0</v>
      </c>
      <c r="K6" s="34"/>
      <c r="L6" s="34"/>
      <c r="M6" s="34"/>
      <c r="N6" s="34">
        <f>$C$26*'E Balans VL '!Y12/100/3.6*1000000</f>
        <v>0.66802145020667558</v>
      </c>
      <c r="O6" s="34"/>
      <c r="P6" s="34"/>
      <c r="R6" s="33"/>
    </row>
    <row r="7" spans="1:18">
      <c r="A7" s="33" t="s">
        <v>53</v>
      </c>
      <c r="B7" s="38">
        <f t="shared" ref="B7:B12" si="0">B27</f>
        <v>1264.7190000000001</v>
      </c>
      <c r="C7" s="34"/>
      <c r="D7" s="38">
        <f>IF(ISERROR(TER_horeca_gas_kWh/1000),0,TER_horeca_gas_kWh/1000)*0.902</f>
        <v>1365.836362</v>
      </c>
      <c r="E7" s="34">
        <f>$C$27*'E Balans VL '!I9/100/3.6*1000000</f>
        <v>65.629764397476862</v>
      </c>
      <c r="F7" s="34">
        <f>$C$27*('E Balans VL '!L9+'E Balans VL '!N9)/100/3.6*1000000</f>
        <v>288.60979348465469</v>
      </c>
      <c r="G7" s="35"/>
      <c r="H7" s="34"/>
      <c r="I7" s="34"/>
      <c r="J7" s="34">
        <f>$C$27*('E Balans VL '!D9+'E Balans VL '!E9)/100/3.6*1000000</f>
        <v>0</v>
      </c>
      <c r="K7" s="34"/>
      <c r="L7" s="34"/>
      <c r="M7" s="34"/>
      <c r="N7" s="34">
        <f>$C$27*'E Balans VL '!Y9/100/3.6*1000000</f>
        <v>0.13355374681723256</v>
      </c>
      <c r="O7" s="34"/>
      <c r="P7" s="34"/>
      <c r="R7" s="33"/>
    </row>
    <row r="8" spans="1:18">
      <c r="A8" s="6" t="s">
        <v>52</v>
      </c>
      <c r="B8" s="38">
        <f t="shared" si="0"/>
        <v>1427.558</v>
      </c>
      <c r="C8" s="34"/>
      <c r="D8" s="38">
        <f>IF(ISERROR(TER_handel_gas_kWh/1000),0,TER_handel_gas_kWh/1000)*0.902</f>
        <v>720.37057399999992</v>
      </c>
      <c r="E8" s="34">
        <f>$C$28*'E Balans VL '!I13/100/3.6*1000000</f>
        <v>7.6875752535625255</v>
      </c>
      <c r="F8" s="34">
        <f>$C$28*('E Balans VL '!L13+'E Balans VL '!N13)/100/3.6*1000000</f>
        <v>291.12149940283956</v>
      </c>
      <c r="G8" s="35"/>
      <c r="H8" s="34"/>
      <c r="I8" s="34"/>
      <c r="J8" s="34">
        <f>$C$28*('E Balans VL '!D13+'E Balans VL '!E13)/100/3.6*1000000</f>
        <v>0</v>
      </c>
      <c r="K8" s="34"/>
      <c r="L8" s="34"/>
      <c r="M8" s="34"/>
      <c r="N8" s="34">
        <f>$C$28*'E Balans VL '!Y13/100/3.6*1000000</f>
        <v>7.0984920622190648</v>
      </c>
      <c r="O8" s="34"/>
      <c r="P8" s="34"/>
      <c r="R8" s="33"/>
    </row>
    <row r="9" spans="1:18">
      <c r="A9" s="33" t="s">
        <v>51</v>
      </c>
      <c r="B9" s="38">
        <f t="shared" si="0"/>
        <v>257.06799999999998</v>
      </c>
      <c r="C9" s="34"/>
      <c r="D9" s="38">
        <f>IF(ISERROR(TER_gezond_gas_kWh/1000),0,TER_gezond_gas_kWh/1000)*0.902</f>
        <v>72.166314</v>
      </c>
      <c r="E9" s="34">
        <f>$C$29*'E Balans VL '!I10/100/3.6*1000000</f>
        <v>0.25475731136519725</v>
      </c>
      <c r="F9" s="34">
        <f>$C$29*('E Balans VL '!L10+'E Balans VL '!N10)/100/3.6*1000000</f>
        <v>89.195186299168412</v>
      </c>
      <c r="G9" s="35"/>
      <c r="H9" s="34"/>
      <c r="I9" s="34"/>
      <c r="J9" s="34">
        <f>$C$29*('E Balans VL '!D10+'E Balans VL '!E10)/100/3.6*1000000</f>
        <v>0</v>
      </c>
      <c r="K9" s="34"/>
      <c r="L9" s="34"/>
      <c r="M9" s="34"/>
      <c r="N9" s="34">
        <f>$C$29*'E Balans VL '!Y10/100/3.6*1000000</f>
        <v>2.2151326863059277</v>
      </c>
      <c r="O9" s="34"/>
      <c r="P9" s="34"/>
      <c r="R9" s="33"/>
    </row>
    <row r="10" spans="1:18">
      <c r="A10" s="33" t="s">
        <v>50</v>
      </c>
      <c r="B10" s="38">
        <f t="shared" si="0"/>
        <v>1050.9739999999999</v>
      </c>
      <c r="C10" s="34"/>
      <c r="D10" s="38">
        <f>IF(ISERROR(TER_ander_gas_kWh/1000),0,TER_ander_gas_kWh/1000)*0.902</f>
        <v>512.21423000000004</v>
      </c>
      <c r="E10" s="34">
        <f>$C$30*'E Balans VL '!I14/100/3.6*1000000</f>
        <v>8.5980176937076536</v>
      </c>
      <c r="F10" s="34">
        <f>$C$30*('E Balans VL '!L14+'E Balans VL '!N14)/100/3.6*1000000</f>
        <v>307.26201067637533</v>
      </c>
      <c r="G10" s="35"/>
      <c r="H10" s="34"/>
      <c r="I10" s="34"/>
      <c r="J10" s="34">
        <f>$C$30*('E Balans VL '!D14+'E Balans VL '!E14)/100/3.6*1000000</f>
        <v>0</v>
      </c>
      <c r="K10" s="34"/>
      <c r="L10" s="34"/>
      <c r="M10" s="34"/>
      <c r="N10" s="34">
        <f>$C$30*'E Balans VL '!Y14/100/3.6*1000000</f>
        <v>606.2740985594653</v>
      </c>
      <c r="O10" s="34"/>
      <c r="P10" s="34"/>
      <c r="R10" s="33"/>
    </row>
    <row r="11" spans="1:18">
      <c r="A11" s="33" t="s">
        <v>55</v>
      </c>
      <c r="B11" s="38">
        <f t="shared" si="0"/>
        <v>263.50099999999998</v>
      </c>
      <c r="C11" s="34"/>
      <c r="D11" s="38">
        <f>IF(ISERROR(TER_onderwijs_gas_kWh/1000),0,TER_onderwijs_gas_kWh/1000)*0.902</f>
        <v>447.62291199999999</v>
      </c>
      <c r="E11" s="34">
        <f>$C$31*'E Balans VL '!I11/100/3.6*1000000</f>
        <v>0.16241089818897381</v>
      </c>
      <c r="F11" s="34">
        <f>$C$31*('E Balans VL '!L11+'E Balans VL '!N11)/100/3.6*1000000</f>
        <v>101.87375391155911</v>
      </c>
      <c r="G11" s="35"/>
      <c r="H11" s="34"/>
      <c r="I11" s="34"/>
      <c r="J11" s="34">
        <f>$C$31*('E Balans VL '!D11+'E Balans VL '!E11)/100/3.6*1000000</f>
        <v>0</v>
      </c>
      <c r="K11" s="34"/>
      <c r="L11" s="34"/>
      <c r="M11" s="34"/>
      <c r="N11" s="34">
        <f>$C$31*'E Balans VL '!Y11/100/3.6*1000000</f>
        <v>0.85711228594135314</v>
      </c>
      <c r="O11" s="34"/>
      <c r="P11" s="34"/>
      <c r="R11" s="33"/>
    </row>
    <row r="12" spans="1:18">
      <c r="A12" s="33" t="s">
        <v>260</v>
      </c>
      <c r="B12" s="38">
        <f t="shared" si="0"/>
        <v>104.59699999999999</v>
      </c>
      <c r="C12" s="34"/>
      <c r="D12" s="38">
        <f>IF(ISERROR(TER_rest_gas_kWh/1000),0,TER_rest_gas_kWh/1000)*0.902</f>
        <v>0</v>
      </c>
      <c r="E12" s="34">
        <f>$C$32*'E Balans VL '!I8/100/3.6*1000000</f>
        <v>0.90375371532774229</v>
      </c>
      <c r="F12" s="34">
        <f>$C$32*('E Balans VL '!L8+'E Balans VL '!N8)/100/3.6*1000000</f>
        <v>20.834400877657497</v>
      </c>
      <c r="G12" s="35"/>
      <c r="H12" s="34"/>
      <c r="I12" s="34"/>
      <c r="J12" s="34">
        <f>$C$32*('E Balans VL '!D8+'E Balans VL '!E8)/100/3.6*1000000</f>
        <v>0</v>
      </c>
      <c r="K12" s="34"/>
      <c r="L12" s="34"/>
      <c r="M12" s="34"/>
      <c r="N12" s="34">
        <f>$C$32*'E Balans VL '!Y8/100/3.6*1000000</f>
        <v>6.8796475893265212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7674.7129999999997</v>
      </c>
      <c r="C16" s="22">
        <f t="shared" ca="1" si="1"/>
        <v>0</v>
      </c>
      <c r="D16" s="22">
        <f t="shared" ca="1" si="1"/>
        <v>5570.9170659999991</v>
      </c>
      <c r="E16" s="22">
        <f t="shared" si="1"/>
        <v>88.662581111977744</v>
      </c>
      <c r="F16" s="22">
        <f t="shared" ca="1" si="1"/>
        <v>1488.6311501318837</v>
      </c>
      <c r="G16" s="22">
        <f t="shared" si="1"/>
        <v>0</v>
      </c>
      <c r="H16" s="22">
        <f t="shared" si="1"/>
        <v>0</v>
      </c>
      <c r="I16" s="22">
        <f t="shared" si="1"/>
        <v>0</v>
      </c>
      <c r="J16" s="22">
        <f t="shared" si="1"/>
        <v>0</v>
      </c>
      <c r="K16" s="22">
        <f t="shared" si="1"/>
        <v>0</v>
      </c>
      <c r="L16" s="22">
        <f t="shared" ca="1" si="1"/>
        <v>0</v>
      </c>
      <c r="M16" s="22">
        <f t="shared" si="1"/>
        <v>0</v>
      </c>
      <c r="N16" s="22">
        <f t="shared" ca="1" si="1"/>
        <v>624.12605838028196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0.20889749270153424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1603.2283029038699</v>
      </c>
      <c r="C20" s="24">
        <f t="shared" ref="C20:P20" ca="1" si="2">C16*C18</f>
        <v>0</v>
      </c>
      <c r="D20" s="24">
        <f t="shared" ca="1" si="2"/>
        <v>1125.3252473319999</v>
      </c>
      <c r="E20" s="24">
        <f t="shared" si="2"/>
        <v>20.126405912418949</v>
      </c>
      <c r="F20" s="24">
        <f t="shared" ca="1" si="2"/>
        <v>397.46451708521295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3306.2959999999998</v>
      </c>
      <c r="C26" s="40">
        <f>IF(ISERROR(B26*3.6/1000000/'E Balans VL '!Z12*100),0,B26*3.6/1000000/'E Balans VL '!Z12*100)</f>
        <v>7.0256418952498748E-2</v>
      </c>
      <c r="D26" s="240" t="s">
        <v>707</v>
      </c>
      <c r="F26" s="6"/>
    </row>
    <row r="27" spans="1:18">
      <c r="A27" s="234" t="s">
        <v>53</v>
      </c>
      <c r="B27" s="34">
        <f>IF(ISERROR(TER_horeca_ele_kWh/1000),0,TER_horeca_ele_kWh/1000)</f>
        <v>1264.7190000000001</v>
      </c>
      <c r="C27" s="40">
        <f>IF(ISERROR(B27*3.6/1000000/'E Balans VL '!Z9*100),0,B27*3.6/1000000/'E Balans VL '!Z9*100)</f>
        <v>9.9543165329614353E-2</v>
      </c>
      <c r="D27" s="240" t="s">
        <v>707</v>
      </c>
      <c r="F27" s="6"/>
    </row>
    <row r="28" spans="1:18">
      <c r="A28" s="174" t="s">
        <v>52</v>
      </c>
      <c r="B28" s="34">
        <f>IF(ISERROR(TER_handel_ele_kWh/1000),0,TER_handel_ele_kWh/1000)</f>
        <v>1427.558</v>
      </c>
      <c r="C28" s="40">
        <f>IF(ISERROR(B28*3.6/1000000/'E Balans VL '!Z13*100),0,B28*3.6/1000000/'E Balans VL '!Z13*100)</f>
        <v>3.9986663578879152E-2</v>
      </c>
      <c r="D28" s="240" t="s">
        <v>707</v>
      </c>
      <c r="F28" s="6"/>
    </row>
    <row r="29" spans="1:18">
      <c r="A29" s="234" t="s">
        <v>51</v>
      </c>
      <c r="B29" s="34">
        <f>IF(ISERROR(TER_gezond_ele_kWh/1000),0,TER_gezond_ele_kWh/1000)</f>
        <v>257.06799999999998</v>
      </c>
      <c r="C29" s="40">
        <f>IF(ISERROR(B29*3.6/1000000/'E Balans VL '!Z10*100),0,B29*3.6/1000000/'E Balans VL '!Z10*100)</f>
        <v>3.2886770623250107E-2</v>
      </c>
      <c r="D29" s="240" t="s">
        <v>707</v>
      </c>
      <c r="F29" s="6"/>
    </row>
    <row r="30" spans="1:18">
      <c r="A30" s="234" t="s">
        <v>50</v>
      </c>
      <c r="B30" s="34">
        <f>IF(ISERROR(TER_ander_ele_kWh/1000),0,TER_ander_ele_kWh/1000)</f>
        <v>1050.9739999999999</v>
      </c>
      <c r="C30" s="40">
        <f>IF(ISERROR(B30*3.6/1000000/'E Balans VL '!Z14*100),0,B30*3.6/1000000/'E Balans VL '!Z14*100)</f>
        <v>7.8603999538377309E-2</v>
      </c>
      <c r="D30" s="240" t="s">
        <v>707</v>
      </c>
      <c r="F30" s="6"/>
    </row>
    <row r="31" spans="1:18">
      <c r="A31" s="234" t="s">
        <v>55</v>
      </c>
      <c r="B31" s="34">
        <f>IF(ISERROR(TER_onderwijs_ele_kWh/1000),0,TER_onderwijs_ele_kWh/1000)</f>
        <v>263.50099999999998</v>
      </c>
      <c r="C31" s="40">
        <f>IF(ISERROR(B31*3.6/1000000/'E Balans VL '!Z11*100),0,B31*3.6/1000000/'E Balans VL '!Z11*100)</f>
        <v>5.5638577471038828E-2</v>
      </c>
      <c r="D31" s="240" t="s">
        <v>707</v>
      </c>
    </row>
    <row r="32" spans="1:18">
      <c r="A32" s="234" t="s">
        <v>260</v>
      </c>
      <c r="B32" s="34">
        <f>IF(ISERROR(TER_rest_ele_kWh/1000),0,TER_rest_ele_kWh/1000)</f>
        <v>104.59699999999999</v>
      </c>
      <c r="C32" s="40">
        <f>IF(ISERROR(B32*3.6/1000000/'E Balans VL '!Z8*100),0,B32*3.6/1000000/'E Balans VL '!Z8*100)</f>
        <v>8.6166298024879253E-4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387.57599999999996</v>
      </c>
      <c r="C5" s="18">
        <f>IF(ISERROR('Eigen informatie GS &amp; warmtenet'!B59),0,'Eigen informatie GS &amp; warmtenet'!B59)</f>
        <v>0</v>
      </c>
      <c r="D5" s="31">
        <f>SUM(D6:D15)</f>
        <v>170.60518199999999</v>
      </c>
      <c r="E5" s="18">
        <f>SUM(E6:E15)</f>
        <v>2.6819096307910981</v>
      </c>
      <c r="F5" s="18">
        <f>SUM(F6:F15)</f>
        <v>230.84662350383556</v>
      </c>
      <c r="G5" s="19"/>
      <c r="H5" s="18"/>
      <c r="I5" s="18"/>
      <c r="J5" s="18">
        <f>SUM(J6:J15)</f>
        <v>0.36640059531747193</v>
      </c>
      <c r="K5" s="18"/>
      <c r="L5" s="18"/>
      <c r="M5" s="18"/>
      <c r="N5" s="18">
        <f>SUM(N6:N15)</f>
        <v>22.556617920178656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11.606999999999999</v>
      </c>
      <c r="C8" s="34"/>
      <c r="D8" s="38">
        <f>IF( ISERROR(IND_metaal_Gas_kWH/1000),0,IND_metaal_Gas_kWH/1000)*0.902</f>
        <v>0</v>
      </c>
      <c r="E8" s="34">
        <f>C30*'E Balans VL '!I18/100/3.6*1000000</f>
        <v>0.10570285727520209</v>
      </c>
      <c r="F8" s="34">
        <f>C30*'E Balans VL '!L18/100/3.6*1000000+C30*'E Balans VL '!N18/100/3.6*1000000</f>
        <v>1.5308751549280606</v>
      </c>
      <c r="G8" s="35"/>
      <c r="H8" s="34"/>
      <c r="I8" s="34"/>
      <c r="J8" s="41">
        <f>C30*'E Balans VL '!D18/100/3.6*1000000+C30*'E Balans VL '!E18/100/3.6*1000000</f>
        <v>0.19033794724284961</v>
      </c>
      <c r="K8" s="34"/>
      <c r="L8" s="34"/>
      <c r="M8" s="34"/>
      <c r="N8" s="34">
        <f>C30*'E Balans VL '!Y18/100/3.6*1000000</f>
        <v>3.9888648131077765E-2</v>
      </c>
      <c r="O8" s="34"/>
      <c r="P8" s="34"/>
      <c r="R8" s="33"/>
    </row>
    <row r="9" spans="1:18">
      <c r="A9" s="6" t="s">
        <v>33</v>
      </c>
      <c r="B9" s="38">
        <f t="shared" si="0"/>
        <v>270.26900000000001</v>
      </c>
      <c r="C9" s="34"/>
      <c r="D9" s="38">
        <f>IF( ISERROR(IND_andere_gas_kWh/1000),0,IND_andere_gas_kWh/1000)*0.902</f>
        <v>137.94466399999999</v>
      </c>
      <c r="E9" s="34">
        <f>C31*'E Balans VL '!I19/100/3.6*1000000</f>
        <v>1.5621952083614083</v>
      </c>
      <c r="F9" s="34">
        <f>C31*'E Balans VL '!L19/100/3.6*1000000+C31*'E Balans VL '!N19/100/3.6*1000000</f>
        <v>215.01199432965998</v>
      </c>
      <c r="G9" s="35"/>
      <c r="H9" s="34"/>
      <c r="I9" s="34"/>
      <c r="J9" s="41">
        <f>C31*'E Balans VL '!D19/100/3.6*1000000+C31*'E Balans VL '!E19/100/3.6*1000000</f>
        <v>2.5564445336977826E-2</v>
      </c>
      <c r="K9" s="34"/>
      <c r="L9" s="34"/>
      <c r="M9" s="34"/>
      <c r="N9" s="34">
        <f>C31*'E Balans VL '!Y19/100/3.6*1000000</f>
        <v>20.476966813817285</v>
      </c>
      <c r="O9" s="34"/>
      <c r="P9" s="34"/>
      <c r="R9" s="33"/>
    </row>
    <row r="10" spans="1:18">
      <c r="A10" s="6" t="s">
        <v>41</v>
      </c>
      <c r="B10" s="38">
        <f t="shared" si="0"/>
        <v>75.831999999999994</v>
      </c>
      <c r="C10" s="34"/>
      <c r="D10" s="38">
        <f>IF( ISERROR(IND_voed_gas_kWh/1000),0,IND_voed_gas_kWh/1000)*0.902</f>
        <v>0</v>
      </c>
      <c r="E10" s="34">
        <f>C32*'E Balans VL '!I20/100/3.6*1000000</f>
        <v>0.74562694798649709</v>
      </c>
      <c r="F10" s="34">
        <f>C32*'E Balans VL '!L20/100/3.6*1000000+C32*'E Balans VL '!N20/100/3.6*1000000</f>
        <v>8.4221334081295023</v>
      </c>
      <c r="G10" s="35"/>
      <c r="H10" s="34"/>
      <c r="I10" s="34"/>
      <c r="J10" s="41">
        <f>C32*'E Balans VL '!D20/100/3.6*1000000+C32*'E Balans VL '!E20/100/3.6*1000000</f>
        <v>2.9888833765652896E-4</v>
      </c>
      <c r="K10" s="34"/>
      <c r="L10" s="34"/>
      <c r="M10" s="34"/>
      <c r="N10" s="34">
        <f>C32*'E Balans VL '!Y20/100/3.6*1000000</f>
        <v>1.1228935443338266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29.867999999999999</v>
      </c>
      <c r="C15" s="34"/>
      <c r="D15" s="38">
        <f>IF( ISERROR(IND_rest_gas_kWh/1000),0,IND_rest_gas_kWh/1000)*0.902</f>
        <v>32.660518000000003</v>
      </c>
      <c r="E15" s="34">
        <f>C37*'E Balans VL '!I15/100/3.6*1000000</f>
        <v>0.26838461716799056</v>
      </c>
      <c r="F15" s="34">
        <f>C37*'E Balans VL '!L15/100/3.6*1000000+C37*'E Balans VL '!N15/100/3.6*1000000</f>
        <v>5.8816206111180183</v>
      </c>
      <c r="G15" s="35"/>
      <c r="H15" s="34"/>
      <c r="I15" s="34"/>
      <c r="J15" s="41">
        <f>C37*'E Balans VL '!D15/100/3.6*1000000+C37*'E Balans VL '!E15/100/3.6*1000000</f>
        <v>0.15019931439998793</v>
      </c>
      <c r="K15" s="34"/>
      <c r="L15" s="34"/>
      <c r="M15" s="34"/>
      <c r="N15" s="34">
        <f>C37*'E Balans VL '!Y15/100/3.6*1000000</f>
        <v>0.9168689138964643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387.57599999999996</v>
      </c>
      <c r="C18" s="22">
        <f>C5+C16</f>
        <v>0</v>
      </c>
      <c r="D18" s="22">
        <f>MAX((D5+D16),0)</f>
        <v>170.60518199999999</v>
      </c>
      <c r="E18" s="22">
        <f>MAX((E5+E16),0)</f>
        <v>2.6819096307910981</v>
      </c>
      <c r="F18" s="22">
        <f>MAX((F5+F16),0)</f>
        <v>230.84662350383556</v>
      </c>
      <c r="G18" s="22"/>
      <c r="H18" s="22"/>
      <c r="I18" s="22"/>
      <c r="J18" s="22">
        <f>MAX((J5+J16),0)</f>
        <v>0.36640059531747193</v>
      </c>
      <c r="K18" s="22"/>
      <c r="L18" s="22">
        <f>MAX((L5+L16),0)</f>
        <v>0</v>
      </c>
      <c r="M18" s="22"/>
      <c r="N18" s="22">
        <f>MAX((N5+N16),0)</f>
        <v>22.556617920178656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0.20889749270153424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80.963654631289828</v>
      </c>
      <c r="C22" s="24">
        <f ca="1">C18*C20</f>
        <v>0</v>
      </c>
      <c r="D22" s="24">
        <f>D18*D20</f>
        <v>34.462246764</v>
      </c>
      <c r="E22" s="24">
        <f>E18*E20</f>
        <v>0.60879348618957929</v>
      </c>
      <c r="F22" s="24">
        <f>F18*F20</f>
        <v>61.636048475524099</v>
      </c>
      <c r="G22" s="24"/>
      <c r="H22" s="24"/>
      <c r="I22" s="24"/>
      <c r="J22" s="24">
        <f>J18*J20</f>
        <v>0.12970581074238505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11.606999999999999</v>
      </c>
      <c r="C30" s="40">
        <f>IF(ISERROR(B30*3.6/1000000/'E Balans VL '!Z18*100),0,B30*3.6/1000000/'E Balans VL '!Z18*100)</f>
        <v>6.4585193465691937E-4</v>
      </c>
      <c r="D30" s="240" t="s">
        <v>707</v>
      </c>
    </row>
    <row r="31" spans="1:18">
      <c r="A31" s="6" t="s">
        <v>33</v>
      </c>
      <c r="B31" s="38">
        <f>IF( ISERROR(IND_ander_ele_kWh/1000),0,IND_ander_ele_kWh/1000)</f>
        <v>270.26900000000001</v>
      </c>
      <c r="C31" s="40">
        <f>IF(ISERROR(B31*3.6/1000000/'E Balans VL '!Z19*100),0,B31*3.6/1000000/'E Balans VL '!Z19*100)</f>
        <v>1.2564096001791151E-2</v>
      </c>
      <c r="D31" s="240" t="s">
        <v>707</v>
      </c>
    </row>
    <row r="32" spans="1:18">
      <c r="A32" s="174" t="s">
        <v>41</v>
      </c>
      <c r="B32" s="38">
        <f>IF( ISERROR(IND_voed_ele_kWh/1000),0,IND_voed_ele_kWh/1000)</f>
        <v>75.831999999999994</v>
      </c>
      <c r="C32" s="40">
        <f>IF(ISERROR(B32*3.6/1000000/'E Balans VL '!Z20*100),0,B32*3.6/1000000/'E Balans VL '!Z20*100)</f>
        <v>2.6805080507900643E-3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29.867999999999999</v>
      </c>
      <c r="C37" s="40">
        <f>IF(ISERROR(B37*3.6/1000000/'E Balans VL '!Z15*100),0,B37*3.6/1000000/'E Balans VL '!Z15*100)</f>
        <v>2.2554752170786263E-4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53.55</v>
      </c>
      <c r="C5" s="18">
        <f>'Eigen informatie GS &amp; warmtenet'!B60</f>
        <v>0</v>
      </c>
      <c r="D5" s="31">
        <f>IF(ISERROR(SUM(LB_lb_gas_kWh,LB_rest_gas_kWh)/1000),0,SUM(LB_lb_gas_kWh,LB_rest_gas_kWh)/1000)*0.902</f>
        <v>74.987770000000012</v>
      </c>
      <c r="E5" s="18">
        <f>B17*'E Balans VL '!I25/3.6*1000000/100</f>
        <v>0.50447687967696453</v>
      </c>
      <c r="F5" s="18">
        <f>B17*('E Balans VL '!L25/3.6*1000000+'E Balans VL '!N25/3.6*1000000)/100</f>
        <v>174.75142168423272</v>
      </c>
      <c r="G5" s="19"/>
      <c r="H5" s="18"/>
      <c r="I5" s="18"/>
      <c r="J5" s="18">
        <f>('E Balans VL '!D25+'E Balans VL '!E25)/3.6*1000000*landbouw!B17/100</f>
        <v>6.6243954671499674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53.55</v>
      </c>
      <c r="C8" s="22">
        <f>C5+C6</f>
        <v>0</v>
      </c>
      <c r="D8" s="22">
        <f>MAX((D5+D6),0)</f>
        <v>74.987770000000012</v>
      </c>
      <c r="E8" s="22">
        <f>MAX((E5+E6),0)</f>
        <v>0.50447687967696453</v>
      </c>
      <c r="F8" s="22">
        <f>MAX((F5+F6),0)</f>
        <v>174.75142168423272</v>
      </c>
      <c r="G8" s="22"/>
      <c r="H8" s="22"/>
      <c r="I8" s="22"/>
      <c r="J8" s="22">
        <f>MAX((J5+J6),0)</f>
        <v>6.6243954671499674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0.20889749270153424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11.186460734167158</v>
      </c>
      <c r="C12" s="24">
        <f ca="1">C8*C10</f>
        <v>0</v>
      </c>
      <c r="D12" s="24">
        <f>D8*D10</f>
        <v>15.147529540000003</v>
      </c>
      <c r="E12" s="24">
        <f>E8*E10</f>
        <v>0.11451625168667096</v>
      </c>
      <c r="F12" s="24">
        <f>F8*F10</f>
        <v>46.658629589690143</v>
      </c>
      <c r="G12" s="24"/>
      <c r="H12" s="24"/>
      <c r="I12" s="24"/>
      <c r="J12" s="24">
        <f>J8*J10</f>
        <v>2.3450359953710884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7.2498142983541888E-3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27.541072364822284</v>
      </c>
      <c r="C26" s="250">
        <f>B26*'GWP N2O_CH4'!B5</f>
        <v>578.36251966126792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1.9256552414538399</v>
      </c>
      <c r="C27" s="250">
        <f>B27*'GWP N2O_CH4'!B5</f>
        <v>40.438760070530641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0.3828166112363004</v>
      </c>
      <c r="C28" s="250">
        <f>B28*'GWP N2O_CH4'!B4</f>
        <v>118.67314948325313</v>
      </c>
      <c r="D28" s="51"/>
    </row>
    <row r="29" spans="1:4">
      <c r="A29" s="42" t="s">
        <v>277</v>
      </c>
      <c r="B29" s="250">
        <f>B34*'ha_N2O bodem landbouw'!B4</f>
        <v>3.8221478439193435</v>
      </c>
      <c r="C29" s="250">
        <f>B29*'GWP N2O_CH4'!B4</f>
        <v>1184.8658316149965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1.0318595956242006E-3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7.5503805038131388E-6</v>
      </c>
      <c r="C5" s="447" t="s">
        <v>211</v>
      </c>
      <c r="D5" s="432">
        <f>SUM(D6:D11)</f>
        <v>2.3065207179566384E-5</v>
      </c>
      <c r="E5" s="432">
        <f>SUM(E6:E11)</f>
        <v>1.4267542555072494E-3</v>
      </c>
      <c r="F5" s="445" t="s">
        <v>211</v>
      </c>
      <c r="G5" s="432">
        <f>SUM(G6:G11)</f>
        <v>0.26407222702921035</v>
      </c>
      <c r="H5" s="432">
        <f>SUM(H6:H11)</f>
        <v>5.1800705980078778E-2</v>
      </c>
      <c r="I5" s="447" t="s">
        <v>211</v>
      </c>
      <c r="J5" s="447" t="s">
        <v>211</v>
      </c>
      <c r="K5" s="447" t="s">
        <v>211</v>
      </c>
      <c r="L5" s="447" t="s">
        <v>211</v>
      </c>
      <c r="M5" s="432">
        <f>SUM(M6:M11)</f>
        <v>1.4128728161678291E-2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2.4204938623454352E-6</v>
      </c>
      <c r="C6" s="433"/>
      <c r="D6" s="433">
        <f>vkm_2011_GW_PW*SUMIFS(TableVerdeelsleutelVkm[CNG],TableVerdeelsleutelVkm[Voertuigtype],"Lichte voertuigen")*SUMIFS(TableECFTransport[EnergieConsumptieFactor (PJ per km)],TableECFTransport[Index],CONCATENATE($A6,"_CNG_CNG"))</f>
        <v>5.9108865481159219E-6</v>
      </c>
      <c r="E6" s="435">
        <f>vkm_2011_GW_PW*SUMIFS(TableVerdeelsleutelVkm[LPG],TableVerdeelsleutelVkm[Voertuigtype],"Lichte voertuigen")*SUMIFS(TableECFTransport[EnergieConsumptieFactor (PJ per km)],TableECFTransport[Index],CONCATENATE($A6,"_LPG_LPG"))</f>
        <v>3.5036680793211364E-4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5.0649643618259119E-2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1.3273816455039462E-2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2.8626102643544158E-3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1.9301680154979621E-2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7.7874754332765543E-6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8.5988387900631726E-4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2.2595918000674313E-6</v>
      </c>
      <c r="C8" s="433"/>
      <c r="D8" s="435">
        <f>vkm_2011_NGW_PW*SUMIFS(TableVerdeelsleutelVkm[CNG],TableVerdeelsleutelVkm[Voertuigtype],"Lichte voertuigen")*SUMIFS(TableECFTransport[EnergieConsumptieFactor (PJ per km)],TableECFTransport[Index],CONCATENATE($A8,"_CNG_CNG"))</f>
        <v>9.9001595728131948E-6</v>
      </c>
      <c r="E8" s="435">
        <f>vkm_2011_NGW_PW*SUMIFS(TableVerdeelsleutelVkm[LPG],TableVerdeelsleutelVkm[Voertuigtype],"Lichte voertuigen")*SUMIFS(TableECFTransport[EnergieConsumptieFactor (PJ per km)],TableECFTransport[Index],CONCATENATE($A8,"_LPG_LPG"))</f>
        <v>5.383579497777746E-4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7.3521027555528931E-2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2.1289635640171438E-2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4.2477295229135107E-3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1.9457866744679187E-2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6.8353876326457566E-6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8.6679551438389915E-4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2.8702948414002719E-6</v>
      </c>
      <c r="C10" s="433"/>
      <c r="D10" s="435">
        <f>vkm_2011_SW_PW*SUMIFS(TableVerdeelsleutelVkm[CNG],TableVerdeelsleutelVkm[Voertuigtype],"Lichte voertuigen")*SUMIFS(TableECFTransport[EnergieConsumptieFactor (PJ per km)],TableECFTransport[Index],CONCATENATE($A10,"_CNG_CNG"))</f>
        <v>7.2541610586372685E-6</v>
      </c>
      <c r="E10" s="435">
        <f>vkm_2011_SW_PW*SUMIFS(TableVerdeelsleutelVkm[LPG],TableVerdeelsleutelVkm[Voertuigtype],"Lichte voertuigen")*SUMIFS(TableECFTransport[EnergieConsumptieFactor (PJ per km)],TableECFTransport[Index],CONCATENATE($A10,"_LPG_LPG"))</f>
        <v>5.3802949779736115E-4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7.0882377117852668E-2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1.7209678344192118E-2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3.9436177113830462E-3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3.0259631837910823E-2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1.2952677609837809E-5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1.3480912696371031E-3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2.0973279177258717</v>
      </c>
      <c r="C14" s="22"/>
      <c r="D14" s="22">
        <f t="shared" ref="D14:M14" si="0">((D5)*10^9/3600)+D12</f>
        <v>6.4070019943239958</v>
      </c>
      <c r="E14" s="22">
        <f t="shared" si="0"/>
        <v>396.32062652979147</v>
      </c>
      <c r="F14" s="22"/>
      <c r="G14" s="22">
        <f t="shared" si="0"/>
        <v>73353.396397002871</v>
      </c>
      <c r="H14" s="22">
        <f t="shared" si="0"/>
        <v>14389.084994466328</v>
      </c>
      <c r="I14" s="22"/>
      <c r="J14" s="22"/>
      <c r="K14" s="22"/>
      <c r="L14" s="22"/>
      <c r="M14" s="22">
        <f t="shared" si="0"/>
        <v>3924.646711577303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0.20889749270153424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0.43812654338586426</v>
      </c>
      <c r="C18" s="24"/>
      <c r="D18" s="24">
        <f t="shared" ref="D18:M18" si="1">D14*D16</f>
        <v>1.2942144028534472</v>
      </c>
      <c r="E18" s="24">
        <f t="shared" si="1"/>
        <v>89.96478222226267</v>
      </c>
      <c r="F18" s="24"/>
      <c r="G18" s="24">
        <f t="shared" si="1"/>
        <v>19585.356837999767</v>
      </c>
      <c r="H18" s="24">
        <f t="shared" si="1"/>
        <v>3582.8821636221155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3.9403460125870277E-3</v>
      </c>
      <c r="H50" s="323">
        <f t="shared" si="2"/>
        <v>0</v>
      </c>
      <c r="I50" s="323">
        <f t="shared" si="2"/>
        <v>0</v>
      </c>
      <c r="J50" s="323">
        <f t="shared" si="2"/>
        <v>0</v>
      </c>
      <c r="K50" s="323">
        <f t="shared" si="2"/>
        <v>0</v>
      </c>
      <c r="L50" s="323">
        <f t="shared" si="2"/>
        <v>0</v>
      </c>
      <c r="M50" s="323">
        <f t="shared" si="2"/>
        <v>1.7302709342002673E-4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3.9403460125870277E-3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1.7302709342002673E-4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1094.5405590519522</v>
      </c>
      <c r="H54" s="22">
        <f t="shared" si="3"/>
        <v>0</v>
      </c>
      <c r="I54" s="22">
        <f t="shared" si="3"/>
        <v>0</v>
      </c>
      <c r="J54" s="22">
        <f t="shared" si="3"/>
        <v>0</v>
      </c>
      <c r="K54" s="22">
        <f t="shared" si="3"/>
        <v>0</v>
      </c>
      <c r="L54" s="22">
        <f t="shared" si="3"/>
        <v>0</v>
      </c>
      <c r="M54" s="22">
        <f t="shared" si="3"/>
        <v>48.063081505562984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0.20889749270153424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292.24232926687125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1742.3490960882516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1742.3490960882516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2019-08-12T07:54:00Z</dcterms:modified>
</cp:coreProperties>
</file>