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<sst xmlns="http://schemas.openxmlformats.org/spreadsheetml/2006/main" count="2504" uniqueCount="961">
  <si>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</si>
  <si>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</si>
  <si>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</si>
  <si>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</si>
  <si>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</si>
  <si>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</si>
  <si>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</si>
  <si>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</si>
  <si>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</si>
  <si>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</si>
  <si>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</si>
  <si>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</si>
  <si>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</si>
  <si>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</si>
  <si>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</si>
  <si>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</si>
  <si>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</si>
  <si>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</si>
  <si>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</si>
  <si>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</si>
  <si>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</si>
  <si>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</si>
  <si>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</si>
  <si>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</si>
  <si>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</si>
  <si>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</si>
  <si>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</si>
  <si>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</si>
  <si>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</si>
  <si>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</si>
  <si>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</si>
  <si>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</si>
  <si>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</si>
  <si>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</si>
  <si>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</si>
  <si>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</si>
  <si>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</si>
  <si>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</si>
  <si>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</si>
  <si>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</si>
  <si>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</si>
  <si>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</si>
  <si>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</si>
  <si>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</si>
  <si>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</si>
  <si>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</si>
  <si>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</si>
  <si>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</si>
  <si>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</si>
  <si>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</si>
  <si>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</si>
  <si>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</si>
  <si>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</si>
  <si>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</si>
  <si>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</si>
  <si>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</si>
  <si>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</si>
  <si>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</si>
  <si>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</si>
  <si>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</si>
  <si>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</si>
  <si>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</si>
  <si>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</si>
  <si>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</si>
  <si>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</si>
  <si>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</si>
  <si>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</si>
  <si>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</si>
  <si>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</si>
  <si>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</si>
  <si>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</si>
  <si>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</si>
  <si>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</si>
  <si>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</si>
  <si>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</si>
  <si>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</si>
  <si>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</si>
  <si>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</si>
  <si>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</si>
  <si>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</si>
  <si>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</si>
  <si>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</si>
  <si>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</si>
  <si>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</si>
  <si>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</si>
  <si>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</si>
  <si>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</si>
  <si>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</si>
  <si>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</si>
  <si>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</si>
  <si>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</si>
  <si>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</si>
  <si>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</si>
  <si>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</si>
  <si>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</si>
  <si>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</si>
  <si>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</si>
  <si>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</si>
  <si>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</si>
  <si>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</si>
  <si>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</si>
  <si>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</si>
  <si>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</si>
  <si>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</si>
  <si>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</si>
  <si>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</si>
  <si>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</si>
  <si>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</si>
  <si>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</si>
  <si>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</si>
  <si>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</si>
  <si>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</si>
  <si>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</si>
  <si>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</si>
  <si>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</si>
  <si>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</si>
  <si>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</si>
  <si>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</si>
  <si>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</si>
  <si>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</si>
  <si>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</si>
  <si>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</si>
  <si>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</si>
  <si>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</si>
  <si>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</si>
  <si>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</si>
  <si>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</si>
  <si>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</si>
  <si>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</si>
  <si>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</si>
  <si>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</si>
  <si>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</si>
  <si>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</si>
  <si>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</si>
  <si>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</si>
  <si>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</si>
  <si>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</si>
  <si>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</si>
  <si>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</si>
  <si>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</si>
  <si>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</si>
  <si>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</si>
  <si>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</si>
  <si>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</si>
  <si>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</si>
  <si>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</si>
  <si>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</si>
  <si>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</si>
  <si>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</si>
  <si>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</si>
  <si>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</si>
  <si>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</si>
  <si>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</si>
  <si>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</si>
  <si>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</si>
  <si>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</si>
  <si>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</si>
  <si>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</si>
  <si>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</si>
  <si>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</si>
  <si>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</si>
  <si>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</si>
  <si>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</si>
  <si>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</si>
  <si>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</si>
  <si>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</si>
  <si>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</si>
  <si>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</si>
  <si>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</si>
  <si>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</si>
  <si>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</si>
  <si>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</si>
  <si>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</si>
  <si>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</si>
  <si>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</si>
  <si>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</si>
  <si>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</si>
  <si>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</si>
  <si>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</si>
  <si>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</si>
  <si>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</si>
  <si>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</si>
  <si>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</si>
  <si>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</si>
  <si>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</si>
  <si>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</si>
  <si>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</si>
  <si>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</si>
  <si>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</si>
  <si>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</si>
  <si>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</si>
  <si>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</si>
  <si>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</si>
  <si>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</si>
  <si>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</si>
  <si>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</si>
  <si>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</si>
  <si>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</si>
  <si>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</si>
  <si>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</si>
  <si>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</si>
  <si>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</si>
  <si>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</si>
  <si>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</si>
  <si>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</si>
  <si>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</si>
  <si>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</si>
  <si>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</si>
  <si>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</si>
  <si>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</si>
  <si>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</si>
  <si>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</si>
  <si>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</si>
  <si>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</si>
  <si>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</si>
  <si>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</si>
  <si>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</si>
  <si>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</si>
  <si>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</si>
  <si>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</si>
  <si>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</si>
  <si>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</si>
  <si>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</si>
  <si>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</si>
  <si>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</si>
  <si>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</si>
  <si>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</si>
  <si>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</si>
  <si>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</si>
  <si>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</si>
  <si>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</si>
  <si>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</si>
  <si>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</si>
  <si>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</si>
  <si>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</si>
  <si>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</si>
  <si>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</si>
  <si>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</si>
  <si>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</si>
  <si>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</si>
  <si>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</si>
  <si>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</si>
  <si>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</si>
  <si>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</si>
  <si>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</si>
  <si>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</si>
  <si>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</si>
  <si>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</si>
  <si>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</si>
  <si>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</si>
  <si>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</si>
  <si>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</si>
  <si>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</si>
  <si>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</si>
  <si>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</si>
  <si>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</si>
  <si>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</si>
  <si>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</si>
  <si>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</si>
  <si>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</si>
  <si>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</si>
  <si>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</si>
  <si>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</si>
  <si>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</si>
  <si>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</si>
  <si>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</si>
  <si>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</si>
  <si>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</si>
  <si>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</si>
  <si>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</si>
  <si>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</si>
  <si>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</si>
  <si>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</si>
  <si>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</si>
  <si>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</si>
  <si>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</si>
  <si>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</si>
  <si>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</si>
  <si>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</si>
  <si>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</si>
  <si>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</si>
  <si>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</si>
  <si>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</si>
  <si>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</si>
  <si>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</si>
  <si>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</si>
  <si>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</si>
  <si>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</si>
  <si>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</si>
  <si>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</si>
  <si>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</si>
  <si>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</si>
  <si>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</si>
  <si>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</si>
  <si>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</si>
  <si>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</si>
  <si>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</si>
  <si>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</si>
  <si>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</si>
  <si>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</si>
  <si>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</si>
  <si>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</si>
  <si>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</si>
  <si>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</si>
  <si>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</si>
  <si>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</si>
  <si>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</si>
  <si>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</si>
  <si>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</si>
  <si>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</si>
  <si>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</si>
  <si>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</si>
  <si>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</si>
  <si>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</si>
  <si>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</si>
  <si>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</si>
  <si>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</si>
  <si>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</si>
  <si>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</si>
  <si>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</si>
  <si>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</si>
  <si>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</si>
  <si>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</si>
  <si>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</si>
  <si>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</si>
  <si>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</si>
  <si>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</si>
  <si>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</si>
  <si>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</si>
  <si>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</si>
  <si>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</si>
  <si>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</si>
  <si>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</si>
  <si>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</si>
  <si>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</si>
  <si>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</si>
  <si>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</si>
  <si>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</si>
  <si>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</si>
  <si>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</si>
  <si>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</si>
  <si>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</si>
  <si>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</si>
  <si>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</si>
  <si>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</si>
  <si>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</si>
  <si>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</si>
  <si>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</si>
  <si>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</si>
  <si>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</si>
  <si>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</si>
  <si>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</si>
  <si>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</si>
  <si>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</si>
  <si>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</si>
  <si>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</si>
  <si>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</si>
  <si>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</si>
  <si>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</si>
  <si>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</si>
  <si>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</si>
  <si>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</si>
  <si>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</si>
  <si>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</si>
  <si>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</si>
  <si>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</si>
  <si>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</si>
  <si>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</si>
  <si>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</si>
  <si>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</si>
  <si>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</si>
  <si>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</si>
  <si>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</si>
  <si>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</si>
  <si>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</si>
  <si>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</si>
  <si>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</si>
  <si>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</si>
  <si>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</si>
  <si>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</si>
  <si>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</si>
  <si>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</si>
  <si>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</si>
  <si>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</si>
  <si>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</si>
  <si>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</si>
  <si>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</si>
  <si>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</si>
  <si>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</si>
  <si>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</si>
  <si>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</si>
  <si>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</si>
  <si>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</si>
  <si>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</si>
  <si>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</si>
  <si>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</si>
  <si>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</si>
  <si>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</si>
  <si>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</si>
  <si>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</si>
  <si>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</si>
  <si>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</si>
  <si>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</si>
  <si>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</si>
  <si>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</si>
  <si>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</si>
  <si>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</si>
  <si>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</si>
  <si>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</si>
  <si>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</si>
  <si>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</si>
  <si>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</si>
  <si>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</si>
  <si>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</si>
  <si>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</si>
  <si>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</si>
  <si>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</si>
  <si>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</si>
  <si>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</si>
  <si>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</si>
  <si>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</si>
  <si>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</si>
  <si>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</si>
  <si>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</si>
  <si>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</si>
  <si>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</si>
  <si>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</si>
  <si>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</si>
  <si>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</si>
  <si>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</si>
  <si>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</si>
  <si>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</si>
  <si>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</si>
  <si>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</si>
  <si>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</si>
  <si>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</si>
  <si>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</si>
  <si>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</si>
  <si>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</si>
  <si>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</si>
  <si>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</si>
  <si>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</si>
  <si>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</si>
  <si>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</si>
  <si>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</si>
  <si>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</si>
  <si>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</si>
  <si>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</si>
  <si>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</si>
  <si>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</si>
  <si>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</si>
  <si>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</si>
  <si>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</si>
  <si>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</si>
  <si>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</si>
  <si>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</si>
  <si>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</si>
  <si>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</si>
  <si>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</si>
  <si>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</si>
  <si>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</si>
  <si>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</si>
  <si>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</si>
  <si>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</si>
  <si>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</si>
  <si>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</si>
  <si>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</si>
  <si>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</si>
  <si>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</si>
  <si>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</si>
  <si>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</si>
  <si>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</si>
  <si>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</si>
  <si>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</si>
  <si>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</si>
  <si>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</si>
  <si>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</si>
  <si>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</si>
  <si>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</si>
  <si>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</si>
  <si>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</si>
  <si>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</si>
  <si>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</si>
  <si>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</si>
  <si>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</si>
  <si>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</si>
  <si>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</si>
  <si>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</si>
  <si>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</si>
  <si>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</si>
  <si>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</si>
  <si>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</si>
  <si>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</si>
  <si>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</si>
  <si>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</si>
  <si>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</si>
  <si>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</si>
  <si>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</si>
  <si>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</si>
  <si>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</si>
  <si>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</si>
  <si>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</si>
  <si>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</si>
  <si>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</si>
  <si>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</si>
  <si>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</si>
  <si>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</si>
  <si>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</si>
  <si>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</si>
  <si>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</si>
  <si>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</si>
  <si>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</si>
  <si>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</si>
  <si>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</si>
  <si>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</si>
  <si>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</si>
  <si>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</si>
  <si>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</si>
  <si>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</si>
  <si>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</si>
  <si>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</si>
  <si>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</si>
  <si>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</si>
  <si>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</si>
  <si>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</si>
  <si>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</si>
  <si>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</si>
  <si>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</si>
  <si>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</si>
  <si>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</si>
  <si>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</si>
  <si>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</si>
  <si>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</si>
  <si>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</si>
  <si>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</si>
  <si>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</si>
  <si>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</si>
  <si>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</si>
  <si>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</si>
  <si>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</si>
  <si>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</si>
  <si>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</si>
  <si>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</si>
  <si>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</si>
  <si>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</si>
  <si>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</si>
  <si>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</si>
  <si>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</si>
  <si>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</si>
  <si>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</si>
  <si>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</si>
  <si>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</si>
  <si>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</si>
  <si>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</si>
  <si>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</si>
  <si>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</si>
  <si>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</si>
  <si>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</si>
  <si>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</si>
  <si>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</si>
  <si>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</si>
  <si>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</si>
  <si>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</si>
  <si>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</si>
  <si>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</si>
  <si>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</si>
  <si>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</si>
  <si>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</si>
  <si>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</si>
  <si>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</si>
  <si>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</si>
  <si>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</si>
  <si>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</si>
  <si>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</si>
  <si>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</si>
  <si>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</si>
  <si>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</si>
  <si>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</si>
  <si>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</si>
  <si>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</si>
  <si>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</si>
  <si>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</si>
  <si>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</si>
  <si>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</si>
  <si>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</si>
  <si>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</si>
  <si>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</si>
  <si>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</si>
  <si>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</si>
  <si>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</si>
  <si>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</si>
  <si>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</si>
  <si>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</si>
  <si>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</si>
  <si>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</si>
  <si>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</si>
  <si>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</si>
  <si>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</si>
  <si>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</si>
  <si>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</si>
  <si>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</si>
  <si>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</si>
  <si>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</si>
  <si>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</si>
  <si>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</si>
  <si>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</si>
  <si>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</si>
  <si>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</si>
  <si>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</si>
  <si>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</si>
  <si>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</si>
  <si>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</si>
  <si>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</si>
  <si>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</si>
  <si>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</si>
  <si>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</si>
  <si>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</si>
  <si>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</si>
  <si>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</si>
  <si>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</si>
  <si>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</si>
  <si>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</si>
  <si>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</si>
  <si>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</si>
  <si>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</si>
  <si>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</si>
  <si>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</si>
  <si>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</si>
  <si>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</si>
  <si>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</si>
  <si>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</si>
  <si>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</si>
  <si>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</si>
  <si>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</si>
  <si>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</si>
  <si>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</si>
  <si>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</si>
  <si>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</si>
  <si>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</si>
  <si>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</si>
  <si>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</si>
  <si>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</si>
  <si>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</si>
  <si>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</si>
  <si>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</si>
  <si>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</si>
  <si>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</si>
  <si>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</si>
  <si>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</si>
  <si>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</si>
  <si>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</si>
  <si>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</si>
  <si>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</si>
  <si>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</si>
  <si>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</si>
  <si>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</si>
  <si>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</si>
  <si>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</si>
  <si>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</si>
  <si>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</si>
  <si>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</si>
  <si>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</si>
  <si>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</si>
  <si>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</si>
  <si>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</si>
  <si>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</si>
  <si>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</si>
  <si>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</si>
  <si>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</si>
  <si>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</si>
  <si>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</si>
  <si>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</si>
  <si>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</si>
  <si>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</si>
  <si>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</si>
  <si>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</si>
  <si>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</si>
  <si>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</si>
  <si>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</si>
  <si>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</si>
  <si>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</si>
  <si>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</si>
  <si>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</si>
  <si>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</si>
  <si>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</si>
  <si>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</si>
  <si>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</si>
  <si>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</si>
  <si>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</si>
  <si>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</si>
  <si>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</si>
  <si>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</si>
  <si>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</si>
  <si>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</si>
  <si>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</si>
  <si>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</si>
  <si>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</si>
  <si>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</si>
  <si>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</si>
  <si>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</si>
  <si>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</si>
  <si>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</si>
  <si>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</si>
  <si>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</si>
  <si>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</si>
  <si>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</si>
  <si>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</si>
  <si>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</si>
  <si>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</si>
  <si>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</si>
  <si>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</si>
  <si>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</si>
  <si>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</si>
  <si>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</si>
  <si>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</si>
  <si>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</si>
  <si>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</si>
  <si>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</si>
  <si>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</si>
  <si>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</si>
  <si>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</si>
  <si>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</si>
  <si>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</si>
  <si>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</si>
  <si>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</si>
  <si>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</si>
  <si>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</si>
  <si>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</si>
  <si>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</si>
  <si>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</si>
  <si>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</si>
  <si>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</si>
  <si>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</si>
  <si>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</si>
  <si>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</si>
  <si>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</si>
  <si>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</si>
  <si>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</si>
  <si>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</si>
  <si>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</si>
  <si>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</si>
  <si>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</si>
  <si>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</si>
  <si>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</si>
  <si>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</si>
  <si>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</si>
  <si>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</si>
  <si>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</si>
  <si>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</si>
  <si>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</si>
  <si>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</si>
  <si>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</si>
  <si>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</si>
  <si>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</si>
  <si>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</si>
  <si>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</si>
  <si>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</si>
  <si>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</si>
  <si>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</si>
  <si>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</si>
  <si>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</si>
  <si>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</si>
  <si>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</si>
  <si>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</si>
  <si>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</si>
  <si>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</si>
  <si>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</si>
  <si>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</si>
  <si>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</si>
  <si>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</si>
  <si>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</si>
  <si>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</si>
  <si>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</si>
  <si>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</si>
  <si>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</si>
  <si>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</si>
  <si>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</si>
  <si>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</si>
  <si>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</si>
  <si>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</si>
  <si>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</si>
  <si>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</si>
  <si>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</si>
  <si>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</si>
  <si>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</si>
  <si>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</si>
  <si>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</si>
  <si>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</si>
  <si>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</si>
  <si>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</si>
  <si>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</si>
  <si>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</si>
  <si>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</si>
  <si>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</si>
  <si>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</si>
  <si>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</si>
  <si>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</si>
  <si>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</si>
  <si>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</si>
  <si>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</si>
  <si>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</si>
  <si>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</si>
  <si>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</si>
  <si>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</si>
  <si>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</si>
  <si>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</si>
  <si>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</si>
  <si>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</si>
  <si>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</si>
  <si>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</si>
  <si>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</si>
  <si>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</si>
  <si>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</si>
  <si>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</si>
  <si>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</si>
  <si>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</si>
  <si>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</si>
  <si>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</si>
  <si>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</si>
  <si>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</si>
  <si>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</si>
  <si>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</si>
  <si>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</si>
  <si>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</si>
  <si>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</si>
  <si>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</si>
  <si>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</si>
  <si>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</si>
  <si>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</si>
  <si>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</si>
  <si>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</si>
  <si>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</si>
  <si>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</si>
  <si>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</si>
  <si>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</si>
  <si>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</si>
  <si>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</si>
  <si>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</si>
  <si>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</si>
  <si>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</si>
  <si>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</si>
  <si>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</si>
  <si>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</si>
  <si>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</si>
  <si>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</si>
  <si>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</si>
  <si>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</si>
  <si>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</si>
  <si>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</si>
  <si>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</si>
  <si>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</si>
  <si>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</si>
  <si>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</si>
  <si>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</si>
  <si>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</si>
  <si>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</si>
  <si>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</si>
  <si>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</si>
  <si>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</si>
  <si>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</si>
  <si>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</si>
  <si>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</si>
  <si>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</si>
  <si>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</si>
  <si>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</si>
  <si>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</si>
  <si>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</si>
  <si>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</si>
  <si>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</si>
  <si>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</si>
  <si>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</si>
  <si>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</si>
  <si>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</si>
  <si>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</si>
  <si>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</si>
  <si>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</si>
  <si>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</si>
  <si>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</si>
  <si>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</si>
  <si>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</si>
  <si>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</si>
  <si>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</si>
  <si>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</si>
  <si>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</si>
  <si>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</si>
  <si>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</si>
  <si>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</si>
  <si>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</si>
  <si>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</si>
  <si>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</si>
  <si>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</si>
  <si>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</si>
  <si>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</si>
  <si>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</si>
  <si>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</si>
  <si>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</si>
  <si>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</si>
  <si>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</si>
  <si>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</si>
  <si>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</si>
  <si>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</si>
  <si>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</si>
  <si>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</si>
  <si>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</si>
  <si>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</si>
  <si>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</si>
  <si>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</si>
  <si>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</si>
  <si>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</si>
  <si>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</si>
  <si>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</si>
  <si>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</si>
  <si>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</si>
  <si>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</si>
  <si>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</si>
  <si>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</si>
  <si>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</si>
  <si>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</si>
  <si>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</si>
  <si>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</si>
  <si>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</si>
  <si>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</si>
  <si>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</si>
  <si>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</si>
  <si>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</si>
  <si>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</si>
  <si>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</si>
  <si>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</si>
  <si>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</si>
  <si>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</si>
  <si>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</si>
  <si>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</si>
  <si>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</si>
  <si>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</si>
  <si>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</si>
  <si>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</si>
  <si>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</si>
  <si>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</si>
  <si>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</si>
  <si>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</si>
  <si>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</si>
  <si>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</si>
  <si>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24062</t>
  </si>
  <si>
    <t>LEUVEN</t>
  </si>
  <si>
    <t>Paarden&amp;pony's 200 - 600 kg</t>
  </si>
  <si>
    <t>Paarden&amp;pony's &lt; 200 kg</t>
  </si>
  <si>
    <t>op basis van VEA (maart 2018) en Inventaris Hernieuwbare Energiebronnen (juni 2018)</t>
  </si>
  <si>
    <t>VEA (juni 2018)</t>
  </si>
  <si>
    <t>Sterrekes Kinderdagverblijf vzw</t>
  </si>
  <si>
    <t>Geldenaaksebaan 438 , 3001 Heverlee</t>
  </si>
  <si>
    <t>WKK-0431 De Sterrekes Kinderdagverblijf</t>
  </si>
  <si>
    <t>interne verbrandingsmotor</t>
  </si>
  <si>
    <t>WKK interne verbrandinsgmotor (gas)</t>
  </si>
  <si>
    <t>IVERLEK</t>
  </si>
  <si>
    <t>Aquafin NV</t>
  </si>
  <si>
    <t>Dijkstraat 8, 2630 Aartselaar</t>
  </si>
  <si>
    <t>BGS-0016 RWZI Leuven (GSC rest)</t>
  </si>
  <si>
    <t>biogas - RWZI</t>
  </si>
  <si>
    <t>niet WKK interne verbrandingsmotor (gas)</t>
  </si>
  <si>
    <t>Aarschotsesteenweg 208, 3010 Kessel-Lo</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</si>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</sst>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24062</v>
      </c>
      <c r="B6" s="397"/>
      <c r="C6" s="398"/>
    </row>
    <row r="7" spans="1:7" s="395" customFormat="1" ht="15.75" customHeight="1">
      <c r="A7" s="399" t="str">
        <f>txtMunicipality</f>
        <v>LEUVEN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0.2178307177432707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0.2178307177432707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24062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48121</v>
      </c>
      <c r="C9" s="338">
        <v>48019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1075</v>
      </c>
    </row>
    <row r="15" spans="1:6">
      <c r="A15" s="1286" t="s">
        <v>184</v>
      </c>
      <c r="B15" s="335">
        <v>1</v>
      </c>
    </row>
    <row r="16" spans="1:6">
      <c r="A16" s="1286" t="s">
        <v>6</v>
      </c>
      <c r="B16" s="335">
        <v>104</v>
      </c>
    </row>
    <row r="17" spans="1:6">
      <c r="A17" s="1286" t="s">
        <v>7</v>
      </c>
      <c r="B17" s="335">
        <v>143</v>
      </c>
    </row>
    <row r="18" spans="1:6">
      <c r="A18" s="1286" t="s">
        <v>8</v>
      </c>
      <c r="B18" s="335">
        <v>172</v>
      </c>
    </row>
    <row r="19" spans="1:6">
      <c r="A19" s="1286" t="s">
        <v>9</v>
      </c>
      <c r="B19" s="335">
        <v>156</v>
      </c>
    </row>
    <row r="20" spans="1:6">
      <c r="A20" s="1286" t="s">
        <v>10</v>
      </c>
      <c r="B20" s="335">
        <v>124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255</v>
      </c>
    </row>
    <row r="27" spans="1:6">
      <c r="A27" s="1286" t="s">
        <v>17</v>
      </c>
      <c r="B27" s="335">
        <v>0</v>
      </c>
    </row>
    <row r="28" spans="1:6" s="341" customFormat="1">
      <c r="A28" s="1287" t="s">
        <v>18</v>
      </c>
      <c r="B28" s="1287">
        <v>0</v>
      </c>
    </row>
    <row r="29" spans="1:6">
      <c r="A29" s="1287" t="s">
        <v>944</v>
      </c>
      <c r="B29" s="1287">
        <v>60</v>
      </c>
      <c r="C29" s="341"/>
      <c r="D29" s="341"/>
      <c r="E29" s="341"/>
      <c r="F29" s="341"/>
    </row>
    <row r="30" spans="1:6">
      <c r="A30" s="1282" t="s">
        <v>945</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11</v>
      </c>
      <c r="D36" s="335">
        <v>4154197.1094473</v>
      </c>
      <c r="E36" s="335">
        <v>10</v>
      </c>
      <c r="F36" s="335">
        <v>826429.34437867405</v>
      </c>
    </row>
    <row r="37" spans="1:6">
      <c r="A37" s="1286" t="s">
        <v>25</v>
      </c>
      <c r="B37" s="1286" t="s">
        <v>28</v>
      </c>
      <c r="C37" s="335">
        <v>0</v>
      </c>
      <c r="D37" s="335">
        <v>0</v>
      </c>
      <c r="E37" s="335">
        <v>0</v>
      </c>
      <c r="F37" s="335">
        <v>0</v>
      </c>
    </row>
    <row r="38" spans="1:6">
      <c r="A38" s="1286" t="s">
        <v>25</v>
      </c>
      <c r="B38" s="1286" t="s">
        <v>29</v>
      </c>
      <c r="C38" s="335">
        <v>5</v>
      </c>
      <c r="D38" s="335">
        <v>1508097.24351958</v>
      </c>
      <c r="E38" s="335">
        <v>11</v>
      </c>
      <c r="F38" s="335">
        <v>108631.95602306</v>
      </c>
    </row>
    <row r="39" spans="1:6">
      <c r="A39" s="1286" t="s">
        <v>30</v>
      </c>
      <c r="B39" s="1286" t="s">
        <v>31</v>
      </c>
      <c r="C39" s="335">
        <v>28647</v>
      </c>
      <c r="D39" s="335">
        <v>483039256.82123297</v>
      </c>
      <c r="E39" s="335">
        <v>46415</v>
      </c>
      <c r="F39" s="335">
        <v>146442925.05365399</v>
      </c>
    </row>
    <row r="40" spans="1:6">
      <c r="A40" s="1286" t="s">
        <v>30</v>
      </c>
      <c r="B40" s="1286" t="s">
        <v>29</v>
      </c>
      <c r="C40" s="335">
        <v>0</v>
      </c>
      <c r="D40" s="335">
        <v>0</v>
      </c>
      <c r="E40" s="335">
        <v>0</v>
      </c>
      <c r="F40" s="335">
        <v>0</v>
      </c>
    </row>
    <row r="41" spans="1:6">
      <c r="A41" s="1286" t="s">
        <v>32</v>
      </c>
      <c r="B41" s="1286" t="s">
        <v>33</v>
      </c>
      <c r="C41" s="335">
        <v>230</v>
      </c>
      <c r="D41" s="335">
        <v>30745245.901176501</v>
      </c>
      <c r="E41" s="335">
        <v>499</v>
      </c>
      <c r="F41" s="335">
        <v>38422334.774264596</v>
      </c>
    </row>
    <row r="42" spans="1:6">
      <c r="A42" s="1286" t="s">
        <v>32</v>
      </c>
      <c r="B42" s="1286" t="s">
        <v>34</v>
      </c>
      <c r="C42" s="335">
        <v>0</v>
      </c>
      <c r="D42" s="335">
        <v>0</v>
      </c>
      <c r="E42" s="335">
        <v>3</v>
      </c>
      <c r="F42" s="335">
        <v>32513.162410261801</v>
      </c>
    </row>
    <row r="43" spans="1:6">
      <c r="A43" s="1286" t="s">
        <v>32</v>
      </c>
      <c r="B43" s="1286" t="s">
        <v>35</v>
      </c>
      <c r="C43" s="335">
        <v>0</v>
      </c>
      <c r="D43" s="335">
        <v>0</v>
      </c>
      <c r="E43" s="335">
        <v>0</v>
      </c>
      <c r="F43" s="335">
        <v>0</v>
      </c>
    </row>
    <row r="44" spans="1:6">
      <c r="A44" s="1286" t="s">
        <v>32</v>
      </c>
      <c r="B44" s="1286" t="s">
        <v>36</v>
      </c>
      <c r="C44" s="335">
        <v>6</v>
      </c>
      <c r="D44" s="335">
        <v>255146.41812907599</v>
      </c>
      <c r="E44" s="335">
        <v>44</v>
      </c>
      <c r="F44" s="335">
        <v>2865919.61580473</v>
      </c>
    </row>
    <row r="45" spans="1:6">
      <c r="A45" s="1286" t="s">
        <v>32</v>
      </c>
      <c r="B45" s="1286" t="s">
        <v>37</v>
      </c>
      <c r="C45" s="335">
        <v>3</v>
      </c>
      <c r="D45" s="335">
        <v>75095.300001144904</v>
      </c>
      <c r="E45" s="335">
        <v>8</v>
      </c>
      <c r="F45" s="335">
        <v>50962.217279311102</v>
      </c>
    </row>
    <row r="46" spans="1:6">
      <c r="A46" s="1286" t="s">
        <v>32</v>
      </c>
      <c r="B46" s="1286" t="s">
        <v>38</v>
      </c>
      <c r="C46" s="335">
        <v>0</v>
      </c>
      <c r="D46" s="335">
        <v>0</v>
      </c>
      <c r="E46" s="335">
        <v>0</v>
      </c>
      <c r="F46" s="335">
        <v>0</v>
      </c>
    </row>
    <row r="47" spans="1:6">
      <c r="A47" s="1286" t="s">
        <v>32</v>
      </c>
      <c r="B47" s="1286" t="s">
        <v>39</v>
      </c>
      <c r="C47" s="335">
        <v>27</v>
      </c>
      <c r="D47" s="335">
        <v>1119306.2991224001</v>
      </c>
      <c r="E47" s="335">
        <v>47</v>
      </c>
      <c r="F47" s="335">
        <v>1298283.8931146001</v>
      </c>
    </row>
    <row r="48" spans="1:6">
      <c r="A48" s="1286" t="s">
        <v>32</v>
      </c>
      <c r="B48" s="1286" t="s">
        <v>29</v>
      </c>
      <c r="C48" s="335">
        <v>113</v>
      </c>
      <c r="D48" s="335">
        <v>83717480.820106402</v>
      </c>
      <c r="E48" s="335">
        <v>119</v>
      </c>
      <c r="F48" s="335">
        <v>46839454.622813404</v>
      </c>
    </row>
    <row r="49" spans="1:6">
      <c r="A49" s="1286" t="s">
        <v>32</v>
      </c>
      <c r="B49" s="1286" t="s">
        <v>40</v>
      </c>
      <c r="C49" s="335">
        <v>3</v>
      </c>
      <c r="D49" s="335">
        <v>76691.459281239397</v>
      </c>
      <c r="E49" s="335">
        <v>11</v>
      </c>
      <c r="F49" s="335">
        <v>95831.963243606195</v>
      </c>
    </row>
    <row r="50" spans="1:6">
      <c r="A50" s="1286" t="s">
        <v>32</v>
      </c>
      <c r="B50" s="1286" t="s">
        <v>41</v>
      </c>
      <c r="C50" s="335">
        <v>52</v>
      </c>
      <c r="D50" s="335">
        <v>8548954.0606909804</v>
      </c>
      <c r="E50" s="335">
        <v>74</v>
      </c>
      <c r="F50" s="335">
        <v>19909820.120563</v>
      </c>
    </row>
    <row r="51" spans="1:6">
      <c r="A51" s="1286" t="s">
        <v>42</v>
      </c>
      <c r="B51" s="1286" t="s">
        <v>43</v>
      </c>
      <c r="C51" s="335">
        <v>4</v>
      </c>
      <c r="D51" s="335">
        <v>130041.727490474</v>
      </c>
      <c r="E51" s="335">
        <v>25</v>
      </c>
      <c r="F51" s="335">
        <v>743076.91972628795</v>
      </c>
    </row>
    <row r="52" spans="1:6">
      <c r="A52" s="1286" t="s">
        <v>42</v>
      </c>
      <c r="B52" s="1286" t="s">
        <v>29</v>
      </c>
      <c r="C52" s="335">
        <v>16</v>
      </c>
      <c r="D52" s="335">
        <v>2523877.2384270402</v>
      </c>
      <c r="E52" s="335">
        <v>19</v>
      </c>
      <c r="F52" s="335">
        <v>1215648.89591341</v>
      </c>
    </row>
    <row r="53" spans="1:6">
      <c r="A53" s="1286" t="s">
        <v>44</v>
      </c>
      <c r="B53" s="1286" t="s">
        <v>45</v>
      </c>
      <c r="C53" s="335">
        <v>1029</v>
      </c>
      <c r="D53" s="335">
        <v>35549175.886268303</v>
      </c>
      <c r="E53" s="335">
        <v>1909</v>
      </c>
      <c r="F53" s="335">
        <v>11340437.918845501</v>
      </c>
    </row>
    <row r="54" spans="1:6">
      <c r="A54" s="1286" t="s">
        <v>46</v>
      </c>
      <c r="B54" s="1286" t="s">
        <v>47</v>
      </c>
      <c r="C54" s="335">
        <v>0</v>
      </c>
      <c r="D54" s="335">
        <v>0</v>
      </c>
      <c r="E54" s="335">
        <v>1</v>
      </c>
      <c r="F54" s="335">
        <v>5577260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287</v>
      </c>
      <c r="D57" s="335">
        <v>23799244.075588498</v>
      </c>
      <c r="E57" s="335">
        <v>508</v>
      </c>
      <c r="F57" s="335">
        <v>23849737.697484501</v>
      </c>
    </row>
    <row r="58" spans="1:6">
      <c r="A58" s="1286" t="s">
        <v>49</v>
      </c>
      <c r="B58" s="1286" t="s">
        <v>51</v>
      </c>
      <c r="C58" s="335">
        <v>267</v>
      </c>
      <c r="D58" s="335">
        <v>21801014.938693602</v>
      </c>
      <c r="E58" s="335">
        <v>407</v>
      </c>
      <c r="F58" s="335">
        <v>22443041.329059999</v>
      </c>
    </row>
    <row r="59" spans="1:6">
      <c r="A59" s="1286" t="s">
        <v>49</v>
      </c>
      <c r="B59" s="1286" t="s">
        <v>52</v>
      </c>
      <c r="C59" s="335">
        <v>646</v>
      </c>
      <c r="D59" s="335">
        <v>30082806.283421699</v>
      </c>
      <c r="E59" s="335">
        <v>1207</v>
      </c>
      <c r="F59" s="335">
        <v>45131600.682764299</v>
      </c>
    </row>
    <row r="60" spans="1:6">
      <c r="A60" s="1286" t="s">
        <v>49</v>
      </c>
      <c r="B60" s="1286" t="s">
        <v>53</v>
      </c>
      <c r="C60" s="335">
        <v>574</v>
      </c>
      <c r="D60" s="335">
        <v>191592604.555338</v>
      </c>
      <c r="E60" s="335">
        <v>679</v>
      </c>
      <c r="F60" s="335">
        <v>219758492.843391</v>
      </c>
    </row>
    <row r="61" spans="1:6">
      <c r="A61" s="1286" t="s">
        <v>49</v>
      </c>
      <c r="B61" s="1286" t="s">
        <v>54</v>
      </c>
      <c r="C61" s="335">
        <v>1595</v>
      </c>
      <c r="D61" s="335">
        <v>152752122.38463899</v>
      </c>
      <c r="E61" s="335">
        <v>3351</v>
      </c>
      <c r="F61" s="335">
        <v>119284129.86849099</v>
      </c>
    </row>
    <row r="62" spans="1:6">
      <c r="A62" s="1286" t="s">
        <v>49</v>
      </c>
      <c r="B62" s="1286" t="s">
        <v>55</v>
      </c>
      <c r="C62" s="335">
        <v>85</v>
      </c>
      <c r="D62" s="335">
        <v>23000607.436082698</v>
      </c>
      <c r="E62" s="335">
        <v>135</v>
      </c>
      <c r="F62" s="335">
        <v>10113379.988278</v>
      </c>
    </row>
    <row r="63" spans="1:6">
      <c r="A63" s="1286" t="s">
        <v>49</v>
      </c>
      <c r="B63" s="1286" t="s">
        <v>29</v>
      </c>
      <c r="C63" s="335">
        <v>398</v>
      </c>
      <c r="D63" s="335">
        <v>84004247.095253795</v>
      </c>
      <c r="E63" s="335">
        <v>420</v>
      </c>
      <c r="F63" s="335">
        <v>13949379.9049224</v>
      </c>
    </row>
    <row r="64" spans="1:6">
      <c r="A64" s="1286" t="s">
        <v>56</v>
      </c>
      <c r="B64" s="1286" t="s">
        <v>57</v>
      </c>
      <c r="C64" s="335">
        <v>0</v>
      </c>
      <c r="D64" s="335">
        <v>0</v>
      </c>
      <c r="E64" s="335">
        <v>0</v>
      </c>
      <c r="F64" s="335">
        <v>0</v>
      </c>
    </row>
    <row r="65" spans="1:6">
      <c r="A65" s="1286" t="s">
        <v>56</v>
      </c>
      <c r="B65" s="1286" t="s">
        <v>29</v>
      </c>
      <c r="C65" s="335">
        <v>5</v>
      </c>
      <c r="D65" s="335">
        <v>1388205.26302162</v>
      </c>
      <c r="E65" s="335">
        <v>8</v>
      </c>
      <c r="F65" s="335">
        <v>67719.708204075199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11</v>
      </c>
      <c r="D68" s="335">
        <v>1468286.50987656</v>
      </c>
      <c r="E68" s="335">
        <v>22</v>
      </c>
      <c r="F68" s="335">
        <v>1194608.2194718199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173974490</v>
      </c>
      <c r="E73" s="335">
        <v>199881438.02433458</v>
      </c>
    </row>
    <row r="74" spans="1:6">
      <c r="A74" s="1286" t="s">
        <v>64</v>
      </c>
      <c r="B74" s="1286" t="s">
        <v>772</v>
      </c>
      <c r="C74" s="1297" t="s">
        <v>766</v>
      </c>
      <c r="D74" s="335">
        <v>5621185.0456416924</v>
      </c>
      <c r="E74" s="335">
        <v>6542007.0372506846</v>
      </c>
    </row>
    <row r="75" spans="1:6">
      <c r="A75" s="1286" t="s">
        <v>65</v>
      </c>
      <c r="B75" s="1286" t="s">
        <v>771</v>
      </c>
      <c r="C75" s="1297" t="s">
        <v>767</v>
      </c>
      <c r="D75" s="335">
        <v>109962217</v>
      </c>
      <c r="E75" s="335">
        <v>126372646.0874704</v>
      </c>
    </row>
    <row r="76" spans="1:6">
      <c r="A76" s="1286" t="s">
        <v>65</v>
      </c>
      <c r="B76" s="1286" t="s">
        <v>772</v>
      </c>
      <c r="C76" s="1297" t="s">
        <v>768</v>
      </c>
      <c r="D76" s="335">
        <v>378316.2</v>
      </c>
      <c r="E76" s="335">
        <v>818371.3312086598</v>
      </c>
    </row>
    <row r="77" spans="1:6">
      <c r="A77" s="1286" t="s">
        <v>66</v>
      </c>
      <c r="B77" s="1286" t="s">
        <v>771</v>
      </c>
      <c r="C77" s="1297" t="s">
        <v>769</v>
      </c>
      <c r="D77" s="335">
        <v>366300888</v>
      </c>
      <c r="E77" s="335">
        <v>394661232.63375366</v>
      </c>
    </row>
    <row r="78" spans="1:6">
      <c r="A78" s="1282" t="s">
        <v>66</v>
      </c>
      <c r="B78" s="1282" t="s">
        <v>772</v>
      </c>
      <c r="C78" s="1282" t="s">
        <v>770</v>
      </c>
      <c r="D78" s="1282">
        <v>34471722</v>
      </c>
      <c r="E78" s="1282">
        <v>37352927.311322875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6881815.9087166153</v>
      </c>
      <c r="C83" s="335">
        <v>6670104.9103517374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24</v>
      </c>
    </row>
    <row r="90" spans="1:6">
      <c r="A90" s="1286" t="s">
        <v>567</v>
      </c>
      <c r="B90" s="1301">
        <v>0</v>
      </c>
    </row>
    <row r="91" spans="1:6">
      <c r="A91" s="1286" t="s">
        <v>68</v>
      </c>
      <c r="B91" s="335">
        <v>6571.8591774793167</v>
      </c>
    </row>
    <row r="92" spans="1:6">
      <c r="A92" s="1282" t="s">
        <v>69</v>
      </c>
      <c r="B92" s="338">
        <v>2574.5846147351699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21126</v>
      </c>
    </row>
    <row r="98" spans="1:6">
      <c r="A98" s="1286" t="s">
        <v>72</v>
      </c>
      <c r="B98" s="335">
        <v>27</v>
      </c>
    </row>
    <row r="99" spans="1:6">
      <c r="A99" s="1286" t="s">
        <v>73</v>
      </c>
      <c r="B99" s="335">
        <v>177</v>
      </c>
    </row>
    <row r="100" spans="1:6">
      <c r="A100" s="1286" t="s">
        <v>74</v>
      </c>
      <c r="B100" s="335">
        <v>3087</v>
      </c>
    </row>
    <row r="101" spans="1:6">
      <c r="A101" s="1286" t="s">
        <v>75</v>
      </c>
      <c r="B101" s="335">
        <v>75</v>
      </c>
    </row>
    <row r="102" spans="1:6">
      <c r="A102" s="1286" t="s">
        <v>76</v>
      </c>
      <c r="B102" s="335">
        <v>1071</v>
      </c>
    </row>
    <row r="103" spans="1:6">
      <c r="A103" s="1286" t="s">
        <v>77</v>
      </c>
      <c r="B103" s="335">
        <v>267</v>
      </c>
    </row>
    <row r="104" spans="1:6">
      <c r="A104" s="1286" t="s">
        <v>78</v>
      </c>
      <c r="B104" s="335">
        <v>12359</v>
      </c>
    </row>
    <row r="105" spans="1:6">
      <c r="A105" s="1282" t="s">
        <v>79</v>
      </c>
      <c r="B105" s="1282">
        <v>69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20</v>
      </c>
      <c r="C123" s="335">
        <v>27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233</v>
      </c>
    </row>
    <row r="130" spans="1:6">
      <c r="A130" s="1286" t="s">
        <v>295</v>
      </c>
      <c r="B130" s="335">
        <v>6</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737357.29666714312</v>
      </c>
      <c r="C3" s="44" t="s">
        <v>170</v>
      </c>
      <c r="D3" s="44"/>
      <c r="E3" s="157"/>
      <c r="F3" s="44"/>
      <c r="G3" s="44"/>
      <c r="H3" s="44"/>
      <c r="I3" s="44"/>
      <c r="J3" s="44"/>
      <c r="K3" s="97"/>
    </row>
    <row r="4" spans="1:11">
      <c r="A4" s="365" t="s">
        <v>171</v>
      </c>
      <c r="B4" s="50">
        <f>IF(ISERROR('SEAP template'!B78+'SEAP template'!C78),0,'SEAP template'!B78+'SEAP template'!C78)</f>
        <v>10577.968792214486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0.8377058823529413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0.2178307177432707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1.1967226890756306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5.0357142857142865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5577.26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5577.26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0.2178307177432707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1214.8985488408341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146442.92505365398</v>
      </c>
      <c r="C5" s="18">
        <f>IF(ISERROR('Eigen informatie GS &amp; warmtenet'!B57),0,'Eigen informatie GS &amp; warmtenet'!B57)</f>
        <v>0</v>
      </c>
      <c r="D5" s="31">
        <f>(SUM(HH_hh_gas_kWh,HH_rest_gas_kWh)/1000)*0.902</f>
        <v>435701.40965275216</v>
      </c>
      <c r="E5" s="18">
        <f>B46*B57</f>
        <v>16181.07732547538</v>
      </c>
      <c r="F5" s="18">
        <f>B51*B62</f>
        <v>110347.92716750024</v>
      </c>
      <c r="G5" s="19"/>
      <c r="H5" s="18"/>
      <c r="I5" s="18"/>
      <c r="J5" s="18">
        <f>B50*B61+C50*C61</f>
        <v>0</v>
      </c>
      <c r="K5" s="18"/>
      <c r="L5" s="18"/>
      <c r="M5" s="18"/>
      <c r="N5" s="18">
        <f>B48*B59+C48*C59</f>
        <v>22266.413238974124</v>
      </c>
      <c r="O5" s="18">
        <f>B69*B70*B71</f>
        <v>406.4666666666667</v>
      </c>
      <c r="P5" s="18">
        <f>B77*B78*B79/1000-B77*B78*B79/1000/B80</f>
        <v>610.13333333333333</v>
      </c>
    </row>
    <row r="6" spans="1:16">
      <c r="A6" s="17" t="s">
        <v>639</v>
      </c>
      <c r="B6" s="780">
        <f>kWh_PV_kleiner_dan_10kW</f>
        <v>6571.8591774793167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153014.78423113329</v>
      </c>
      <c r="C8" s="22">
        <f>C5</f>
        <v>0</v>
      </c>
      <c r="D8" s="22">
        <f>D5</f>
        <v>435701.40965275216</v>
      </c>
      <c r="E8" s="22">
        <f>E5</f>
        <v>16181.07732547538</v>
      </c>
      <c r="F8" s="22">
        <f>F5</f>
        <v>110347.92716750024</v>
      </c>
      <c r="G8" s="22"/>
      <c r="H8" s="22"/>
      <c r="I8" s="22"/>
      <c r="J8" s="22">
        <f>J5</f>
        <v>0</v>
      </c>
      <c r="K8" s="22"/>
      <c r="L8" s="22">
        <f>L5</f>
        <v>0</v>
      </c>
      <c r="M8" s="22">
        <f>M5</f>
        <v>0</v>
      </c>
      <c r="N8" s="22">
        <f>N5</f>
        <v>22266.413238974124</v>
      </c>
      <c r="O8" s="22">
        <f>O5</f>
        <v>406.4666666666667</v>
      </c>
      <c r="P8" s="22">
        <f>P5</f>
        <v>610.13333333333333</v>
      </c>
    </row>
    <row r="9" spans="1:16">
      <c r="B9" s="20"/>
      <c r="C9" s="20"/>
      <c r="D9" s="262"/>
      <c r="E9" s="20"/>
      <c r="F9" s="20"/>
      <c r="G9" s="20"/>
      <c r="H9" s="20"/>
      <c r="I9" s="20"/>
      <c r="J9" s="20"/>
      <c r="K9" s="20"/>
      <c r="L9" s="20"/>
      <c r="M9" s="20"/>
      <c r="N9" s="20"/>
      <c r="O9" s="20"/>
      <c r="P9" s="20"/>
    </row>
    <row r="10" spans="1:16">
      <c r="A10" s="25" t="s">
        <v>214</v>
      </c>
      <c r="B10" s="26">
        <f ca="1">'EF ele_warmte'!B12</f>
        <v>0.2178307177432707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33331.320274399463</v>
      </c>
      <c r="C12" s="24">
        <f ca="1">C10*C8</f>
        <v>0</v>
      </c>
      <c r="D12" s="24">
        <f>D8*D10</f>
        <v>88011.684749855936</v>
      </c>
      <c r="E12" s="24">
        <f>E10*E8</f>
        <v>3673.1045528829113</v>
      </c>
      <c r="F12" s="24">
        <f>F10*F8</f>
        <v>29462.896553722567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21126</v>
      </c>
      <c r="C18" s="169" t="s">
        <v>111</v>
      </c>
      <c r="D18" s="231"/>
      <c r="E18" s="16"/>
    </row>
    <row r="19" spans="1:7">
      <c r="A19" s="174" t="s">
        <v>72</v>
      </c>
      <c r="B19" s="38">
        <f>aantalw2001_ander</f>
        <v>27</v>
      </c>
      <c r="C19" s="169" t="s">
        <v>111</v>
      </c>
      <c r="D19" s="232"/>
      <c r="E19" s="16"/>
    </row>
    <row r="20" spans="1:7">
      <c r="A20" s="174" t="s">
        <v>73</v>
      </c>
      <c r="B20" s="38">
        <f>aantalw2001_propaan</f>
        <v>177</v>
      </c>
      <c r="C20" s="170">
        <f>IF(ISERROR(B20/SUM($B$20,$B$21,$B$22)*100),0,B20/SUM($B$20,$B$21,$B$22)*100)</f>
        <v>5.3009883198562449</v>
      </c>
      <c r="D20" s="232"/>
      <c r="E20" s="16"/>
    </row>
    <row r="21" spans="1:7">
      <c r="A21" s="174" t="s">
        <v>74</v>
      </c>
      <c r="B21" s="38">
        <f>aantalw2001_elektriciteit</f>
        <v>3087</v>
      </c>
      <c r="C21" s="170">
        <f>IF(ISERROR(B21/SUM($B$20,$B$21,$B$22)*100),0,B21/SUM($B$20,$B$21,$B$22)*100)</f>
        <v>92.452830188679243</v>
      </c>
      <c r="D21" s="232"/>
      <c r="E21" s="16"/>
    </row>
    <row r="22" spans="1:7">
      <c r="A22" s="174" t="s">
        <v>75</v>
      </c>
      <c r="B22" s="38">
        <f>aantalw2001_hout</f>
        <v>75</v>
      </c>
      <c r="C22" s="170">
        <f>IF(ISERROR(B22/SUM($B$20,$B$21,$B$22)*100),0,B22/SUM($B$20,$B$21,$B$22)*100)</f>
        <v>2.2461814914645104</v>
      </c>
      <c r="D22" s="232"/>
      <c r="E22" s="16"/>
    </row>
    <row r="23" spans="1:7">
      <c r="A23" s="174" t="s">
        <v>76</v>
      </c>
      <c r="B23" s="38">
        <f>aantalw2001_niet_gespec</f>
        <v>1071</v>
      </c>
      <c r="C23" s="169" t="s">
        <v>111</v>
      </c>
      <c r="D23" s="231"/>
      <c r="E23" s="16"/>
    </row>
    <row r="24" spans="1:7">
      <c r="A24" s="174" t="s">
        <v>77</v>
      </c>
      <c r="B24" s="38">
        <f>aantalw2001_steenkool</f>
        <v>267</v>
      </c>
      <c r="C24" s="169" t="s">
        <v>111</v>
      </c>
      <c r="D24" s="232"/>
      <c r="E24" s="16"/>
    </row>
    <row r="25" spans="1:7">
      <c r="A25" s="174" t="s">
        <v>78</v>
      </c>
      <c r="B25" s="38">
        <f>aantalw2001_stookolie</f>
        <v>12359</v>
      </c>
      <c r="C25" s="169" t="s">
        <v>111</v>
      </c>
      <c r="D25" s="231"/>
      <c r="E25" s="53"/>
    </row>
    <row r="26" spans="1:7">
      <c r="A26" s="174" t="s">
        <v>79</v>
      </c>
      <c r="B26" s="38">
        <f>aantalw2001_WP</f>
        <v>69</v>
      </c>
      <c r="C26" s="169" t="s">
        <v>111</v>
      </c>
      <c r="D26" s="231"/>
      <c r="E26" s="16"/>
    </row>
    <row r="27" spans="1:7" s="16" customFormat="1">
      <c r="A27" s="174"/>
      <c r="B27" s="30"/>
      <c r="C27" s="37"/>
      <c r="D27" s="231"/>
    </row>
    <row r="28" spans="1:7" s="16" customFormat="1">
      <c r="A28" s="233" t="s">
        <v>665</v>
      </c>
      <c r="B28" s="38">
        <f>aantalHuishoudens2011</f>
        <v>48121</v>
      </c>
      <c r="C28" s="37"/>
      <c r="D28" s="231"/>
    </row>
    <row r="29" spans="1:7" s="16" customFormat="1">
      <c r="A29" s="233" t="s">
        <v>666</v>
      </c>
      <c r="B29" s="38">
        <f>SUM(HH_hh_gas_aantal,HH_rest_gas_aantal)</f>
        <v>28647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28647</v>
      </c>
      <c r="C32" s="170">
        <f>IF(ISERROR(B32/SUM($B$32,$B$34,$B$35,$B$36,$B$38,$B$39)*100),0,B32/SUM($B$32,$B$34,$B$35,$B$36,$B$38,$B$39)*100)</f>
        <v>59.570795816090993</v>
      </c>
      <c r="D32" s="236"/>
      <c r="G32" s="16"/>
    </row>
    <row r="33" spans="1:7">
      <c r="A33" s="174" t="s">
        <v>72</v>
      </c>
      <c r="B33" s="35" t="s">
        <v>111</v>
      </c>
      <c r="C33" s="170"/>
      <c r="D33" s="236"/>
      <c r="G33" s="16"/>
    </row>
    <row r="34" spans="1:7">
      <c r="A34" s="174" t="s">
        <v>73</v>
      </c>
      <c r="B34" s="34">
        <f>IF((($B$28-$B$32-$B$39-$B$77-$B$38)*C20/100)&lt;0,0,($B$28-$B$32-$B$39-$B$77-$B$38)*C20/100)</f>
        <v>734.2876010781672</v>
      </c>
      <c r="C34" s="170">
        <f>IF(ISERROR(B34/SUM($B$32,$B$34,$B$35,$B$36,$B$38,$B$39)*100),0,B34/SUM($B$32,$B$34,$B$35,$B$36,$B$38,$B$39)*100)</f>
        <v>1.5269346442599496</v>
      </c>
      <c r="D34" s="236"/>
      <c r="G34" s="16"/>
    </row>
    <row r="35" spans="1:7">
      <c r="A35" s="174" t="s">
        <v>74</v>
      </c>
      <c r="B35" s="34">
        <f>IF((($B$28-$B$32-$B$39-$B$77-$B$38)*C21/100)&lt;0,0,($B$28-$B$32-$B$39-$B$77-$B$38)*C21/100)</f>
        <v>12806.473584905663</v>
      </c>
      <c r="C35" s="170">
        <f>IF(ISERROR(B35/SUM($B$32,$B$34,$B$35,$B$36,$B$38,$B$39)*100),0,B35/SUM($B$32,$B$34,$B$35,$B$36,$B$38,$B$39)*100)</f>
        <v>26.630775405821836</v>
      </c>
      <c r="D35" s="236"/>
      <c r="G35" s="16"/>
    </row>
    <row r="36" spans="1:7">
      <c r="A36" s="174" t="s">
        <v>75</v>
      </c>
      <c r="B36" s="34">
        <f>IF((($B$28-$B$32-$B$39-$B$77-$B$38)*C22/100)&lt;0,0,($B$28-$B$32-$B$39-$B$77-$B$38)*C22/100)</f>
        <v>311.13881401617255</v>
      </c>
      <c r="C36" s="170">
        <f>IF(ISERROR(B36/SUM($B$32,$B$34,$B$35,$B$36,$B$38,$B$39)*100),0,B36/SUM($B$32,$B$34,$B$35,$B$36,$B$38,$B$39)*100)</f>
        <v>0.64700620519489394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5590.0999999999995</v>
      </c>
      <c r="C39" s="170">
        <f>IF(ISERROR(B39/SUM($B$32,$B$34,$B$35,$B$36,$B$38,$B$39)*100),0,B39/SUM($B$32,$B$34,$B$35,$B$36,$B$38,$B$39)*100)</f>
        <v>11.624487928632327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28647</v>
      </c>
      <c r="C44" s="35" t="s">
        <v>111</v>
      </c>
      <c r="D44" s="177"/>
    </row>
    <row r="45" spans="1:7">
      <c r="A45" s="174" t="s">
        <v>72</v>
      </c>
      <c r="B45" s="34" t="str">
        <f t="shared" si="0"/>
        <v>-</v>
      </c>
      <c r="C45" s="35" t="s">
        <v>111</v>
      </c>
      <c r="D45" s="177"/>
    </row>
    <row r="46" spans="1:7">
      <c r="A46" s="174" t="s">
        <v>73</v>
      </c>
      <c r="B46" s="34">
        <f t="shared" si="0"/>
        <v>734.2876010781672</v>
      </c>
      <c r="C46" s="35" t="s">
        <v>111</v>
      </c>
      <c r="D46" s="177"/>
    </row>
    <row r="47" spans="1:7">
      <c r="A47" s="174" t="s">
        <v>74</v>
      </c>
      <c r="B47" s="34">
        <f t="shared" si="0"/>
        <v>12806.473584905663</v>
      </c>
      <c r="C47" s="35" t="s">
        <v>111</v>
      </c>
      <c r="D47" s="177"/>
    </row>
    <row r="48" spans="1:7">
      <c r="A48" s="174" t="s">
        <v>75</v>
      </c>
      <c r="B48" s="34">
        <f t="shared" si="0"/>
        <v>311.13881401617255</v>
      </c>
      <c r="C48" s="34">
        <f>B48*10</f>
        <v>3111.3881401617255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5590.0999999999995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454529.76231439115</v>
      </c>
      <c r="C5" s="18">
        <f>IF(ISERROR('Eigen informatie GS &amp; warmtenet'!B58),0,'Eigen informatie GS &amp; warmtenet'!B58)</f>
        <v>0</v>
      </c>
      <c r="D5" s="31">
        <f>SUM(D6:D12)</f>
        <v>475383.44738565362</v>
      </c>
      <c r="E5" s="18">
        <f>SUM(E6:E12)</f>
        <v>12186.801076002532</v>
      </c>
      <c r="F5" s="18">
        <f>SUM(F6:F12)</f>
        <v>94861.831908440974</v>
      </c>
      <c r="G5" s="19"/>
      <c r="H5" s="18"/>
      <c r="I5" s="18"/>
      <c r="J5" s="18">
        <f>SUM(J6:J12)</f>
        <v>0</v>
      </c>
      <c r="K5" s="18"/>
      <c r="L5" s="18"/>
      <c r="M5" s="18"/>
      <c r="N5" s="18">
        <f>SUM(N6:N12)</f>
        <v>15173.669620739898</v>
      </c>
      <c r="O5" s="18">
        <f>B38*B39*B40</f>
        <v>9.3800000000000008</v>
      </c>
      <c r="P5" s="18">
        <f>B46*B47*B48/1000-B46*B47*B48/1000/B49</f>
        <v>0</v>
      </c>
      <c r="R5" s="33"/>
    </row>
    <row r="6" spans="1:18">
      <c r="A6" s="33" t="s">
        <v>54</v>
      </c>
      <c r="B6" s="38">
        <f>B26</f>
        <v>119284.129868491</v>
      </c>
      <c r="C6" s="34"/>
      <c r="D6" s="38">
        <f>IF(ISERROR(TER_kantoor_gas_kWh/1000),0,TER_kantoor_gas_kWh/1000)*0.902</f>
        <v>137782.41439094438</v>
      </c>
      <c r="E6" s="34">
        <f>$C$26*'E Balans VL '!I12/100/3.6*1000000</f>
        <v>195.76943312648459</v>
      </c>
      <c r="F6" s="34">
        <f>$C$26*('E Balans VL '!L12+'E Balans VL '!N12)/100/3.6*1000000</f>
        <v>14060.792308330589</v>
      </c>
      <c r="G6" s="35"/>
      <c r="H6" s="34"/>
      <c r="I6" s="34"/>
      <c r="J6" s="34">
        <f>$C$26*('E Balans VL '!D12+'E Balans VL '!E12)/100/3.6*1000000</f>
        <v>0</v>
      </c>
      <c r="K6" s="34"/>
      <c r="L6" s="34"/>
      <c r="M6" s="34"/>
      <c r="N6" s="34">
        <f>$C$26*'E Balans VL '!Y12/100/3.6*1000000</f>
        <v>24.100793583330343</v>
      </c>
      <c r="O6" s="34"/>
      <c r="P6" s="34"/>
      <c r="R6" s="33"/>
    </row>
    <row r="7" spans="1:18">
      <c r="A7" s="33" t="s">
        <v>53</v>
      </c>
      <c r="B7" s="38">
        <f t="shared" ref="B7:B12" si="0">B27</f>
        <v>219758.492843391</v>
      </c>
      <c r="C7" s="34"/>
      <c r="D7" s="38">
        <f>IF(ISERROR(TER_horeca_gas_kWh/1000),0,TER_horeca_gas_kWh/1000)*0.902</f>
        <v>172816.52930891488</v>
      </c>
      <c r="E7" s="34">
        <f>$C$27*'E Balans VL '!I9/100/3.6*1000000</f>
        <v>11403.875572088627</v>
      </c>
      <c r="F7" s="34">
        <f>$C$27*('E Balans VL '!L9+'E Balans VL '!N9)/100/3.6*1000000</f>
        <v>50149.047524414535</v>
      </c>
      <c r="G7" s="35"/>
      <c r="H7" s="34"/>
      <c r="I7" s="34"/>
      <c r="J7" s="34">
        <f>$C$27*('E Balans VL '!D9+'E Balans VL '!E9)/100/3.6*1000000</f>
        <v>0</v>
      </c>
      <c r="K7" s="34"/>
      <c r="L7" s="34"/>
      <c r="M7" s="34"/>
      <c r="N7" s="34">
        <f>$C$27*'E Balans VL '!Y9/100/3.6*1000000</f>
        <v>23.206396135539091</v>
      </c>
      <c r="O7" s="34"/>
      <c r="P7" s="34"/>
      <c r="R7" s="33"/>
    </row>
    <row r="8" spans="1:18">
      <c r="A8" s="6" t="s">
        <v>52</v>
      </c>
      <c r="B8" s="38">
        <f t="shared" si="0"/>
        <v>45131.6006827643</v>
      </c>
      <c r="C8" s="34"/>
      <c r="D8" s="38">
        <f>IF(ISERROR(TER_handel_gas_kWh/1000),0,TER_handel_gas_kWh/1000)*0.902</f>
        <v>27134.691267646373</v>
      </c>
      <c r="E8" s="34">
        <f>$C$28*'E Balans VL '!I13/100/3.6*1000000</f>
        <v>243.03921561329514</v>
      </c>
      <c r="F8" s="34">
        <f>$C$28*('E Balans VL '!L13+'E Balans VL '!N13)/100/3.6*1000000</f>
        <v>9203.6745695912578</v>
      </c>
      <c r="G8" s="35"/>
      <c r="H8" s="34"/>
      <c r="I8" s="34"/>
      <c r="J8" s="34">
        <f>$C$28*('E Balans VL '!D13+'E Balans VL '!E13)/100/3.6*1000000</f>
        <v>0</v>
      </c>
      <c r="K8" s="34"/>
      <c r="L8" s="34"/>
      <c r="M8" s="34"/>
      <c r="N8" s="34">
        <f>$C$28*'E Balans VL '!Y13/100/3.6*1000000</f>
        <v>224.41561687990469</v>
      </c>
      <c r="O8" s="34"/>
      <c r="P8" s="34"/>
      <c r="R8" s="33"/>
    </row>
    <row r="9" spans="1:18">
      <c r="A9" s="33" t="s">
        <v>51</v>
      </c>
      <c r="B9" s="38">
        <f t="shared" si="0"/>
        <v>22443.041329060001</v>
      </c>
      <c r="C9" s="34"/>
      <c r="D9" s="38">
        <f>IF(ISERROR(TER_gezond_gas_kWh/1000),0,TER_gezond_gas_kWh/1000)*0.902</f>
        <v>19664.515474701631</v>
      </c>
      <c r="E9" s="34">
        <f>$C$29*'E Balans VL '!I10/100/3.6*1000000</f>
        <v>22.241309178308189</v>
      </c>
      <c r="F9" s="34">
        <f>$C$29*('E Balans VL '!L10+'E Balans VL '!N10)/100/3.6*1000000</f>
        <v>7787.0884453352528</v>
      </c>
      <c r="G9" s="35"/>
      <c r="H9" s="34"/>
      <c r="I9" s="34"/>
      <c r="J9" s="34">
        <f>$C$29*('E Balans VL '!D10+'E Balans VL '!E10)/100/3.6*1000000</f>
        <v>0</v>
      </c>
      <c r="K9" s="34"/>
      <c r="L9" s="34"/>
      <c r="M9" s="34"/>
      <c r="N9" s="34">
        <f>$C$29*'E Balans VL '!Y10/100/3.6*1000000</f>
        <v>193.38974290116096</v>
      </c>
      <c r="O9" s="34"/>
      <c r="P9" s="34"/>
      <c r="R9" s="33"/>
    </row>
    <row r="10" spans="1:18">
      <c r="A10" s="33" t="s">
        <v>50</v>
      </c>
      <c r="B10" s="38">
        <f t="shared" si="0"/>
        <v>23849.737697484499</v>
      </c>
      <c r="C10" s="34"/>
      <c r="D10" s="38">
        <f>IF(ISERROR(TER_ander_gas_kWh/1000),0,TER_ander_gas_kWh/1000)*0.902</f>
        <v>21466.918156180829</v>
      </c>
      <c r="E10" s="34">
        <f>$C$30*'E Balans VL '!I14/100/3.6*1000000</f>
        <v>195.11469048069523</v>
      </c>
      <c r="F10" s="34">
        <f>$C$30*('E Balans VL '!L14+'E Balans VL '!N14)/100/3.6*1000000</f>
        <v>6972.6923397089122</v>
      </c>
      <c r="G10" s="35"/>
      <c r="H10" s="34"/>
      <c r="I10" s="34"/>
      <c r="J10" s="34">
        <f>$C$30*('E Balans VL '!D14+'E Balans VL '!E14)/100/3.6*1000000</f>
        <v>0</v>
      </c>
      <c r="K10" s="34"/>
      <c r="L10" s="34"/>
      <c r="M10" s="34"/>
      <c r="N10" s="34">
        <f>$C$30*'E Balans VL '!Y14/100/3.6*1000000</f>
        <v>13758.169301450003</v>
      </c>
      <c r="O10" s="34"/>
      <c r="P10" s="34"/>
      <c r="R10" s="33"/>
    </row>
    <row r="11" spans="1:18">
      <c r="A11" s="33" t="s">
        <v>55</v>
      </c>
      <c r="B11" s="38">
        <f t="shared" si="0"/>
        <v>10113.379988278</v>
      </c>
      <c r="C11" s="34"/>
      <c r="D11" s="38">
        <f>IF(ISERROR(TER_onderwijs_gas_kWh/1000),0,TER_onderwijs_gas_kWh/1000)*0.902</f>
        <v>20746.547907346594</v>
      </c>
      <c r="E11" s="34">
        <f>$C$31*'E Balans VL '!I11/100/3.6*1000000</f>
        <v>6.2334606989067352</v>
      </c>
      <c r="F11" s="34">
        <f>$C$31*('E Balans VL '!L11+'E Balans VL '!N11)/100/3.6*1000000</f>
        <v>3909.9964863128398</v>
      </c>
      <c r="G11" s="35"/>
      <c r="H11" s="34"/>
      <c r="I11" s="34"/>
      <c r="J11" s="34">
        <f>$C$31*('E Balans VL '!D11+'E Balans VL '!E11)/100/3.6*1000000</f>
        <v>0</v>
      </c>
      <c r="K11" s="34"/>
      <c r="L11" s="34"/>
      <c r="M11" s="34"/>
      <c r="N11" s="34">
        <f>$C$31*'E Balans VL '!Y11/100/3.6*1000000</f>
        <v>32.896657850810783</v>
      </c>
      <c r="O11" s="34"/>
      <c r="P11" s="34"/>
      <c r="R11" s="33"/>
    </row>
    <row r="12" spans="1:18">
      <c r="A12" s="33" t="s">
        <v>260</v>
      </c>
      <c r="B12" s="38">
        <f t="shared" si="0"/>
        <v>13949.3799049224</v>
      </c>
      <c r="C12" s="34"/>
      <c r="D12" s="38">
        <f>IF(ISERROR(TER_rest_gas_kWh/1000),0,TER_rest_gas_kWh/1000)*0.902</f>
        <v>75771.830879918925</v>
      </c>
      <c r="E12" s="34">
        <f>$C$32*'E Balans VL '!I8/100/3.6*1000000</f>
        <v>120.52739481621626</v>
      </c>
      <c r="F12" s="34">
        <f>$C$32*('E Balans VL '!L8+'E Balans VL '!N8)/100/3.6*1000000</f>
        <v>2778.5402347475851</v>
      </c>
      <c r="G12" s="35"/>
      <c r="H12" s="34"/>
      <c r="I12" s="34"/>
      <c r="J12" s="34">
        <f>$C$32*('E Balans VL '!D8+'E Balans VL '!E8)/100/3.6*1000000</f>
        <v>0</v>
      </c>
      <c r="K12" s="34"/>
      <c r="L12" s="34"/>
      <c r="M12" s="34"/>
      <c r="N12" s="34">
        <f>$C$32*'E Balans VL '!Y8/100/3.6*1000000</f>
        <v>917.4911119391495</v>
      </c>
      <c r="O12" s="34"/>
      <c r="P12" s="34"/>
      <c r="R12" s="33"/>
    </row>
    <row r="13" spans="1:18">
      <c r="A13" s="17" t="s">
        <v>502</v>
      </c>
      <c r="B13" s="250">
        <f ca="1">'lokale energieproductie'!N91+'lokale energieproductie'!N60</f>
        <v>1407.5250000000001</v>
      </c>
      <c r="C13" s="250">
        <f ca="1">'lokale energieproductie'!O91+'lokale energieproductie'!O60</f>
        <v>5.0357142857142865</v>
      </c>
      <c r="D13" s="312">
        <f ca="1">('lokale energieproductie'!P60+'lokale energieproductie'!P91)*(-1)</f>
        <v>-10.071428571428573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-4011.4285714285716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455937.28731439117</v>
      </c>
      <c r="C16" s="22">
        <f t="shared" ca="1" si="1"/>
        <v>5.0357142857142865</v>
      </c>
      <c r="D16" s="22">
        <f t="shared" ca="1" si="1"/>
        <v>475373.3759570822</v>
      </c>
      <c r="E16" s="22">
        <f t="shared" si="1"/>
        <v>12186.801076002532</v>
      </c>
      <c r="F16" s="22">
        <f t="shared" ca="1" si="1"/>
        <v>94861.831908440974</v>
      </c>
      <c r="G16" s="22">
        <f t="shared" si="1"/>
        <v>0</v>
      </c>
      <c r="H16" s="22">
        <f t="shared" si="1"/>
        <v>0</v>
      </c>
      <c r="I16" s="22">
        <f t="shared" si="1"/>
        <v>0</v>
      </c>
      <c r="J16" s="22">
        <f t="shared" si="1"/>
        <v>0</v>
      </c>
      <c r="K16" s="22">
        <f t="shared" si="1"/>
        <v>0</v>
      </c>
      <c r="L16" s="22">
        <f t="shared" ca="1" si="1"/>
        <v>0</v>
      </c>
      <c r="M16" s="22">
        <f t="shared" si="1"/>
        <v>0</v>
      </c>
      <c r="N16" s="22">
        <f t="shared" ca="1" si="1"/>
        <v>11162.241049311328</v>
      </c>
      <c r="O16" s="22">
        <f>O5</f>
        <v>9.3800000000000008</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0.2178307177432707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99317.146541613663</v>
      </c>
      <c r="C20" s="24">
        <f t="shared" ref="C20:P20" ca="1" si="2">C16*C18</f>
        <v>1.1967226890756306</v>
      </c>
      <c r="D20" s="24">
        <f t="shared" ca="1" si="2"/>
        <v>96025.421943330613</v>
      </c>
      <c r="E20" s="24">
        <f t="shared" si="2"/>
        <v>2766.4038442525748</v>
      </c>
      <c r="F20" s="24">
        <f t="shared" ca="1" si="2"/>
        <v>25328.109119553741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119284.129868491</v>
      </c>
      <c r="C26" s="40">
        <f>IF(ISERROR(B26*3.6/1000000/'E Balans VL '!Z12*100),0,B26*3.6/1000000/'E Balans VL '!Z12*100)</f>
        <v>2.5347022173528844</v>
      </c>
      <c r="D26" s="240" t="s">
        <v>707</v>
      </c>
      <c r="F26" s="6"/>
    </row>
    <row r="27" spans="1:18">
      <c r="A27" s="234" t="s">
        <v>53</v>
      </c>
      <c r="B27" s="34">
        <f>IF(ISERROR(TER_horeca_ele_kWh/1000),0,TER_horeca_ele_kWh/1000)</f>
        <v>219758.492843391</v>
      </c>
      <c r="C27" s="40">
        <f>IF(ISERROR(B27*3.6/1000000/'E Balans VL '!Z9*100),0,B27*3.6/1000000/'E Balans VL '!Z9*100)</f>
        <v>17.296692771830376</v>
      </c>
      <c r="D27" s="240" t="s">
        <v>707</v>
      </c>
      <c r="F27" s="6"/>
    </row>
    <row r="28" spans="1:18">
      <c r="A28" s="174" t="s">
        <v>52</v>
      </c>
      <c r="B28" s="34">
        <f>IF(ISERROR(TER_handel_ele_kWh/1000),0,TER_handel_ele_kWh/1000)</f>
        <v>45131.6006827643</v>
      </c>
      <c r="C28" s="40">
        <f>IF(ISERROR(B28*3.6/1000000/'E Balans VL '!Z13*100),0,B28*3.6/1000000/'E Balans VL '!Z13*100)</f>
        <v>1.2641602886033414</v>
      </c>
      <c r="D28" s="240" t="s">
        <v>707</v>
      </c>
      <c r="F28" s="6"/>
    </row>
    <row r="29" spans="1:18">
      <c r="A29" s="234" t="s">
        <v>51</v>
      </c>
      <c r="B29" s="34">
        <f>IF(ISERROR(TER_gezond_ele_kWh/1000),0,TER_gezond_ele_kWh/1000)</f>
        <v>22443.041329060001</v>
      </c>
      <c r="C29" s="40">
        <f>IF(ISERROR(B29*3.6/1000000/'E Balans VL '!Z10*100),0,B29*3.6/1000000/'E Balans VL '!Z10*100)</f>
        <v>2.8711436362243394</v>
      </c>
      <c r="D29" s="240" t="s">
        <v>707</v>
      </c>
      <c r="F29" s="6"/>
    </row>
    <row r="30" spans="1:18">
      <c r="A30" s="234" t="s">
        <v>50</v>
      </c>
      <c r="B30" s="34">
        <f>IF(ISERROR(TER_ander_ele_kWh/1000),0,TER_ander_ele_kWh/1000)</f>
        <v>23849.737697484499</v>
      </c>
      <c r="C30" s="40">
        <f>IF(ISERROR(B30*3.6/1000000/'E Balans VL '!Z14*100),0,B30*3.6/1000000/'E Balans VL '!Z14*100)</f>
        <v>1.7837594183714267</v>
      </c>
      <c r="D30" s="240" t="s">
        <v>707</v>
      </c>
      <c r="F30" s="6"/>
    </row>
    <row r="31" spans="1:18">
      <c r="A31" s="234" t="s">
        <v>55</v>
      </c>
      <c r="B31" s="34">
        <f>IF(ISERROR(TER_onderwijs_ele_kWh/1000),0,TER_onderwijs_ele_kWh/1000)</f>
        <v>10113.379988278</v>
      </c>
      <c r="C31" s="40">
        <f>IF(ISERROR(B31*3.6/1000000/'E Balans VL '!Z11*100),0,B31*3.6/1000000/'E Balans VL '!Z11*100)</f>
        <v>2.135453284700473</v>
      </c>
      <c r="D31" s="240" t="s">
        <v>707</v>
      </c>
    </row>
    <row r="32" spans="1:18">
      <c r="A32" s="234" t="s">
        <v>260</v>
      </c>
      <c r="B32" s="34">
        <f>IF(ISERROR(TER_rest_ele_kWh/1000),0,TER_rest_ele_kWh/1000)</f>
        <v>13949.3799049224</v>
      </c>
      <c r="C32" s="40">
        <f>IF(ISERROR(B32*3.6/1000000/'E Balans VL '!Z8*100),0,B32*3.6/1000000/'E Balans VL '!Z8*100)</f>
        <v>0.11491404401175996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6</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109515.1203694935</v>
      </c>
      <c r="C5" s="18">
        <f>IF(ISERROR('Eigen informatie GS &amp; warmtenet'!B59),0,'Eigen informatie GS &amp; warmtenet'!B59)</f>
        <v>0</v>
      </c>
      <c r="D5" s="31">
        <f>SUM(D6:D15)</f>
        <v>112333.20407317398</v>
      </c>
      <c r="E5" s="18">
        <f>SUM(E6:E15)</f>
        <v>910.78257106367187</v>
      </c>
      <c r="F5" s="18">
        <f>SUM(F6:F15)</f>
        <v>42612.011883615327</v>
      </c>
      <c r="G5" s="19"/>
      <c r="H5" s="18"/>
      <c r="I5" s="18"/>
      <c r="J5" s="18">
        <f>SUM(J6:J15)</f>
        <v>286.59114808847909</v>
      </c>
      <c r="K5" s="18"/>
      <c r="L5" s="18"/>
      <c r="M5" s="18"/>
      <c r="N5" s="18">
        <f>SUM(N6:N15)</f>
        <v>5132.3249195885019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2865.9196158047298</v>
      </c>
      <c r="C8" s="34"/>
      <c r="D8" s="38">
        <f>IF( ISERROR(IND_metaal_Gas_kWH/1000),0,IND_metaal_Gas_kWH/1000)*0.902</f>
        <v>230.14206915242653</v>
      </c>
      <c r="E8" s="34">
        <f>C30*'E Balans VL '!I18/100/3.6*1000000</f>
        <v>26.099413467012095</v>
      </c>
      <c r="F8" s="34">
        <f>C30*'E Balans VL '!L18/100/3.6*1000000+C30*'E Balans VL '!N18/100/3.6*1000000</f>
        <v>377.99303315727013</v>
      </c>
      <c r="G8" s="35"/>
      <c r="H8" s="34"/>
      <c r="I8" s="34"/>
      <c r="J8" s="41">
        <f>C30*'E Balans VL '!D18/100/3.6*1000000+C30*'E Balans VL '!E18/100/3.6*1000000</f>
        <v>46.996920533754512</v>
      </c>
      <c r="K8" s="34"/>
      <c r="L8" s="34"/>
      <c r="M8" s="34"/>
      <c r="N8" s="34">
        <f>C30*'E Balans VL '!Y18/100/3.6*1000000</f>
        <v>9.8490272358739084</v>
      </c>
      <c r="O8" s="34"/>
      <c r="P8" s="34"/>
      <c r="R8" s="33"/>
    </row>
    <row r="9" spans="1:18">
      <c r="A9" s="6" t="s">
        <v>33</v>
      </c>
      <c r="B9" s="38">
        <f t="shared" si="0"/>
        <v>38422.334774264593</v>
      </c>
      <c r="C9" s="34"/>
      <c r="D9" s="38">
        <f>IF( ISERROR(IND_andere_gas_kWh/1000),0,IND_andere_gas_kWh/1000)*0.902</f>
        <v>27732.211802861206</v>
      </c>
      <c r="E9" s="34">
        <f>C31*'E Balans VL '!I19/100/3.6*1000000</f>
        <v>222.08683673826468</v>
      </c>
      <c r="F9" s="34">
        <f>C31*'E Balans VL '!L19/100/3.6*1000000+C31*'E Balans VL '!N19/100/3.6*1000000</f>
        <v>30566.816122516739</v>
      </c>
      <c r="G9" s="35"/>
      <c r="H9" s="34"/>
      <c r="I9" s="34"/>
      <c r="J9" s="41">
        <f>C31*'E Balans VL '!D19/100/3.6*1000000+C31*'E Balans VL '!E19/100/3.6*1000000</f>
        <v>3.6343260864388789</v>
      </c>
      <c r="K9" s="34"/>
      <c r="L9" s="34"/>
      <c r="M9" s="34"/>
      <c r="N9" s="34">
        <f>C31*'E Balans VL '!Y19/100/3.6*1000000</f>
        <v>2911.0733161479625</v>
      </c>
      <c r="O9" s="34"/>
      <c r="P9" s="34"/>
      <c r="R9" s="33"/>
    </row>
    <row r="10" spans="1:18">
      <c r="A10" s="6" t="s">
        <v>41</v>
      </c>
      <c r="B10" s="38">
        <f t="shared" si="0"/>
        <v>19909.820120562999</v>
      </c>
      <c r="C10" s="34"/>
      <c r="D10" s="38">
        <f>IF( ISERROR(IND_voed_gas_kWh/1000),0,IND_voed_gas_kWh/1000)*0.902</f>
        <v>7711.1565627432637</v>
      </c>
      <c r="E10" s="34">
        <f>C32*'E Balans VL '!I20/100/3.6*1000000</f>
        <v>195.7656188872183</v>
      </c>
      <c r="F10" s="34">
        <f>C32*'E Balans VL '!L20/100/3.6*1000000+C32*'E Balans VL '!N20/100/3.6*1000000</f>
        <v>2211.2454001904553</v>
      </c>
      <c r="G10" s="35"/>
      <c r="H10" s="34"/>
      <c r="I10" s="34"/>
      <c r="J10" s="41">
        <f>C32*'E Balans VL '!D20/100/3.6*1000000+C32*'E Balans VL '!E20/100/3.6*1000000</f>
        <v>7.8473639609605281E-2</v>
      </c>
      <c r="K10" s="34"/>
      <c r="L10" s="34"/>
      <c r="M10" s="34"/>
      <c r="N10" s="34">
        <f>C32*'E Balans VL '!Y20/100/3.6*1000000</f>
        <v>294.81760315207191</v>
      </c>
      <c r="O10" s="34"/>
      <c r="P10" s="34"/>
      <c r="R10" s="33"/>
    </row>
    <row r="11" spans="1:18">
      <c r="A11" s="6" t="s">
        <v>40</v>
      </c>
      <c r="B11" s="38">
        <f t="shared" si="0"/>
        <v>95.831963243606197</v>
      </c>
      <c r="C11" s="34"/>
      <c r="D11" s="38">
        <f>IF( ISERROR(IND_textiel_gas_kWh/1000),0,IND_textiel_gas_kWh/1000)*0.902</f>
        <v>69.17569627167795</v>
      </c>
      <c r="E11" s="34">
        <f>C33*'E Balans VL '!I21/100/3.6*1000000</f>
        <v>0.18660708527323538</v>
      </c>
      <c r="F11" s="34">
        <f>C33*'E Balans VL '!L21/100/3.6*1000000+C33*'E Balans VL '!N21/100/3.6*1000000</f>
        <v>3.1608526207048162</v>
      </c>
      <c r="G11" s="35"/>
      <c r="H11" s="34"/>
      <c r="I11" s="34"/>
      <c r="J11" s="41">
        <f>C33*'E Balans VL '!D21/100/3.6*1000000+C33*'E Balans VL '!E21/100/3.6*1000000</f>
        <v>0</v>
      </c>
      <c r="K11" s="34"/>
      <c r="L11" s="34"/>
      <c r="M11" s="34"/>
      <c r="N11" s="34">
        <f>C33*'E Balans VL '!Y21/100/3.6*1000000</f>
        <v>0.99402951388993366</v>
      </c>
      <c r="O11" s="34"/>
      <c r="P11" s="34"/>
      <c r="R11" s="33"/>
    </row>
    <row r="12" spans="1:18">
      <c r="A12" s="6" t="s">
        <v>37</v>
      </c>
      <c r="B12" s="38">
        <f t="shared" si="0"/>
        <v>50.962217279311105</v>
      </c>
      <c r="C12" s="34"/>
      <c r="D12" s="38">
        <f>IF( ISERROR(IND_min_gas_kWh/1000),0,IND_min_gas_kWh/1000)*0.902</f>
        <v>67.735960601032701</v>
      </c>
      <c r="E12" s="34">
        <f>C34*'E Balans VL '!I22/100/3.6*1000000</f>
        <v>1.2919828950453427</v>
      </c>
      <c r="F12" s="34">
        <f>C34*'E Balans VL '!L22/100/3.6*1000000+C34*'E Balans VL '!N22/100/3.6*1000000</f>
        <v>14.101423154594412</v>
      </c>
      <c r="G12" s="35"/>
      <c r="H12" s="34"/>
      <c r="I12" s="34"/>
      <c r="J12" s="41">
        <f>C34*'E Balans VL '!D22/100/3.6*1000000+C34*'E Balans VL '!E22/100/3.6*1000000</f>
        <v>0.33656472381741731</v>
      </c>
      <c r="K12" s="34"/>
      <c r="L12" s="34"/>
      <c r="M12" s="34"/>
      <c r="N12" s="34">
        <f>C34*'E Balans VL '!Y22/100/3.6*1000000</f>
        <v>0</v>
      </c>
      <c r="O12" s="34"/>
      <c r="P12" s="34"/>
      <c r="R12" s="33"/>
    </row>
    <row r="13" spans="1:18">
      <c r="A13" s="6" t="s">
        <v>39</v>
      </c>
      <c r="B13" s="38">
        <f t="shared" si="0"/>
        <v>1298.2838931146</v>
      </c>
      <c r="C13" s="34"/>
      <c r="D13" s="38">
        <f>IF( ISERROR(IND_papier_gas_kWh/1000),0,IND_papier_gas_kWh/1000)*0.902</f>
        <v>1009.6142818084049</v>
      </c>
      <c r="E13" s="34">
        <f>C35*'E Balans VL '!I23/100/3.6*1000000</f>
        <v>44.221431789427079</v>
      </c>
      <c r="F13" s="34">
        <f>C35*'E Balans VL '!L23/100/3.6*1000000+C35*'E Balans VL '!N23/100/3.6*1000000</f>
        <v>214.44602907544606</v>
      </c>
      <c r="G13" s="35"/>
      <c r="H13" s="34"/>
      <c r="I13" s="34"/>
      <c r="J13" s="41">
        <f>C35*'E Balans VL '!D23/100/3.6*1000000+C35*'E Balans VL '!E23/100/3.6*1000000</f>
        <v>0</v>
      </c>
      <c r="K13" s="34"/>
      <c r="L13" s="34"/>
      <c r="M13" s="34"/>
      <c r="N13" s="34">
        <f>C35*'E Balans VL '!Y23/100/3.6*1000000</f>
        <v>477.73365539119646</v>
      </c>
      <c r="O13" s="34"/>
      <c r="P13" s="34"/>
      <c r="R13" s="33"/>
    </row>
    <row r="14" spans="1:18">
      <c r="A14" s="6" t="s">
        <v>34</v>
      </c>
      <c r="B14" s="38">
        <f t="shared" si="0"/>
        <v>32.513162410261799</v>
      </c>
      <c r="C14" s="34"/>
      <c r="D14" s="38">
        <f>IF( ISERROR(IND_chemie_gas_kWh/1000),0,IND_chemie_gas_kWh/1000)*0.902</f>
        <v>0</v>
      </c>
      <c r="E14" s="34">
        <f>C36*'E Balans VL '!I24/100/3.6*1000000</f>
        <v>0.24581689283214717</v>
      </c>
      <c r="F14" s="34">
        <f>C36*'E Balans VL '!L24/100/3.6*1000000+C36*'E Balans VL '!N24/100/3.6*1000000</f>
        <v>0.60158339742838451</v>
      </c>
      <c r="G14" s="35"/>
      <c r="H14" s="34"/>
      <c r="I14" s="34"/>
      <c r="J14" s="41">
        <f>C36*'E Balans VL '!D24/100/3.6*1000000+C36*'E Balans VL '!E24/100/3.6*1000000</f>
        <v>0</v>
      </c>
      <c r="K14" s="34"/>
      <c r="L14" s="34"/>
      <c r="M14" s="34"/>
      <c r="N14" s="34">
        <f>C36*'E Balans VL '!Y24/100/3.6*1000000</f>
        <v>9.4279787100680235E-3</v>
      </c>
      <c r="O14" s="34"/>
      <c r="P14" s="34"/>
      <c r="R14" s="33"/>
    </row>
    <row r="15" spans="1:18">
      <c r="A15" s="6" t="s">
        <v>270</v>
      </c>
      <c r="B15" s="38">
        <f t="shared" si="0"/>
        <v>46839.454622813406</v>
      </c>
      <c r="C15" s="34"/>
      <c r="D15" s="38">
        <f>IF( ISERROR(IND_rest_gas_kWh/1000),0,IND_rest_gas_kWh/1000)*0.902</f>
        <v>75513.167699735975</v>
      </c>
      <c r="E15" s="34">
        <f>C37*'E Balans VL '!I15/100/3.6*1000000</f>
        <v>420.88486330859911</v>
      </c>
      <c r="F15" s="34">
        <f>C37*'E Balans VL '!L15/100/3.6*1000000+C37*'E Balans VL '!N15/100/3.6*1000000</f>
        <v>9223.6474395026926</v>
      </c>
      <c r="G15" s="35"/>
      <c r="H15" s="34"/>
      <c r="I15" s="34"/>
      <c r="J15" s="41">
        <f>C37*'E Balans VL '!D15/100/3.6*1000000+C37*'E Balans VL '!E15/100/3.6*1000000</f>
        <v>235.54486310485868</v>
      </c>
      <c r="K15" s="34"/>
      <c r="L15" s="34"/>
      <c r="M15" s="34"/>
      <c r="N15" s="34">
        <f>C37*'E Balans VL '!Y15/100/3.6*1000000</f>
        <v>1437.8478601687975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109515.1203694935</v>
      </c>
      <c r="C18" s="22">
        <f>C5+C16</f>
        <v>0</v>
      </c>
      <c r="D18" s="22">
        <f>MAX((D5+D16),0)</f>
        <v>112333.20407317398</v>
      </c>
      <c r="E18" s="22">
        <f>MAX((E5+E16),0)</f>
        <v>910.78257106367187</v>
      </c>
      <c r="F18" s="22">
        <f>MAX((F5+F16),0)</f>
        <v>42612.011883615327</v>
      </c>
      <c r="G18" s="22"/>
      <c r="H18" s="22"/>
      <c r="I18" s="22"/>
      <c r="J18" s="22">
        <f>MAX((J5+J16),0)</f>
        <v>286.59114808847909</v>
      </c>
      <c r="K18" s="22"/>
      <c r="L18" s="22">
        <f>MAX((L5+L16),0)</f>
        <v>0</v>
      </c>
      <c r="M18" s="22"/>
      <c r="N18" s="22">
        <f>MAX((N5+N16),0)</f>
        <v>5132.3249195885019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0.2178307177432707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23855.757273827454</v>
      </c>
      <c r="C22" s="24">
        <f ca="1">C18*C20</f>
        <v>0</v>
      </c>
      <c r="D22" s="24">
        <f>D18*D20</f>
        <v>22691.307222781146</v>
      </c>
      <c r="E22" s="24">
        <f>E18*E20</f>
        <v>206.74764363145351</v>
      </c>
      <c r="F22" s="24">
        <f>F18*F20</f>
        <v>11377.407172925294</v>
      </c>
      <c r="G22" s="24"/>
      <c r="H22" s="24"/>
      <c r="I22" s="24"/>
      <c r="J22" s="24">
        <f>J18*J20</f>
        <v>101.45326642332159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2865.9196158047298</v>
      </c>
      <c r="C30" s="40">
        <f>IF(ISERROR(B30*3.6/1000000/'E Balans VL '!Z18*100),0,B30*3.6/1000000/'E Balans VL '!Z18*100)</f>
        <v>0.15946926237948653</v>
      </c>
      <c r="D30" s="240" t="s">
        <v>707</v>
      </c>
    </row>
    <row r="31" spans="1:18">
      <c r="A31" s="6" t="s">
        <v>33</v>
      </c>
      <c r="B31" s="38">
        <f>IF( ISERROR(IND_ander_ele_kWh/1000),0,IND_ander_ele_kWh/1000)</f>
        <v>38422.334774264593</v>
      </c>
      <c r="C31" s="40">
        <f>IF(ISERROR(B31*3.6/1000000/'E Balans VL '!Z19*100),0,B31*3.6/1000000/'E Balans VL '!Z19*100)</f>
        <v>1.7861534349733741</v>
      </c>
      <c r="D31" s="240" t="s">
        <v>707</v>
      </c>
    </row>
    <row r="32" spans="1:18">
      <c r="A32" s="174" t="s">
        <v>41</v>
      </c>
      <c r="B32" s="38">
        <f>IF( ISERROR(IND_voed_ele_kWh/1000),0,IND_voed_ele_kWh/1000)</f>
        <v>19909.820120562999</v>
      </c>
      <c r="C32" s="40">
        <f>IF(ISERROR(B32*3.6/1000000/'E Balans VL '!Z20*100),0,B32*3.6/1000000/'E Balans VL '!Z20*100)</f>
        <v>0.70377193167727503</v>
      </c>
      <c r="D32" s="240" t="s">
        <v>707</v>
      </c>
    </row>
    <row r="33" spans="1:5">
      <c r="A33" s="174" t="s">
        <v>40</v>
      </c>
      <c r="B33" s="38">
        <f>IF( ISERROR(IND_textiel_ele_kWh/1000),0,IND_textiel_ele_kWh/1000)</f>
        <v>95.831963243606197</v>
      </c>
      <c r="C33" s="40">
        <f>IF(ISERROR(B33*3.6/1000000/'E Balans VL '!Z21*100),0,B33*3.6/1000000/'E Balans VL '!Z21*100)</f>
        <v>1.2943560784185487E-2</v>
      </c>
      <c r="D33" s="240" t="s">
        <v>707</v>
      </c>
    </row>
    <row r="34" spans="1:5">
      <c r="A34" s="174" t="s">
        <v>37</v>
      </c>
      <c r="B34" s="38">
        <f>IF( ISERROR(IND_min_ele_kWh/1000),0,IND_min_ele_kWh/1000)</f>
        <v>50.962217279311105</v>
      </c>
      <c r="C34" s="40">
        <f>IF(ISERROR(B34*3.6/1000000/'E Balans VL '!Z22*100),0,B34*3.6/1000000/'E Balans VL '!Z22*100)</f>
        <v>1.0241968587164913E-2</v>
      </c>
      <c r="D34" s="240" t="s">
        <v>707</v>
      </c>
    </row>
    <row r="35" spans="1:5">
      <c r="A35" s="174" t="s">
        <v>39</v>
      </c>
      <c r="B35" s="38">
        <f>IF( ISERROR(IND_papier_ele_kWh/1000),0,IND_papier_ele_kWh/1000)</f>
        <v>1298.2838931146</v>
      </c>
      <c r="C35" s="40">
        <f>IF(ISERROR(B35*3.6/1000000/'E Balans VL '!Z22*100),0,B35*3.6/1000000/'E Balans VL '!Z22*100)</f>
        <v>0.26091845214709719</v>
      </c>
      <c r="D35" s="240" t="s">
        <v>707</v>
      </c>
    </row>
    <row r="36" spans="1:5">
      <c r="A36" s="174" t="s">
        <v>34</v>
      </c>
      <c r="B36" s="38">
        <f>IF( ISERROR(IND_chemie_ele_kWh/1000),0,IND_chemie_ele_kWh/1000)</f>
        <v>32.513162410261799</v>
      </c>
      <c r="C36" s="40">
        <f>IF(ISERROR(B36*3.6/1000000/'E Balans VL '!Z24*100),0,B36*3.6/1000000/'E Balans VL '!Z24*100)</f>
        <v>8.0064390204113306E-4</v>
      </c>
      <c r="D36" s="240" t="s">
        <v>707</v>
      </c>
    </row>
    <row r="37" spans="1:5">
      <c r="A37" s="174" t="s">
        <v>270</v>
      </c>
      <c r="B37" s="38">
        <f>IF( ISERROR(IND_rest_ele_kWh/1000),0,IND_rest_ele_kWh/1000)</f>
        <v>46839.454622813406</v>
      </c>
      <c r="C37" s="40">
        <f>IF(ISERROR(B37*3.6/1000000/'E Balans VL '!Z15*100),0,B37*3.6/1000000/'E Balans VL '!Z15*100)</f>
        <v>0.35370707473963614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1958.7258156396979</v>
      </c>
      <c r="C5" s="18">
        <f>'Eigen informatie GS &amp; warmtenet'!B60</f>
        <v>0</v>
      </c>
      <c r="D5" s="31">
        <f>IF(ISERROR(SUM(LB_lb_gas_kWh,LB_rest_gas_kWh)/1000),0,SUM(LB_lb_gas_kWh,LB_rest_gas_kWh)/1000)*0.902</f>
        <v>2393.8349072575975</v>
      </c>
      <c r="E5" s="18">
        <f>B17*'E Balans VL '!I25/3.6*1000000/100</f>
        <v>18.452509572672867</v>
      </c>
      <c r="F5" s="18">
        <f>B17*('E Balans VL '!L25/3.6*1000000+'E Balans VL '!N25/3.6*1000000)/100</f>
        <v>6391.9723804415589</v>
      </c>
      <c r="G5" s="19"/>
      <c r="H5" s="18"/>
      <c r="I5" s="18"/>
      <c r="J5" s="18">
        <f>('E Balans VL '!D25+'E Balans VL '!E25)/3.6*1000000*landbouw!B17/100</f>
        <v>242.30391063516782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1958.7258156396979</v>
      </c>
      <c r="C8" s="22">
        <f>C5+C6</f>
        <v>0</v>
      </c>
      <c r="D8" s="22">
        <f>MAX((D5+D6),0)</f>
        <v>2393.8349072575975</v>
      </c>
      <c r="E8" s="22">
        <f>MAX((E5+E6),0)</f>
        <v>18.452509572672867</v>
      </c>
      <c r="F8" s="22">
        <f>MAX((F5+F6),0)</f>
        <v>6391.9723804415589</v>
      </c>
      <c r="G8" s="22"/>
      <c r="H8" s="22"/>
      <c r="I8" s="22"/>
      <c r="J8" s="22">
        <f>MAX((J5+J6),0)</f>
        <v>242.30391063516782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0.2178307177432707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426.67065028306871</v>
      </c>
      <c r="C12" s="24">
        <f ca="1">C8*C10</f>
        <v>0</v>
      </c>
      <c r="D12" s="24">
        <f>D8*D10</f>
        <v>483.55465126603474</v>
      </c>
      <c r="E12" s="24">
        <f>E8*E10</f>
        <v>4.1887196729967409</v>
      </c>
      <c r="F12" s="24">
        <f>F8*F10</f>
        <v>1706.6566255778964</v>
      </c>
      <c r="G12" s="24"/>
      <c r="H12" s="24"/>
      <c r="I12" s="24"/>
      <c r="J12" s="24">
        <f>J8*J10</f>
        <v>85.775584364849408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0.26518017599962934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50.072094003134602</v>
      </c>
      <c r="C26" s="250">
        <f>B26*'GWP N2O_CH4'!B5</f>
        <v>1051.5139740658267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6.5108869061348038</v>
      </c>
      <c r="C27" s="250">
        <f>B27*'GWP N2O_CH4'!B5</f>
        <v>136.72862502883089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0.64730445134928005</v>
      </c>
      <c r="C28" s="250">
        <f>B28*'GWP N2O_CH4'!B4</f>
        <v>200.66437991827681</v>
      </c>
      <c r="D28" s="51"/>
    </row>
    <row r="29" spans="1:4">
      <c r="A29" s="42" t="s">
        <v>277</v>
      </c>
      <c r="B29" s="250">
        <f>B34*'ha_N2O bodem landbouw'!B4</f>
        <v>5.9290172182010021</v>
      </c>
      <c r="C29" s="250">
        <f>B29*'GWP N2O_CH4'!B4</f>
        <v>1837.9953376423107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1.6006480018701526E-3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4.9251663503809275E-5</v>
      </c>
      <c r="C5" s="447" t="s">
        <v>211</v>
      </c>
      <c r="D5" s="432">
        <f>SUM(D6:D11)</f>
        <v>1.3879325365079412E-4</v>
      </c>
      <c r="E5" s="432">
        <f>SUM(E6:E11)</f>
        <v>9.0926250431112091E-3</v>
      </c>
      <c r="F5" s="445" t="s">
        <v>211</v>
      </c>
      <c r="G5" s="432">
        <f>SUM(G6:G11)</f>
        <v>1.5999631551599647</v>
      </c>
      <c r="H5" s="432">
        <f>SUM(H6:H11)</f>
        <v>0.31724936794831898</v>
      </c>
      <c r="I5" s="447" t="s">
        <v>211</v>
      </c>
      <c r="J5" s="447" t="s">
        <v>211</v>
      </c>
      <c r="K5" s="447" t="s">
        <v>211</v>
      </c>
      <c r="L5" s="447" t="s">
        <v>211</v>
      </c>
      <c r="M5" s="432">
        <f>SUM(M6:M11)</f>
        <v>8.5758717876836948E-2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1.3177541725693098E-5</v>
      </c>
      <c r="C6" s="433"/>
      <c r="D6" s="433">
        <f>vkm_2011_GW_PW*SUMIFS(TableVerdeelsleutelVkm[CNG],TableVerdeelsleutelVkm[Voertuigtype],"Lichte voertuigen")*SUMIFS(TableECFTransport[EnergieConsumptieFactor (PJ per km)],TableECFTransport[Index],CONCATENATE($A6,"_CNG_CNG"))</f>
        <v>3.217977757983655E-5</v>
      </c>
      <c r="E6" s="435">
        <f>vkm_2011_GW_PW*SUMIFS(TableVerdeelsleutelVkm[LPG],TableVerdeelsleutelVkm[Voertuigtype],"Lichte voertuigen")*SUMIFS(TableECFTransport[EnergieConsumptieFactor (PJ per km)],TableECFTransport[Index],CONCATENATE($A6,"_LPG_LPG"))</f>
        <v>1.9074509143144553E-3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0.27574446791794549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7.2264703049476853E-2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1.5584491574118373E-2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5.2263195363354352E-2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2.1086161758392523E-5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2.3283091833180142E-3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8.3289895131591945E-6</v>
      </c>
      <c r="C8" s="433"/>
      <c r="D8" s="435">
        <f>vkm_2011_NGW_PW*SUMIFS(TableVerdeelsleutelVkm[CNG],TableVerdeelsleutelVkm[Voertuigtype],"Lichte voertuigen")*SUMIFS(TableECFTransport[EnergieConsumptieFactor (PJ per km)],TableECFTransport[Index],CONCATENATE($A8,"_CNG_CNG"))</f>
        <v>3.6492575897161145E-5</v>
      </c>
      <c r="E8" s="435">
        <f>vkm_2011_NGW_PW*SUMIFS(TableVerdeelsleutelVkm[LPG],TableVerdeelsleutelVkm[Voertuigtype],"Lichte voertuigen")*SUMIFS(TableECFTransport[EnergieConsumptieFactor (PJ per km)],TableECFTransport[Index],CONCATENATE($A8,"_LPG_LPG"))</f>
        <v>1.984419361891452E-3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0.27100287206229662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7.8474860804803995E-2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1.5657383183116321E-2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4.8764939774757453E-3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1.7130719961079063E-6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2.1723466200383656E-4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2.7745132264956979E-5</v>
      </c>
      <c r="C10" s="433"/>
      <c r="D10" s="435">
        <f>vkm_2011_SW_PW*SUMIFS(TableVerdeelsleutelVkm[CNG],TableVerdeelsleutelVkm[Voertuigtype],"Lichte voertuigen")*SUMIFS(TableECFTransport[EnergieConsumptieFactor (PJ per km)],TableECFTransport[Index],CONCATENATE($A10,"_CNG_CNG"))</f>
        <v>7.0120900173796424E-5</v>
      </c>
      <c r="E10" s="435">
        <f>vkm_2011_SW_PW*SUMIFS(TableVerdeelsleutelVkm[LPG],TableVerdeelsleutelVkm[Voertuigtype],"Lichte voertuigen")*SUMIFS(TableECFTransport[EnergieConsumptieFactor (PJ per km)],TableECFTransport[Index],CONCATENATE($A10,"_LPG_LPG"))</f>
        <v>5.2007547669053024E-3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0.6851703525446734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0.16635392121042006</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3.8120193586583216E-2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0.31090577329421931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1.3308364986357944E-4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1.3851105687697186E-2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13.68101763994702</v>
      </c>
      <c r="C14" s="22"/>
      <c r="D14" s="22">
        <f t="shared" ref="D14:M14" si="0">((D5)*10^9/3600)+D12</f>
        <v>38.553681569665038</v>
      </c>
      <c r="E14" s="22">
        <f t="shared" si="0"/>
        <v>2525.7291786420024</v>
      </c>
      <c r="F14" s="22"/>
      <c r="G14" s="22">
        <f t="shared" si="0"/>
        <v>444434.2097666568</v>
      </c>
      <c r="H14" s="22">
        <f t="shared" si="0"/>
        <v>88124.8244300886</v>
      </c>
      <c r="I14" s="22"/>
      <c r="J14" s="22"/>
      <c r="K14" s="22"/>
      <c r="L14" s="22"/>
      <c r="M14" s="22">
        <f t="shared" si="0"/>
        <v>23821.866076899154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0.2178307177432707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2.9801458919680068</v>
      </c>
      <c r="C18" s="24"/>
      <c r="D18" s="24">
        <f t="shared" ref="D18:M18" si="1">D14*D16</f>
        <v>7.7878436770723383</v>
      </c>
      <c r="E18" s="24">
        <f t="shared" si="1"/>
        <v>573.34052355173458</v>
      </c>
      <c r="F18" s="24"/>
      <c r="G18" s="24">
        <f t="shared" si="1"/>
        <v>118663.93400769737</v>
      </c>
      <c r="H18" s="24">
        <f t="shared" si="1"/>
        <v>21943.081283092062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9.0201808129159816E-2</v>
      </c>
      <c r="H50" s="323">
        <f t="shared" si="2"/>
        <v>0</v>
      </c>
      <c r="I50" s="323">
        <f t="shared" si="2"/>
        <v>0</v>
      </c>
      <c r="J50" s="323">
        <f t="shared" si="2"/>
        <v>0</v>
      </c>
      <c r="K50" s="323">
        <f t="shared" si="2"/>
        <v>0</v>
      </c>
      <c r="L50" s="323">
        <f t="shared" si="2"/>
        <v>0</v>
      </c>
      <c r="M50" s="323">
        <f t="shared" si="2"/>
        <v>3.9609101921413425E-3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9.0201808129159816E-2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3.9609101921413425E-3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25056.057813655505</v>
      </c>
      <c r="H54" s="22">
        <f t="shared" si="3"/>
        <v>0</v>
      </c>
      <c r="I54" s="22">
        <f t="shared" si="3"/>
        <v>0</v>
      </c>
      <c r="J54" s="22">
        <f t="shared" si="3"/>
        <v>0</v>
      </c>
      <c r="K54" s="22">
        <f t="shared" si="3"/>
        <v>0</v>
      </c>
      <c r="L54" s="22">
        <f t="shared" si="3"/>
        <v>0</v>
      </c>
      <c r="M54" s="22">
        <f t="shared" si="3"/>
        <v>1100.2528311503729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0.2178307177432707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6689.96743624602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461514.54731439118</v>
      </c>
      <c r="D10" s="688">
        <f ca="1">tertiair!C16</f>
        <v>5.0357142857142865</v>
      </c>
      <c r="E10" s="688">
        <f ca="1">tertiair!D16</f>
        <v>475373.3759570822</v>
      </c>
      <c r="F10" s="688">
        <f>tertiair!E16</f>
        <v>12186.801076002532</v>
      </c>
      <c r="G10" s="688">
        <f ca="1">tertiair!F16</f>
        <v>94861.831908440974</v>
      </c>
      <c r="H10" s="688">
        <f>tertiair!G16</f>
        <v>0</v>
      </c>
      <c r="I10" s="688">
        <f>tertiair!H16</f>
        <v>0</v>
      </c>
      <c r="J10" s="688">
        <f>tertiair!I16</f>
        <v>0</v>
      </c>
      <c r="K10" s="688">
        <f>tertiair!J16</f>
        <v>0</v>
      </c>
      <c r="L10" s="688">
        <f>tertiair!K16</f>
        <v>0</v>
      </c>
      <c r="M10" s="688">
        <f ca="1">tertiair!L16</f>
        <v>0</v>
      </c>
      <c r="N10" s="688">
        <f>tertiair!M16</f>
        <v>0</v>
      </c>
      <c r="O10" s="688">
        <f ca="1">tertiair!N16</f>
        <v>11162.241049311328</v>
      </c>
      <c r="P10" s="688">
        <f>tertiair!O16</f>
        <v>9.3800000000000008</v>
      </c>
      <c r="Q10" s="689">
        <f>tertiair!P16</f>
        <v>0</v>
      </c>
      <c r="R10" s="691">
        <f ca="1">SUM(C10:Q10)</f>
        <v>1055113.213019514</v>
      </c>
      <c r="S10" s="68"/>
    </row>
    <row r="11" spans="1:19" s="457" customFormat="1">
      <c r="A11" s="803" t="s">
        <v>225</v>
      </c>
      <c r="B11" s="808"/>
      <c r="C11" s="688">
        <f>huishoudens!B8</f>
        <v>153014.78423113329</v>
      </c>
      <c r="D11" s="688">
        <f>huishoudens!C8</f>
        <v>0</v>
      </c>
      <c r="E11" s="688">
        <f>huishoudens!D8</f>
        <v>435701.40965275216</v>
      </c>
      <c r="F11" s="688">
        <f>huishoudens!E8</f>
        <v>16181.07732547538</v>
      </c>
      <c r="G11" s="688">
        <f>huishoudens!F8</f>
        <v>110347.92716750024</v>
      </c>
      <c r="H11" s="688">
        <f>huishoudens!G8</f>
        <v>0</v>
      </c>
      <c r="I11" s="688">
        <f>huishoudens!H8</f>
        <v>0</v>
      </c>
      <c r="J11" s="688">
        <f>huishoudens!I8</f>
        <v>0</v>
      </c>
      <c r="K11" s="688">
        <f>huishoudens!J8</f>
        <v>0</v>
      </c>
      <c r="L11" s="688">
        <f>huishoudens!K8</f>
        <v>0</v>
      </c>
      <c r="M11" s="688">
        <f>huishoudens!L8</f>
        <v>0</v>
      </c>
      <c r="N11" s="688">
        <f>huishoudens!M8</f>
        <v>0</v>
      </c>
      <c r="O11" s="688">
        <f>huishoudens!N8</f>
        <v>22266.413238974124</v>
      </c>
      <c r="P11" s="688">
        <f>huishoudens!O8</f>
        <v>406.4666666666667</v>
      </c>
      <c r="Q11" s="689">
        <f>huishoudens!P8</f>
        <v>610.13333333333333</v>
      </c>
      <c r="R11" s="691">
        <f>SUM(C11:Q11)</f>
        <v>738528.2116158352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109515.1203694935</v>
      </c>
      <c r="D13" s="688">
        <f>industrie!C18</f>
        <v>0</v>
      </c>
      <c r="E13" s="688">
        <f>industrie!D18</f>
        <v>112333.20407317398</v>
      </c>
      <c r="F13" s="688">
        <f>industrie!E18</f>
        <v>910.78257106367187</v>
      </c>
      <c r="G13" s="688">
        <f>industrie!F18</f>
        <v>42612.011883615327</v>
      </c>
      <c r="H13" s="688">
        <f>industrie!G18</f>
        <v>0</v>
      </c>
      <c r="I13" s="688">
        <f>industrie!H18</f>
        <v>0</v>
      </c>
      <c r="J13" s="688">
        <f>industrie!I18</f>
        <v>0</v>
      </c>
      <c r="K13" s="688">
        <f>industrie!J18</f>
        <v>286.59114808847909</v>
      </c>
      <c r="L13" s="688">
        <f>industrie!K18</f>
        <v>0</v>
      </c>
      <c r="M13" s="688">
        <f>industrie!L18</f>
        <v>0</v>
      </c>
      <c r="N13" s="688">
        <f>industrie!M18</f>
        <v>0</v>
      </c>
      <c r="O13" s="688">
        <f>industrie!N18</f>
        <v>5132.3249195885019</v>
      </c>
      <c r="P13" s="688">
        <f>industrie!O18</f>
        <v>0</v>
      </c>
      <c r="Q13" s="689">
        <f>industrie!P18</f>
        <v>0</v>
      </c>
      <c r="R13" s="691">
        <f>SUM(C13:Q13)</f>
        <v>270790.03496502346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724044.45191501803</v>
      </c>
      <c r="D16" s="721">
        <f t="shared" ref="D16:R16" ca="1" si="0">SUM(D9:D15)</f>
        <v>5.0357142857142865</v>
      </c>
      <c r="E16" s="721">
        <f t="shared" ca="1" si="0"/>
        <v>1023407.9896830083</v>
      </c>
      <c r="F16" s="721">
        <f t="shared" si="0"/>
        <v>29278.660972541584</v>
      </c>
      <c r="G16" s="721">
        <f t="shared" ca="1" si="0"/>
        <v>247821.77095955657</v>
      </c>
      <c r="H16" s="721">
        <f t="shared" si="0"/>
        <v>0</v>
      </c>
      <c r="I16" s="721">
        <f t="shared" si="0"/>
        <v>0</v>
      </c>
      <c r="J16" s="721">
        <f t="shared" si="0"/>
        <v>0</v>
      </c>
      <c r="K16" s="721">
        <f t="shared" si="0"/>
        <v>286.59114808847909</v>
      </c>
      <c r="L16" s="721">
        <f t="shared" si="0"/>
        <v>0</v>
      </c>
      <c r="M16" s="721">
        <f t="shared" ca="1" si="0"/>
        <v>0</v>
      </c>
      <c r="N16" s="721">
        <f t="shared" si="0"/>
        <v>0</v>
      </c>
      <c r="O16" s="721">
        <f t="shared" ca="1" si="0"/>
        <v>38560.979207873956</v>
      </c>
      <c r="P16" s="721">
        <f t="shared" si="0"/>
        <v>415.84666666666669</v>
      </c>
      <c r="Q16" s="721">
        <f t="shared" si="0"/>
        <v>610.13333333333333</v>
      </c>
      <c r="R16" s="721">
        <f t="shared" ca="1" si="0"/>
        <v>2064431.4596003727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25056.057813655505</v>
      </c>
      <c r="I19" s="688">
        <f>transport!H54</f>
        <v>0</v>
      </c>
      <c r="J19" s="688">
        <f>transport!I54</f>
        <v>0</v>
      </c>
      <c r="K19" s="688">
        <f>transport!J54</f>
        <v>0</v>
      </c>
      <c r="L19" s="688">
        <f>transport!K54</f>
        <v>0</v>
      </c>
      <c r="M19" s="688">
        <f>transport!L54</f>
        <v>0</v>
      </c>
      <c r="N19" s="688">
        <f>transport!M54</f>
        <v>1100.2528311503729</v>
      </c>
      <c r="O19" s="688">
        <f>transport!N54</f>
        <v>0</v>
      </c>
      <c r="P19" s="688">
        <f>transport!O54</f>
        <v>0</v>
      </c>
      <c r="Q19" s="689">
        <f>transport!P54</f>
        <v>0</v>
      </c>
      <c r="R19" s="691">
        <f>SUM(C19:Q19)</f>
        <v>26156.310644805879</v>
      </c>
      <c r="S19" s="68"/>
    </row>
    <row r="20" spans="1:19" s="457" customFormat="1">
      <c r="A20" s="803" t="s">
        <v>307</v>
      </c>
      <c r="B20" s="808"/>
      <c r="C20" s="688">
        <f>transport!B14</f>
        <v>13.68101763994702</v>
      </c>
      <c r="D20" s="688">
        <f>transport!C14</f>
        <v>0</v>
      </c>
      <c r="E20" s="688">
        <f>transport!D14</f>
        <v>38.553681569665038</v>
      </c>
      <c r="F20" s="688">
        <f>transport!E14</f>
        <v>2525.7291786420024</v>
      </c>
      <c r="G20" s="688">
        <f>transport!F14</f>
        <v>0</v>
      </c>
      <c r="H20" s="688">
        <f>transport!G14</f>
        <v>444434.2097666568</v>
      </c>
      <c r="I20" s="688">
        <f>transport!H14</f>
        <v>88124.8244300886</v>
      </c>
      <c r="J20" s="688">
        <f>transport!I14</f>
        <v>0</v>
      </c>
      <c r="K20" s="688">
        <f>transport!J14</f>
        <v>0</v>
      </c>
      <c r="L20" s="688">
        <f>transport!K14</f>
        <v>0</v>
      </c>
      <c r="M20" s="688">
        <f>transport!L14</f>
        <v>0</v>
      </c>
      <c r="N20" s="688">
        <f>transport!M14</f>
        <v>23821.866076899154</v>
      </c>
      <c r="O20" s="688">
        <f>transport!N14</f>
        <v>0</v>
      </c>
      <c r="P20" s="688">
        <f>transport!O14</f>
        <v>0</v>
      </c>
      <c r="Q20" s="689">
        <f>transport!P14</f>
        <v>0</v>
      </c>
      <c r="R20" s="691">
        <f>SUM(C20:Q20)</f>
        <v>558958.86415149609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13.68101763994702</v>
      </c>
      <c r="D22" s="806">
        <f t="shared" ref="D22:R22" si="1">SUM(D18:D21)</f>
        <v>0</v>
      </c>
      <c r="E22" s="806">
        <f t="shared" si="1"/>
        <v>38.553681569665038</v>
      </c>
      <c r="F22" s="806">
        <f t="shared" si="1"/>
        <v>2525.7291786420024</v>
      </c>
      <c r="G22" s="806">
        <f t="shared" si="1"/>
        <v>0</v>
      </c>
      <c r="H22" s="806">
        <f t="shared" si="1"/>
        <v>469490.26758031233</v>
      </c>
      <c r="I22" s="806">
        <f t="shared" si="1"/>
        <v>88124.8244300886</v>
      </c>
      <c r="J22" s="806">
        <f t="shared" si="1"/>
        <v>0</v>
      </c>
      <c r="K22" s="806">
        <f t="shared" si="1"/>
        <v>0</v>
      </c>
      <c r="L22" s="806">
        <f t="shared" si="1"/>
        <v>0</v>
      </c>
      <c r="M22" s="806">
        <f t="shared" si="1"/>
        <v>0</v>
      </c>
      <c r="N22" s="806">
        <f t="shared" si="1"/>
        <v>24922.118908049528</v>
      </c>
      <c r="O22" s="806">
        <f t="shared" si="1"/>
        <v>0</v>
      </c>
      <c r="P22" s="806">
        <f t="shared" si="1"/>
        <v>0</v>
      </c>
      <c r="Q22" s="806">
        <f t="shared" si="1"/>
        <v>0</v>
      </c>
      <c r="R22" s="806">
        <f t="shared" si="1"/>
        <v>585115.17479630199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1958.7258156396979</v>
      </c>
      <c r="D24" s="688">
        <f>+landbouw!C8</f>
        <v>0</v>
      </c>
      <c r="E24" s="688">
        <f>+landbouw!D8</f>
        <v>2393.8349072575975</v>
      </c>
      <c r="F24" s="688">
        <f>+landbouw!E8</f>
        <v>18.452509572672867</v>
      </c>
      <c r="G24" s="688">
        <f>+landbouw!F8</f>
        <v>6391.9723804415589</v>
      </c>
      <c r="H24" s="688">
        <f>+landbouw!G8</f>
        <v>0</v>
      </c>
      <c r="I24" s="688">
        <f>+landbouw!H8</f>
        <v>0</v>
      </c>
      <c r="J24" s="688">
        <f>+landbouw!I8</f>
        <v>0</v>
      </c>
      <c r="K24" s="688">
        <f>+landbouw!J8</f>
        <v>242.30391063516782</v>
      </c>
      <c r="L24" s="688">
        <f>+landbouw!K8</f>
        <v>0</v>
      </c>
      <c r="M24" s="688">
        <f>+landbouw!L8</f>
        <v>0</v>
      </c>
      <c r="N24" s="688">
        <f>+landbouw!M8</f>
        <v>0</v>
      </c>
      <c r="O24" s="688">
        <f>+landbouw!N8</f>
        <v>0</v>
      </c>
      <c r="P24" s="688">
        <f>+landbouw!O8</f>
        <v>0</v>
      </c>
      <c r="Q24" s="689">
        <f>+landbouw!P8</f>
        <v>0</v>
      </c>
      <c r="R24" s="691">
        <f>SUM(C24:Q24)</f>
        <v>11005.289523546695</v>
      </c>
      <c r="S24" s="68"/>
    </row>
    <row r="25" spans="1:19" s="457" customFormat="1" ht="15" thickBot="1">
      <c r="A25" s="825" t="s">
        <v>912</v>
      </c>
      <c r="B25" s="1001"/>
      <c r="C25" s="1002">
        <f>IF(Onbekend_ele_kWh="---",0,Onbekend_ele_kWh)/1000+IF(REST_rest_ele_kWh="---",0,REST_rest_ele_kWh)/1000</f>
        <v>11340.4379188455</v>
      </c>
      <c r="D25" s="1002"/>
      <c r="E25" s="1002">
        <f>IF(onbekend_gas_kWh="---",0,onbekend_gas_kWh)/1000+IF(REST_rest_gas_kWh="---",0,REST_rest_gas_kWh)/1000</f>
        <v>35549.175886268305</v>
      </c>
      <c r="F25" s="1002"/>
      <c r="G25" s="1002"/>
      <c r="H25" s="1002"/>
      <c r="I25" s="1002"/>
      <c r="J25" s="1002"/>
      <c r="K25" s="1002"/>
      <c r="L25" s="1002"/>
      <c r="M25" s="1002"/>
      <c r="N25" s="1002"/>
      <c r="O25" s="1002"/>
      <c r="P25" s="1002"/>
      <c r="Q25" s="1003"/>
      <c r="R25" s="691">
        <f>SUM(C25:Q25)</f>
        <v>46889.613805113804</v>
      </c>
      <c r="S25" s="68"/>
    </row>
    <row r="26" spans="1:19" s="457" customFormat="1" ht="15.75" thickBot="1">
      <c r="A26" s="694" t="s">
        <v>913</v>
      </c>
      <c r="B26" s="811"/>
      <c r="C26" s="806">
        <f>SUM(C24:C25)</f>
        <v>13299.163734485199</v>
      </c>
      <c r="D26" s="806">
        <f t="shared" ref="D26:R26" si="2">SUM(D24:D25)</f>
        <v>0</v>
      </c>
      <c r="E26" s="806">
        <f t="shared" si="2"/>
        <v>37943.0107935259</v>
      </c>
      <c r="F26" s="806">
        <f t="shared" si="2"/>
        <v>18.452509572672867</v>
      </c>
      <c r="G26" s="806">
        <f t="shared" si="2"/>
        <v>6391.9723804415589</v>
      </c>
      <c r="H26" s="806">
        <f t="shared" si="2"/>
        <v>0</v>
      </c>
      <c r="I26" s="806">
        <f t="shared" si="2"/>
        <v>0</v>
      </c>
      <c r="J26" s="806">
        <f t="shared" si="2"/>
        <v>0</v>
      </c>
      <c r="K26" s="806">
        <f t="shared" si="2"/>
        <v>242.30391063516782</v>
      </c>
      <c r="L26" s="806">
        <f t="shared" si="2"/>
        <v>0</v>
      </c>
      <c r="M26" s="806">
        <f t="shared" si="2"/>
        <v>0</v>
      </c>
      <c r="N26" s="806">
        <f t="shared" si="2"/>
        <v>0</v>
      </c>
      <c r="O26" s="806">
        <f t="shared" si="2"/>
        <v>0</v>
      </c>
      <c r="P26" s="806">
        <f t="shared" si="2"/>
        <v>0</v>
      </c>
      <c r="Q26" s="806">
        <f t="shared" si="2"/>
        <v>0</v>
      </c>
      <c r="R26" s="806">
        <f t="shared" si="2"/>
        <v>57894.903328660497</v>
      </c>
      <c r="S26" s="68"/>
    </row>
    <row r="27" spans="1:19" s="457" customFormat="1" ht="17.25" thickTop="1" thickBot="1">
      <c r="A27" s="695" t="s">
        <v>116</v>
      </c>
      <c r="B27" s="798"/>
      <c r="C27" s="696">
        <f ca="1">C22+C16+C26</f>
        <v>737357.29666714312</v>
      </c>
      <c r="D27" s="696">
        <f t="shared" ref="D27:R27" ca="1" si="3">D22+D16+D26</f>
        <v>5.0357142857142865</v>
      </c>
      <c r="E27" s="696">
        <f t="shared" ca="1" si="3"/>
        <v>1061389.5541581039</v>
      </c>
      <c r="F27" s="696">
        <f t="shared" si="3"/>
        <v>31822.842660756258</v>
      </c>
      <c r="G27" s="696">
        <f t="shared" ca="1" si="3"/>
        <v>254213.74333999812</v>
      </c>
      <c r="H27" s="696">
        <f t="shared" si="3"/>
        <v>469490.26758031233</v>
      </c>
      <c r="I27" s="696">
        <f t="shared" si="3"/>
        <v>88124.8244300886</v>
      </c>
      <c r="J27" s="696">
        <f t="shared" si="3"/>
        <v>0</v>
      </c>
      <c r="K27" s="696">
        <f t="shared" si="3"/>
        <v>528.89505872364691</v>
      </c>
      <c r="L27" s="696">
        <f t="shared" si="3"/>
        <v>0</v>
      </c>
      <c r="M27" s="696">
        <f t="shared" ca="1" si="3"/>
        <v>0</v>
      </c>
      <c r="N27" s="696">
        <f t="shared" si="3"/>
        <v>24922.118908049528</v>
      </c>
      <c r="O27" s="696">
        <f t="shared" ca="1" si="3"/>
        <v>38560.979207873956</v>
      </c>
      <c r="P27" s="696">
        <f t="shared" si="3"/>
        <v>415.84666666666669</v>
      </c>
      <c r="Q27" s="696">
        <f t="shared" si="3"/>
        <v>610.13333333333333</v>
      </c>
      <c r="R27" s="696">
        <f t="shared" ca="1" si="3"/>
        <v>2707441.537725335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100532.0450904545</v>
      </c>
      <c r="D40" s="688">
        <f ca="1">tertiair!C20</f>
        <v>1.1967226890756306</v>
      </c>
      <c r="E40" s="688">
        <f ca="1">tertiair!D20</f>
        <v>96025.421943330613</v>
      </c>
      <c r="F40" s="688">
        <f>tertiair!E20</f>
        <v>2766.4038442525748</v>
      </c>
      <c r="G40" s="688">
        <f ca="1">tertiair!F20</f>
        <v>25328.109119553741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224653.17672028049</v>
      </c>
    </row>
    <row r="41" spans="1:18">
      <c r="A41" s="816" t="s">
        <v>225</v>
      </c>
      <c r="B41" s="823"/>
      <c r="C41" s="688">
        <f ca="1">huishoudens!B12</f>
        <v>33331.320274399463</v>
      </c>
      <c r="D41" s="688">
        <f ca="1">huishoudens!C12</f>
        <v>0</v>
      </c>
      <c r="E41" s="688">
        <f>huishoudens!D12</f>
        <v>88011.684749855936</v>
      </c>
      <c r="F41" s="688">
        <f>huishoudens!E12</f>
        <v>3673.1045528829113</v>
      </c>
      <c r="G41" s="688">
        <f>huishoudens!F12</f>
        <v>29462.896553722567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154479.00613086089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23855.757273827454</v>
      </c>
      <c r="D43" s="688">
        <f ca="1">industrie!C22</f>
        <v>0</v>
      </c>
      <c r="E43" s="688">
        <f>industrie!D22</f>
        <v>22691.307222781146</v>
      </c>
      <c r="F43" s="688">
        <f>industrie!E22</f>
        <v>206.74764363145351</v>
      </c>
      <c r="G43" s="688">
        <f>industrie!F22</f>
        <v>11377.407172925294</v>
      </c>
      <c r="H43" s="688">
        <f>industrie!G22</f>
        <v>0</v>
      </c>
      <c r="I43" s="688">
        <f>industrie!H22</f>
        <v>0</v>
      </c>
      <c r="J43" s="688">
        <f>industrie!I22</f>
        <v>0</v>
      </c>
      <c r="K43" s="688">
        <f>industrie!J22</f>
        <v>101.45326642332159</v>
      </c>
      <c r="L43" s="688">
        <f>industrie!K22</f>
        <v>0</v>
      </c>
      <c r="M43" s="688">
        <f>industrie!L22</f>
        <v>0</v>
      </c>
      <c r="N43" s="688">
        <f>industrie!M22</f>
        <v>0</v>
      </c>
      <c r="O43" s="688">
        <f>industrie!N22</f>
        <v>0</v>
      </c>
      <c r="P43" s="688">
        <f>industrie!O22</f>
        <v>0</v>
      </c>
      <c r="Q43" s="763">
        <f>industrie!P22</f>
        <v>0</v>
      </c>
      <c r="R43" s="843">
        <f t="shared" ca="1" si="4"/>
        <v>58232.672579588667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157719.12263868141</v>
      </c>
      <c r="D46" s="721">
        <f t="shared" ref="D46:Q46" ca="1" si="5">SUM(D39:D45)</f>
        <v>1.1967226890756306</v>
      </c>
      <c r="E46" s="721">
        <f t="shared" ca="1" si="5"/>
        <v>206728.41391596771</v>
      </c>
      <c r="F46" s="721">
        <f t="shared" si="5"/>
        <v>6646.2560407669398</v>
      </c>
      <c r="G46" s="721">
        <f t="shared" ca="1" si="5"/>
        <v>66168.412846201594</v>
      </c>
      <c r="H46" s="721">
        <f t="shared" si="5"/>
        <v>0</v>
      </c>
      <c r="I46" s="721">
        <f t="shared" si="5"/>
        <v>0</v>
      </c>
      <c r="J46" s="721">
        <f t="shared" si="5"/>
        <v>0</v>
      </c>
      <c r="K46" s="721">
        <f t="shared" si="5"/>
        <v>101.45326642332159</v>
      </c>
      <c r="L46" s="721">
        <f t="shared" si="5"/>
        <v>0</v>
      </c>
      <c r="M46" s="721">
        <f t="shared" ca="1" si="5"/>
        <v>0</v>
      </c>
      <c r="N46" s="721">
        <f t="shared" si="5"/>
        <v>0</v>
      </c>
      <c r="O46" s="721">
        <f t="shared" ca="1" si="5"/>
        <v>0</v>
      </c>
      <c r="P46" s="721">
        <f t="shared" si="5"/>
        <v>0</v>
      </c>
      <c r="Q46" s="721">
        <f t="shared" si="5"/>
        <v>0</v>
      </c>
      <c r="R46" s="721">
        <f ca="1">SUM(R39:R45)</f>
        <v>437364.85543073004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6689.96743624602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6689.96743624602</v>
      </c>
    </row>
    <row r="50" spans="1:18">
      <c r="A50" s="819" t="s">
        <v>307</v>
      </c>
      <c r="B50" s="829"/>
      <c r="C50" s="1008">
        <f ca="1">transport!B18</f>
        <v>2.9801458919680068</v>
      </c>
      <c r="D50" s="1008">
        <f>transport!C18</f>
        <v>0</v>
      </c>
      <c r="E50" s="1008">
        <f>transport!D18</f>
        <v>7.7878436770723383</v>
      </c>
      <c r="F50" s="1008">
        <f>transport!E18</f>
        <v>573.34052355173458</v>
      </c>
      <c r="G50" s="1008">
        <f>transport!F18</f>
        <v>0</v>
      </c>
      <c r="H50" s="1008">
        <f>transport!G18</f>
        <v>118663.93400769737</v>
      </c>
      <c r="I50" s="1008">
        <f>transport!H18</f>
        <v>21943.081283092062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141191.12380391022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2.9801458919680068</v>
      </c>
      <c r="D52" s="721">
        <f t="shared" ref="D52:Q52" ca="1" si="6">SUM(D48:D51)</f>
        <v>0</v>
      </c>
      <c r="E52" s="721">
        <f t="shared" si="6"/>
        <v>7.7878436770723383</v>
      </c>
      <c r="F52" s="721">
        <f t="shared" si="6"/>
        <v>573.34052355173458</v>
      </c>
      <c r="G52" s="721">
        <f t="shared" si="6"/>
        <v>0</v>
      </c>
      <c r="H52" s="721">
        <f t="shared" si="6"/>
        <v>125353.9014439434</v>
      </c>
      <c r="I52" s="721">
        <f t="shared" si="6"/>
        <v>21943.081283092062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147881.09124015624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426.67065028306871</v>
      </c>
      <c r="D54" s="1008">
        <f ca="1">+landbouw!C12</f>
        <v>0</v>
      </c>
      <c r="E54" s="1008">
        <f>+landbouw!D12</f>
        <v>483.55465126603474</v>
      </c>
      <c r="F54" s="1008">
        <f>+landbouw!E12</f>
        <v>4.1887196729967409</v>
      </c>
      <c r="G54" s="1008">
        <f>+landbouw!F12</f>
        <v>1706.6566255778964</v>
      </c>
      <c r="H54" s="1008">
        <f>+landbouw!G12</f>
        <v>0</v>
      </c>
      <c r="I54" s="1008">
        <f>+landbouw!H12</f>
        <v>0</v>
      </c>
      <c r="J54" s="1008">
        <f>+landbouw!I12</f>
        <v>0</v>
      </c>
      <c r="K54" s="1008">
        <f>+landbouw!J12</f>
        <v>85.775584364849408</v>
      </c>
      <c r="L54" s="1008">
        <f>+landbouw!K12</f>
        <v>0</v>
      </c>
      <c r="M54" s="1008">
        <f>+landbouw!L12</f>
        <v>0</v>
      </c>
      <c r="N54" s="1008">
        <f>+landbouw!M12</f>
        <v>0</v>
      </c>
      <c r="O54" s="1008">
        <f>+landbouw!N12</f>
        <v>0</v>
      </c>
      <c r="P54" s="1008">
        <f>+landbouw!O12</f>
        <v>0</v>
      </c>
      <c r="Q54" s="1009">
        <f>+landbouw!P12</f>
        <v>0</v>
      </c>
      <c r="R54" s="720">
        <f ca="1">SUM(C54:Q54)</f>
        <v>2706.8462311648459</v>
      </c>
    </row>
    <row r="55" spans="1:18" ht="15" thickBot="1">
      <c r="A55" s="819" t="s">
        <v>912</v>
      </c>
      <c r="B55" s="829"/>
      <c r="C55" s="1008">
        <f ca="1">C25*'EF ele_warmte'!B12</f>
        <v>2470.2957313851184</v>
      </c>
      <c r="D55" s="1008"/>
      <c r="E55" s="1008">
        <f>E25*EF_CO2_aardgas</f>
        <v>7180.9335290261979</v>
      </c>
      <c r="F55" s="1008"/>
      <c r="G55" s="1008"/>
      <c r="H55" s="1008"/>
      <c r="I55" s="1008"/>
      <c r="J55" s="1008"/>
      <c r="K55" s="1008"/>
      <c r="L55" s="1008"/>
      <c r="M55" s="1008"/>
      <c r="N55" s="1008"/>
      <c r="O55" s="1008"/>
      <c r="P55" s="1008"/>
      <c r="Q55" s="1009"/>
      <c r="R55" s="720">
        <f ca="1">SUM(C55:Q55)</f>
        <v>9651.2292604113172</v>
      </c>
    </row>
    <row r="56" spans="1:18" ht="15.75" thickBot="1">
      <c r="A56" s="817" t="s">
        <v>913</v>
      </c>
      <c r="B56" s="830"/>
      <c r="C56" s="721">
        <f ca="1">SUM(C54:C55)</f>
        <v>2896.9663816681873</v>
      </c>
      <c r="D56" s="721">
        <f t="shared" ref="D56:Q56" ca="1" si="7">SUM(D54:D55)</f>
        <v>0</v>
      </c>
      <c r="E56" s="721">
        <f t="shared" si="7"/>
        <v>7664.4881802922328</v>
      </c>
      <c r="F56" s="721">
        <f t="shared" si="7"/>
        <v>4.1887196729967409</v>
      </c>
      <c r="G56" s="721">
        <f t="shared" si="7"/>
        <v>1706.6566255778964</v>
      </c>
      <c r="H56" s="721">
        <f t="shared" si="7"/>
        <v>0</v>
      </c>
      <c r="I56" s="721">
        <f t="shared" si="7"/>
        <v>0</v>
      </c>
      <c r="J56" s="721">
        <f t="shared" si="7"/>
        <v>0</v>
      </c>
      <c r="K56" s="721">
        <f t="shared" si="7"/>
        <v>85.775584364849408</v>
      </c>
      <c r="L56" s="721">
        <f t="shared" si="7"/>
        <v>0</v>
      </c>
      <c r="M56" s="721">
        <f t="shared" si="7"/>
        <v>0</v>
      </c>
      <c r="N56" s="721">
        <f t="shared" si="7"/>
        <v>0</v>
      </c>
      <c r="O56" s="721">
        <f t="shared" si="7"/>
        <v>0</v>
      </c>
      <c r="P56" s="721">
        <f t="shared" si="7"/>
        <v>0</v>
      </c>
      <c r="Q56" s="722">
        <f t="shared" si="7"/>
        <v>0</v>
      </c>
      <c r="R56" s="723">
        <f ca="1">SUM(R54:R55)</f>
        <v>12358.075491576163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160619.06916624156</v>
      </c>
      <c r="D61" s="729">
        <f t="shared" ref="D61:Q61" ca="1" si="8">D46+D52+D56</f>
        <v>1.1967226890756306</v>
      </c>
      <c r="E61" s="729">
        <f t="shared" ca="1" si="8"/>
        <v>214400.68993993703</v>
      </c>
      <c r="F61" s="729">
        <f t="shared" si="8"/>
        <v>7223.7852839916713</v>
      </c>
      <c r="G61" s="729">
        <f t="shared" ca="1" si="8"/>
        <v>67875.069471779498</v>
      </c>
      <c r="H61" s="729">
        <f t="shared" si="8"/>
        <v>125353.9014439434</v>
      </c>
      <c r="I61" s="729">
        <f t="shared" si="8"/>
        <v>21943.081283092062</v>
      </c>
      <c r="J61" s="729">
        <f t="shared" si="8"/>
        <v>0</v>
      </c>
      <c r="K61" s="729">
        <f t="shared" si="8"/>
        <v>187.228850788171</v>
      </c>
      <c r="L61" s="729">
        <f t="shared" si="8"/>
        <v>0</v>
      </c>
      <c r="M61" s="729">
        <f t="shared" ca="1" si="8"/>
        <v>0</v>
      </c>
      <c r="N61" s="729">
        <f t="shared" si="8"/>
        <v>0</v>
      </c>
      <c r="O61" s="729">
        <f t="shared" ca="1" si="8"/>
        <v>0</v>
      </c>
      <c r="P61" s="729">
        <f t="shared" si="8"/>
        <v>0</v>
      </c>
      <c r="Q61" s="729">
        <f t="shared" si="8"/>
        <v>0</v>
      </c>
      <c r="R61" s="729">
        <f ca="1">R46+R52+R56</f>
        <v>597604.02216246235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0.2178307177432707</v>
      </c>
      <c r="D63" s="773">
        <f t="shared" ca="1" si="9"/>
        <v>0.23764705882352946</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24</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9146.4437922144862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3.5250000000000004</v>
      </c>
      <c r="D76" s="1020">
        <f>'lokale energieproductie'!C8</f>
        <v>4.1470588235294121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0.8377058823529413</v>
      </c>
      <c r="R76" s="846">
        <v>0</v>
      </c>
    </row>
    <row r="77" spans="1:18" ht="30.75" thickBot="1">
      <c r="A77" s="742" t="s">
        <v>353</v>
      </c>
      <c r="B77" s="739">
        <f>'lokale energieproductie'!B9*IFERROR(SUM(I77:O77)/SUM(D77:O77),0)</f>
        <v>1404</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4011.4285714285716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10574.443792214486</v>
      </c>
      <c r="C78" s="744">
        <f>SUM(C72:C77)</f>
        <v>3.5250000000000004</v>
      </c>
      <c r="D78" s="745">
        <f t="shared" ref="D78:H78" si="10">SUM(D76:D77)</f>
        <v>4.1470588235294121</v>
      </c>
      <c r="E78" s="745">
        <f t="shared" si="10"/>
        <v>0</v>
      </c>
      <c r="F78" s="745">
        <f t="shared" si="10"/>
        <v>0</v>
      </c>
      <c r="G78" s="745">
        <f t="shared" si="10"/>
        <v>0</v>
      </c>
      <c r="H78" s="745">
        <f t="shared" si="10"/>
        <v>0</v>
      </c>
      <c r="I78" s="745">
        <f>SUM(I76:I77)</f>
        <v>0</v>
      </c>
      <c r="J78" s="745">
        <f>SUM(J76:J77)</f>
        <v>4011.4285714285716</v>
      </c>
      <c r="K78" s="745">
        <f t="shared" ref="K78:L78" si="11">SUM(K76:K77)</f>
        <v>0</v>
      </c>
      <c r="L78" s="745">
        <f t="shared" si="11"/>
        <v>0</v>
      </c>
      <c r="M78" s="745">
        <f>SUM(M76:M77)</f>
        <v>0</v>
      </c>
      <c r="N78" s="745">
        <f>SUM(N76:N77)</f>
        <v>0</v>
      </c>
      <c r="O78" s="854">
        <f>SUM(O76:O77)</f>
        <v>0</v>
      </c>
      <c r="P78" s="746">
        <v>0</v>
      </c>
      <c r="Q78" s="746">
        <f>SUM(Q76:Q77)</f>
        <v>0.8377058823529413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5.0357142857142865</v>
      </c>
      <c r="D87" s="766">
        <f>'lokale energieproductie'!C17</f>
        <v>5.9243697478991608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1.1967226890756306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5.0357142857142865</v>
      </c>
      <c r="D90" s="744">
        <f t="shared" ref="D90:H90" si="12">SUM(D87:D89)</f>
        <v>5.9243697478991608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1.1967226890756306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24</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9146.4437922144862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3.5250000000000004</v>
      </c>
      <c r="C8" s="558">
        <f>B101</f>
        <v>4.1470588235294121</v>
      </c>
      <c r="D8" s="991"/>
      <c r="E8" s="991">
        <f>E101</f>
        <v>0</v>
      </c>
      <c r="F8" s="992"/>
      <c r="G8" s="559"/>
      <c r="H8" s="991">
        <f>I101</f>
        <v>0</v>
      </c>
      <c r="I8" s="991">
        <f>G101+F101</f>
        <v>0</v>
      </c>
      <c r="J8" s="991">
        <f>H101+D101+C101</f>
        <v>0</v>
      </c>
      <c r="K8" s="991"/>
      <c r="L8" s="991"/>
      <c r="M8" s="991"/>
      <c r="N8" s="560"/>
      <c r="O8" s="561">
        <f>C8*$C$12+D8*$D$12+E8*$E$12+F8*$F$12+G8*$G$12+H8*$H$12+I8*$I$12+J8*$J$12</f>
        <v>0.8377058823529413</v>
      </c>
      <c r="P8" s="1245"/>
      <c r="Q8" s="1246"/>
      <c r="S8" s="1028"/>
      <c r="T8" s="1220"/>
      <c r="U8" s="1220"/>
    </row>
    <row r="9" spans="1:21" s="546" customFormat="1" ht="17.45" customHeight="1" thickBot="1">
      <c r="A9" s="562" t="s">
        <v>248</v>
      </c>
      <c r="B9" s="993">
        <f>N89+'Eigen informatie GS &amp; warmtenet'!B12</f>
        <v>1404</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10577.968792214486</v>
      </c>
      <c r="C10" s="570">
        <f t="shared" ref="C10:L10" si="0">SUM(C8:C9)</f>
        <v>4.1470588235294121</v>
      </c>
      <c r="D10" s="570">
        <f t="shared" si="0"/>
        <v>0</v>
      </c>
      <c r="E10" s="570">
        <f t="shared" si="0"/>
        <v>0</v>
      </c>
      <c r="F10" s="570">
        <f t="shared" si="0"/>
        <v>0</v>
      </c>
      <c r="G10" s="570">
        <f t="shared" si="0"/>
        <v>0</v>
      </c>
      <c r="H10" s="570">
        <f t="shared" si="0"/>
        <v>0</v>
      </c>
      <c r="I10" s="570">
        <f t="shared" si="0"/>
        <v>0</v>
      </c>
      <c r="J10" s="570">
        <f t="shared" si="0"/>
        <v>4011.4285714285716</v>
      </c>
      <c r="K10" s="570">
        <f t="shared" si="0"/>
        <v>0</v>
      </c>
      <c r="L10" s="570">
        <f t="shared" si="0"/>
        <v>0</v>
      </c>
      <c r="M10" s="995"/>
      <c r="N10" s="995"/>
      <c r="O10" s="571">
        <f>SUM(O4:O9)</f>
        <v>0.8377058823529413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5.0357142857142865</v>
      </c>
      <c r="C17" s="582">
        <f>B102</f>
        <v>5.9243697478991608</v>
      </c>
      <c r="D17" s="583"/>
      <c r="E17" s="583">
        <f>E102</f>
        <v>0</v>
      </c>
      <c r="F17" s="584"/>
      <c r="G17" s="585"/>
      <c r="H17" s="582">
        <f>I102</f>
        <v>0</v>
      </c>
      <c r="I17" s="583">
        <f>G102+F102</f>
        <v>0</v>
      </c>
      <c r="J17" s="583">
        <f>H102+D102+C102</f>
        <v>0</v>
      </c>
      <c r="K17" s="583"/>
      <c r="L17" s="583"/>
      <c r="M17" s="583"/>
      <c r="N17" s="998"/>
      <c r="O17" s="586">
        <f>C17*$C$22+E17*$E$22+H17*$H$22+I17*$I$22+J17*$J$22+D17*$D$22+F17*$F$22+G17*$G$22+K17*$K$22+L17*$L$22</f>
        <v>1.1967226890756306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5.0357142857142865</v>
      </c>
      <c r="C20" s="569">
        <f>SUM(C17:C19)</f>
        <v>5.9243697478991608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1.1967226890756306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24062</v>
      </c>
      <c r="C28" s="789">
        <v>3001</v>
      </c>
      <c r="D28" s="642" t="s">
        <v>948</v>
      </c>
      <c r="E28" s="641" t="s">
        <v>949</v>
      </c>
      <c r="F28" s="641" t="s">
        <v>950</v>
      </c>
      <c r="G28" s="641" t="s">
        <v>951</v>
      </c>
      <c r="H28" s="641" t="s">
        <v>952</v>
      </c>
      <c r="I28" s="641" t="s">
        <v>949</v>
      </c>
      <c r="J28" s="788">
        <v>40940</v>
      </c>
      <c r="K28" s="788">
        <v>41244</v>
      </c>
      <c r="L28" s="641" t="s">
        <v>953</v>
      </c>
      <c r="M28" s="641">
        <v>9.4</v>
      </c>
      <c r="N28" s="641">
        <v>3.5250000000000004</v>
      </c>
      <c r="O28" s="641">
        <v>5.0357142857142865</v>
      </c>
      <c r="P28" s="641">
        <v>10.071428571428573</v>
      </c>
      <c r="Q28" s="641">
        <v>0</v>
      </c>
      <c r="R28" s="641">
        <v>0</v>
      </c>
      <c r="S28" s="641">
        <v>0</v>
      </c>
      <c r="T28" s="641">
        <v>0</v>
      </c>
      <c r="U28" s="641">
        <v>0</v>
      </c>
      <c r="V28" s="641">
        <v>0</v>
      </c>
      <c r="W28" s="641"/>
      <c r="X28" s="641">
        <v>1500</v>
      </c>
      <c r="Y28" s="641" t="s">
        <v>51</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9.4</v>
      </c>
      <c r="N58" s="599">
        <f>SUM(N28:N57)</f>
        <v>3.5250000000000004</v>
      </c>
      <c r="O58" s="599">
        <f t="shared" ref="O58:W58" si="2">SUM(O28:O57)</f>
        <v>5.0357142857142865</v>
      </c>
      <c r="P58" s="599">
        <f t="shared" si="2"/>
        <v>10.071428571428573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9.4</v>
      </c>
      <c r="N60" s="599">
        <f ca="1">SUMIF($Z$28:AD57,"tertiair",N28:N57)</f>
        <v>3.5250000000000004</v>
      </c>
      <c r="O60" s="599">
        <f ca="1">SUMIF($Z$28:AE57,"tertiair",O28:O57)</f>
        <v>5.0357142857142865</v>
      </c>
      <c r="P60" s="599">
        <f ca="1">SUMIF($Z$28:AF57,"tertiair",P28:P57)</f>
        <v>10.071428571428573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24062</v>
      </c>
      <c r="C64" s="789">
        <v>3000</v>
      </c>
      <c r="D64" s="644" t="s">
        <v>954</v>
      </c>
      <c r="E64" s="644" t="s">
        <v>955</v>
      </c>
      <c r="F64" s="644" t="s">
        <v>956</v>
      </c>
      <c r="G64" s="644" t="s">
        <v>957</v>
      </c>
      <c r="H64" s="644" t="s">
        <v>958</v>
      </c>
      <c r="I64" s="644" t="s">
        <v>959</v>
      </c>
      <c r="J64" s="788">
        <v>36898</v>
      </c>
      <c r="K64" s="788">
        <v>37316</v>
      </c>
      <c r="L64" s="644" t="s">
        <v>960</v>
      </c>
      <c r="M64" s="644">
        <v>312</v>
      </c>
      <c r="N64" s="644">
        <v>1404</v>
      </c>
      <c r="O64" s="644">
        <v>0</v>
      </c>
      <c r="P64" s="644">
        <v>0</v>
      </c>
      <c r="Q64" s="644">
        <v>4011.4285714285716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312</v>
      </c>
      <c r="N89" s="599">
        <f t="shared" ref="N89:W89" si="5">SUM(N64:N88)</f>
        <v>1404</v>
      </c>
      <c r="O89" s="599">
        <f t="shared" si="5"/>
        <v>0</v>
      </c>
      <c r="P89" s="599">
        <f t="shared" si="5"/>
        <v>0</v>
      </c>
      <c r="Q89" s="599">
        <f t="shared" si="5"/>
        <v>4011.4285714285716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312</v>
      </c>
      <c r="N91" s="599">
        <f t="shared" si="7"/>
        <v>1404</v>
      </c>
      <c r="O91" s="599">
        <f t="shared" si="7"/>
        <v>0</v>
      </c>
      <c r="P91" s="599">
        <f t="shared" si="7"/>
        <v>0</v>
      </c>
      <c r="Q91" s="599">
        <f t="shared" si="7"/>
        <v>4011.4285714285716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4.1470588235294121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5.9243697478991608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153014.78423113329</v>
      </c>
      <c r="C4" s="461">
        <f>huishoudens!C8</f>
        <v>0</v>
      </c>
      <c r="D4" s="461">
        <f>huishoudens!D8</f>
        <v>435701.40965275216</v>
      </c>
      <c r="E4" s="461">
        <f>huishoudens!E8</f>
        <v>16181.07732547538</v>
      </c>
      <c r="F4" s="461">
        <f>huishoudens!F8</f>
        <v>110347.92716750024</v>
      </c>
      <c r="G4" s="461">
        <f>huishoudens!G8</f>
        <v>0</v>
      </c>
      <c r="H4" s="461">
        <f>huishoudens!H8</f>
        <v>0</v>
      </c>
      <c r="I4" s="461">
        <f>huishoudens!I8</f>
        <v>0</v>
      </c>
      <c r="J4" s="461">
        <f>huishoudens!J8</f>
        <v>0</v>
      </c>
      <c r="K4" s="461">
        <f>huishoudens!K8</f>
        <v>0</v>
      </c>
      <c r="L4" s="461">
        <f>huishoudens!L8</f>
        <v>0</v>
      </c>
      <c r="M4" s="461">
        <f>huishoudens!M8</f>
        <v>0</v>
      </c>
      <c r="N4" s="461">
        <f>huishoudens!N8</f>
        <v>22266.413238974124</v>
      </c>
      <c r="O4" s="461">
        <f>huishoudens!O8</f>
        <v>406.4666666666667</v>
      </c>
      <c r="P4" s="462">
        <f>huishoudens!P8</f>
        <v>610.13333333333333</v>
      </c>
      <c r="Q4" s="463">
        <f>SUM(B4:P4)</f>
        <v>738528.2116158352</v>
      </c>
    </row>
    <row r="5" spans="1:17">
      <c r="A5" s="460" t="s">
        <v>156</v>
      </c>
      <c r="B5" s="461">
        <f ca="1">tertiair!B16</f>
        <v>455937.28731439117</v>
      </c>
      <c r="C5" s="461">
        <f ca="1">tertiair!C16</f>
        <v>5.0357142857142865</v>
      </c>
      <c r="D5" s="461">
        <f ca="1">tertiair!D16</f>
        <v>475373.3759570822</v>
      </c>
      <c r="E5" s="461">
        <f>tertiair!E16</f>
        <v>12186.801076002532</v>
      </c>
      <c r="F5" s="461">
        <f ca="1">tertiair!F16</f>
        <v>94861.831908440974</v>
      </c>
      <c r="G5" s="461">
        <f>tertiair!G16</f>
        <v>0</v>
      </c>
      <c r="H5" s="461">
        <f>tertiair!H16</f>
        <v>0</v>
      </c>
      <c r="I5" s="461">
        <f>tertiair!I16</f>
        <v>0</v>
      </c>
      <c r="J5" s="461">
        <f>tertiair!J16</f>
        <v>0</v>
      </c>
      <c r="K5" s="461">
        <f>tertiair!K16</f>
        <v>0</v>
      </c>
      <c r="L5" s="461">
        <f ca="1">tertiair!L16</f>
        <v>0</v>
      </c>
      <c r="M5" s="461">
        <f>tertiair!M16</f>
        <v>0</v>
      </c>
      <c r="N5" s="461">
        <f ca="1">tertiair!N16</f>
        <v>11162.241049311328</v>
      </c>
      <c r="O5" s="461">
        <f>tertiair!O16</f>
        <v>9.3800000000000008</v>
      </c>
      <c r="P5" s="462">
        <f>tertiair!P16</f>
        <v>0</v>
      </c>
      <c r="Q5" s="460">
        <f t="shared" ref="Q5:Q14" ca="1" si="0">SUM(B5:P5)</f>
        <v>1049535.953019514</v>
      </c>
    </row>
    <row r="6" spans="1:17">
      <c r="A6" s="460" t="s">
        <v>194</v>
      </c>
      <c r="B6" s="461">
        <f>'openbare verlichting'!B8</f>
        <v>5577.26</v>
      </c>
      <c r="C6" s="461"/>
      <c r="D6" s="461"/>
      <c r="E6" s="461"/>
      <c r="F6" s="461"/>
      <c r="G6" s="461"/>
      <c r="H6" s="461"/>
      <c r="I6" s="461"/>
      <c r="J6" s="461"/>
      <c r="K6" s="461"/>
      <c r="L6" s="461"/>
      <c r="M6" s="461"/>
      <c r="N6" s="461"/>
      <c r="O6" s="461"/>
      <c r="P6" s="462"/>
      <c r="Q6" s="460">
        <f t="shared" si="0"/>
        <v>5577.26</v>
      </c>
    </row>
    <row r="7" spans="1:17">
      <c r="A7" s="460" t="s">
        <v>112</v>
      </c>
      <c r="B7" s="461">
        <f>landbouw!B8</f>
        <v>1958.7258156396979</v>
      </c>
      <c r="C7" s="461">
        <f>landbouw!C8</f>
        <v>0</v>
      </c>
      <c r="D7" s="461">
        <f>landbouw!D8</f>
        <v>2393.8349072575975</v>
      </c>
      <c r="E7" s="461">
        <f>landbouw!E8</f>
        <v>18.452509572672867</v>
      </c>
      <c r="F7" s="461">
        <f>landbouw!F8</f>
        <v>6391.9723804415589</v>
      </c>
      <c r="G7" s="461">
        <f>landbouw!G8</f>
        <v>0</v>
      </c>
      <c r="H7" s="461">
        <f>landbouw!H8</f>
        <v>0</v>
      </c>
      <c r="I7" s="461">
        <f>landbouw!I8</f>
        <v>0</v>
      </c>
      <c r="J7" s="461">
        <f>landbouw!J8</f>
        <v>242.30391063516782</v>
      </c>
      <c r="K7" s="461">
        <f>landbouw!K8</f>
        <v>0</v>
      </c>
      <c r="L7" s="461">
        <f>landbouw!L8</f>
        <v>0</v>
      </c>
      <c r="M7" s="461">
        <f>landbouw!M8</f>
        <v>0</v>
      </c>
      <c r="N7" s="461">
        <f>landbouw!N8</f>
        <v>0</v>
      </c>
      <c r="O7" s="461">
        <f>landbouw!O8</f>
        <v>0</v>
      </c>
      <c r="P7" s="462">
        <f>landbouw!P8</f>
        <v>0</v>
      </c>
      <c r="Q7" s="460">
        <f t="shared" si="0"/>
        <v>11005.289523546695</v>
      </c>
    </row>
    <row r="8" spans="1:17">
      <c r="A8" s="460" t="s">
        <v>685</v>
      </c>
      <c r="B8" s="461">
        <f>industrie!B18</f>
        <v>109515.1203694935</v>
      </c>
      <c r="C8" s="461">
        <f>industrie!C18</f>
        <v>0</v>
      </c>
      <c r="D8" s="461">
        <f>industrie!D18</f>
        <v>112333.20407317398</v>
      </c>
      <c r="E8" s="461">
        <f>industrie!E18</f>
        <v>910.78257106367187</v>
      </c>
      <c r="F8" s="461">
        <f>industrie!F18</f>
        <v>42612.011883615327</v>
      </c>
      <c r="G8" s="461">
        <f>industrie!G18</f>
        <v>0</v>
      </c>
      <c r="H8" s="461">
        <f>industrie!H18</f>
        <v>0</v>
      </c>
      <c r="I8" s="461">
        <f>industrie!I18</f>
        <v>0</v>
      </c>
      <c r="J8" s="461">
        <f>industrie!J18</f>
        <v>286.59114808847909</v>
      </c>
      <c r="K8" s="461">
        <f>industrie!K18</f>
        <v>0</v>
      </c>
      <c r="L8" s="461">
        <f>industrie!L18</f>
        <v>0</v>
      </c>
      <c r="M8" s="461">
        <f>industrie!M18</f>
        <v>0</v>
      </c>
      <c r="N8" s="461">
        <f>industrie!N18</f>
        <v>5132.3249195885019</v>
      </c>
      <c r="O8" s="461">
        <f>industrie!O18</f>
        <v>0</v>
      </c>
      <c r="P8" s="462">
        <f>industrie!P18</f>
        <v>0</v>
      </c>
      <c r="Q8" s="460">
        <f t="shared" si="0"/>
        <v>270790.03496502346</v>
      </c>
    </row>
    <row r="9" spans="1:17" s="466" customFormat="1">
      <c r="A9" s="464" t="s">
        <v>579</v>
      </c>
      <c r="B9" s="465">
        <f>transport!B14</f>
        <v>13.68101763994702</v>
      </c>
      <c r="C9" s="465">
        <f>transport!C14</f>
        <v>0</v>
      </c>
      <c r="D9" s="465">
        <f>transport!D14</f>
        <v>38.553681569665038</v>
      </c>
      <c r="E9" s="465">
        <f>transport!E14</f>
        <v>2525.7291786420024</v>
      </c>
      <c r="F9" s="465">
        <f>transport!F14</f>
        <v>0</v>
      </c>
      <c r="G9" s="465">
        <f>transport!G14</f>
        <v>444434.2097666568</v>
      </c>
      <c r="H9" s="465">
        <f>transport!H14</f>
        <v>88124.8244300886</v>
      </c>
      <c r="I9" s="465">
        <f>transport!I14</f>
        <v>0</v>
      </c>
      <c r="J9" s="465">
        <f>transport!J14</f>
        <v>0</v>
      </c>
      <c r="K9" s="465">
        <f>transport!K14</f>
        <v>0</v>
      </c>
      <c r="L9" s="465">
        <f>transport!L14</f>
        <v>0</v>
      </c>
      <c r="M9" s="465">
        <f>transport!M14</f>
        <v>23821.866076899154</v>
      </c>
      <c r="N9" s="465">
        <f>transport!N14</f>
        <v>0</v>
      </c>
      <c r="O9" s="465">
        <f>transport!O14</f>
        <v>0</v>
      </c>
      <c r="P9" s="465">
        <f>transport!P14</f>
        <v>0</v>
      </c>
      <c r="Q9" s="464">
        <f>SUM(B9:P9)</f>
        <v>558958.86415149609</v>
      </c>
    </row>
    <row r="10" spans="1:17">
      <c r="A10" s="460" t="s">
        <v>569</v>
      </c>
      <c r="B10" s="461">
        <f>transport!B54</f>
        <v>0</v>
      </c>
      <c r="C10" s="461">
        <f>transport!C54</f>
        <v>0</v>
      </c>
      <c r="D10" s="461">
        <f>transport!D54</f>
        <v>0</v>
      </c>
      <c r="E10" s="461">
        <f>transport!E54</f>
        <v>0</v>
      </c>
      <c r="F10" s="461">
        <f>transport!F54</f>
        <v>0</v>
      </c>
      <c r="G10" s="461">
        <f>transport!G54</f>
        <v>25056.057813655505</v>
      </c>
      <c r="H10" s="461">
        <f>transport!H54</f>
        <v>0</v>
      </c>
      <c r="I10" s="461">
        <f>transport!I54</f>
        <v>0</v>
      </c>
      <c r="J10" s="461">
        <f>transport!J54</f>
        <v>0</v>
      </c>
      <c r="K10" s="461">
        <f>transport!K54</f>
        <v>0</v>
      </c>
      <c r="L10" s="461">
        <f>transport!L54</f>
        <v>0</v>
      </c>
      <c r="M10" s="461">
        <f>transport!M54</f>
        <v>1100.2528311503729</v>
      </c>
      <c r="N10" s="461">
        <f>transport!N54</f>
        <v>0</v>
      </c>
      <c r="O10" s="461">
        <f>transport!O54</f>
        <v>0</v>
      </c>
      <c r="P10" s="462">
        <f>transport!P54</f>
        <v>0</v>
      </c>
      <c r="Q10" s="460">
        <f t="shared" si="0"/>
        <v>26156.310644805879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11340.4379188455</v>
      </c>
      <c r="C14" s="468"/>
      <c r="D14" s="468">
        <f>'SEAP template'!E25</f>
        <v>35549.175886268305</v>
      </c>
      <c r="E14" s="468"/>
      <c r="F14" s="468"/>
      <c r="G14" s="468"/>
      <c r="H14" s="468"/>
      <c r="I14" s="468"/>
      <c r="J14" s="468"/>
      <c r="K14" s="468"/>
      <c r="L14" s="468"/>
      <c r="M14" s="468"/>
      <c r="N14" s="468"/>
      <c r="O14" s="468"/>
      <c r="P14" s="469"/>
      <c r="Q14" s="460">
        <f t="shared" si="0"/>
        <v>46889.613805113804</v>
      </c>
    </row>
    <row r="15" spans="1:17" s="473" customFormat="1">
      <c r="A15" s="470" t="s">
        <v>573</v>
      </c>
      <c r="B15" s="471">
        <f ca="1">SUM(B4:B14)</f>
        <v>737357.29666714312</v>
      </c>
      <c r="C15" s="471">
        <f t="shared" ref="C15:Q15" ca="1" si="1">SUM(C4:C14)</f>
        <v>5.0357142857142865</v>
      </c>
      <c r="D15" s="471">
        <f t="shared" ca="1" si="1"/>
        <v>1061389.5541581039</v>
      </c>
      <c r="E15" s="471">
        <f t="shared" si="1"/>
        <v>31822.842660756258</v>
      </c>
      <c r="F15" s="471">
        <f t="shared" ca="1" si="1"/>
        <v>254213.74333999812</v>
      </c>
      <c r="G15" s="471">
        <f t="shared" si="1"/>
        <v>469490.26758031233</v>
      </c>
      <c r="H15" s="471">
        <f t="shared" si="1"/>
        <v>88124.8244300886</v>
      </c>
      <c r="I15" s="471">
        <f t="shared" si="1"/>
        <v>0</v>
      </c>
      <c r="J15" s="471">
        <f t="shared" si="1"/>
        <v>528.89505872364691</v>
      </c>
      <c r="K15" s="471">
        <f t="shared" si="1"/>
        <v>0</v>
      </c>
      <c r="L15" s="471">
        <f t="shared" ca="1" si="1"/>
        <v>0</v>
      </c>
      <c r="M15" s="471">
        <f t="shared" si="1"/>
        <v>24922.118908049528</v>
      </c>
      <c r="N15" s="471">
        <f t="shared" ca="1" si="1"/>
        <v>38560.979207873956</v>
      </c>
      <c r="O15" s="471">
        <f t="shared" si="1"/>
        <v>415.84666666666669</v>
      </c>
      <c r="P15" s="471">
        <f t="shared" si="1"/>
        <v>610.13333333333333</v>
      </c>
      <c r="Q15" s="471">
        <f t="shared" ca="1" si="1"/>
        <v>2707441.537725335</v>
      </c>
    </row>
    <row r="17" spans="1:17">
      <c r="A17" s="474" t="s">
        <v>574</v>
      </c>
      <c r="B17" s="778">
        <f ca="1">huishoudens!B10</f>
        <v>0.2178307177432707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33331.320274399463</v>
      </c>
      <c r="C22" s="461">
        <f t="shared" ref="C22:C32" ca="1" si="3">C4*$C$17</f>
        <v>0</v>
      </c>
      <c r="D22" s="461">
        <f t="shared" ref="D22:D32" si="4">D4*$D$17</f>
        <v>88011.684749855936</v>
      </c>
      <c r="E22" s="461">
        <f t="shared" ref="E22:E32" si="5">E4*$E$17</f>
        <v>3673.1045528829113</v>
      </c>
      <c r="F22" s="461">
        <f t="shared" ref="F22:F32" si="6">F4*$F$17</f>
        <v>29462.896553722567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154479.00613086089</v>
      </c>
    </row>
    <row r="23" spans="1:17">
      <c r="A23" s="460" t="s">
        <v>156</v>
      </c>
      <c r="B23" s="461">
        <f t="shared" ca="1" si="2"/>
        <v>99317.146541613663</v>
      </c>
      <c r="C23" s="461">
        <f t="shared" ca="1" si="3"/>
        <v>1.1967226890756306</v>
      </c>
      <c r="D23" s="461">
        <f t="shared" ca="1" si="4"/>
        <v>96025.421943330613</v>
      </c>
      <c r="E23" s="461">
        <f t="shared" si="5"/>
        <v>2766.4038442525748</v>
      </c>
      <c r="F23" s="461">
        <f t="shared" ca="1" si="6"/>
        <v>25328.109119553741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223438.27817143966</v>
      </c>
    </row>
    <row r="24" spans="1:17">
      <c r="A24" s="460" t="s">
        <v>194</v>
      </c>
      <c r="B24" s="461">
        <f t="shared" ca="1" si="2"/>
        <v>1214.8985488408341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1214.8985488408341</v>
      </c>
    </row>
    <row r="25" spans="1:17">
      <c r="A25" s="460" t="s">
        <v>112</v>
      </c>
      <c r="B25" s="461">
        <f t="shared" ca="1" si="2"/>
        <v>426.67065028306871</v>
      </c>
      <c r="C25" s="461">
        <f t="shared" ca="1" si="3"/>
        <v>0</v>
      </c>
      <c r="D25" s="461">
        <f t="shared" si="4"/>
        <v>483.55465126603474</v>
      </c>
      <c r="E25" s="461">
        <f t="shared" si="5"/>
        <v>4.1887196729967409</v>
      </c>
      <c r="F25" s="461">
        <f t="shared" si="6"/>
        <v>1706.6566255778964</v>
      </c>
      <c r="G25" s="461">
        <f t="shared" si="7"/>
        <v>0</v>
      </c>
      <c r="H25" s="461">
        <f t="shared" si="8"/>
        <v>0</v>
      </c>
      <c r="I25" s="461">
        <f t="shared" si="9"/>
        <v>0</v>
      </c>
      <c r="J25" s="461">
        <f t="shared" si="10"/>
        <v>85.775584364849408</v>
      </c>
      <c r="K25" s="461">
        <f t="shared" si="11"/>
        <v>0</v>
      </c>
      <c r="L25" s="461">
        <f t="shared" si="12"/>
        <v>0</v>
      </c>
      <c r="M25" s="461">
        <f t="shared" si="13"/>
        <v>0</v>
      </c>
      <c r="N25" s="461">
        <f t="shared" si="14"/>
        <v>0</v>
      </c>
      <c r="O25" s="461">
        <f t="shared" si="15"/>
        <v>0</v>
      </c>
      <c r="P25" s="462">
        <f t="shared" si="16"/>
        <v>0</v>
      </c>
      <c r="Q25" s="460">
        <f t="shared" ca="1" si="17"/>
        <v>2706.8462311648459</v>
      </c>
    </row>
    <row r="26" spans="1:17">
      <c r="A26" s="460" t="s">
        <v>685</v>
      </c>
      <c r="B26" s="461">
        <f t="shared" ca="1" si="2"/>
        <v>23855.757273827454</v>
      </c>
      <c r="C26" s="461">
        <f t="shared" ca="1" si="3"/>
        <v>0</v>
      </c>
      <c r="D26" s="461">
        <f t="shared" si="4"/>
        <v>22691.307222781146</v>
      </c>
      <c r="E26" s="461">
        <f t="shared" si="5"/>
        <v>206.74764363145351</v>
      </c>
      <c r="F26" s="461">
        <f t="shared" si="6"/>
        <v>11377.407172925294</v>
      </c>
      <c r="G26" s="461">
        <f t="shared" si="7"/>
        <v>0</v>
      </c>
      <c r="H26" s="461">
        <f t="shared" si="8"/>
        <v>0</v>
      </c>
      <c r="I26" s="461">
        <f t="shared" si="9"/>
        <v>0</v>
      </c>
      <c r="J26" s="461">
        <f t="shared" si="10"/>
        <v>101.45326642332159</v>
      </c>
      <c r="K26" s="461">
        <f t="shared" si="11"/>
        <v>0</v>
      </c>
      <c r="L26" s="461">
        <f t="shared" si="12"/>
        <v>0</v>
      </c>
      <c r="M26" s="461">
        <f t="shared" si="13"/>
        <v>0</v>
      </c>
      <c r="N26" s="461">
        <f t="shared" si="14"/>
        <v>0</v>
      </c>
      <c r="O26" s="461">
        <f t="shared" si="15"/>
        <v>0</v>
      </c>
      <c r="P26" s="462">
        <f t="shared" si="16"/>
        <v>0</v>
      </c>
      <c r="Q26" s="460">
        <f t="shared" ca="1" si="17"/>
        <v>58232.672579588667</v>
      </c>
    </row>
    <row r="27" spans="1:17" s="466" customFormat="1">
      <c r="A27" s="464" t="s">
        <v>579</v>
      </c>
      <c r="B27" s="772">
        <f t="shared" ca="1" si="2"/>
        <v>2.9801458919680068</v>
      </c>
      <c r="C27" s="465">
        <f t="shared" ca="1" si="3"/>
        <v>0</v>
      </c>
      <c r="D27" s="465">
        <f t="shared" si="4"/>
        <v>7.7878436770723383</v>
      </c>
      <c r="E27" s="465">
        <f t="shared" si="5"/>
        <v>573.34052355173458</v>
      </c>
      <c r="F27" s="465">
        <f t="shared" si="6"/>
        <v>0</v>
      </c>
      <c r="G27" s="465">
        <f t="shared" si="7"/>
        <v>118663.93400769737</v>
      </c>
      <c r="H27" s="465">
        <f t="shared" si="8"/>
        <v>21943.081283092062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141191.12380391022</v>
      </c>
    </row>
    <row r="28" spans="1:17">
      <c r="A28" s="460" t="s">
        <v>569</v>
      </c>
      <c r="B28" s="461">
        <f t="shared" ca="1" si="2"/>
        <v>0</v>
      </c>
      <c r="C28" s="461">
        <f t="shared" ca="1" si="3"/>
        <v>0</v>
      </c>
      <c r="D28" s="461">
        <f t="shared" si="4"/>
        <v>0</v>
      </c>
      <c r="E28" s="461">
        <f t="shared" si="5"/>
        <v>0</v>
      </c>
      <c r="F28" s="461">
        <f t="shared" si="6"/>
        <v>0</v>
      </c>
      <c r="G28" s="461">
        <f t="shared" si="7"/>
        <v>6689.96743624602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6689.96743624602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2470.2957313851184</v>
      </c>
      <c r="C32" s="461">
        <f t="shared" ca="1" si="3"/>
        <v>0</v>
      </c>
      <c r="D32" s="461">
        <f t="shared" si="4"/>
        <v>7180.9335290261979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9651.2292604113172</v>
      </c>
    </row>
    <row r="33" spans="1:17" s="473" customFormat="1">
      <c r="A33" s="470" t="s">
        <v>573</v>
      </c>
      <c r="B33" s="471">
        <f ca="1">SUM(B22:B32)</f>
        <v>160619.06916624156</v>
      </c>
      <c r="C33" s="471">
        <f t="shared" ref="C33:Q33" ca="1" si="18">SUM(C22:C32)</f>
        <v>1.1967226890756306</v>
      </c>
      <c r="D33" s="471">
        <f t="shared" ca="1" si="18"/>
        <v>214400.689939937</v>
      </c>
      <c r="E33" s="471">
        <f t="shared" si="18"/>
        <v>7223.7852839916713</v>
      </c>
      <c r="F33" s="471">
        <f t="shared" ca="1" si="18"/>
        <v>67875.069471779498</v>
      </c>
      <c r="G33" s="471">
        <f t="shared" si="18"/>
        <v>125353.9014439434</v>
      </c>
      <c r="H33" s="471">
        <f t="shared" si="18"/>
        <v>21943.081283092062</v>
      </c>
      <c r="I33" s="471">
        <f t="shared" si="18"/>
        <v>0</v>
      </c>
      <c r="J33" s="471">
        <f t="shared" si="18"/>
        <v>187.228850788171</v>
      </c>
      <c r="K33" s="471">
        <f t="shared" si="18"/>
        <v>0</v>
      </c>
      <c r="L33" s="471">
        <f t="shared" ca="1" si="18"/>
        <v>0</v>
      </c>
      <c r="M33" s="471">
        <f t="shared" si="18"/>
        <v>0</v>
      </c>
      <c r="N33" s="471">
        <f t="shared" ca="1" si="18"/>
        <v>0</v>
      </c>
      <c r="O33" s="471">
        <f t="shared" si="18"/>
        <v>0</v>
      </c>
      <c r="P33" s="471">
        <f t="shared" si="18"/>
        <v>0</v>
      </c>
      <c r="Q33" s="471">
        <f t="shared" ca="1" si="18"/>
        <v>597604.02216246247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24</v>
      </c>
      <c r="C5" s="1037"/>
      <c r="D5" s="1037"/>
      <c r="E5" s="1037"/>
      <c r="F5" s="1037"/>
      <c r="G5" s="1037"/>
      <c r="H5" s="1037"/>
      <c r="I5" s="1037"/>
      <c r="J5" s="1037"/>
      <c r="K5" s="1037"/>
      <c r="L5" s="1037"/>
      <c r="M5" s="1037"/>
      <c r="N5" s="1037"/>
      <c r="O5" s="1037"/>
      <c r="P5" s="1038">
        <f>'SEAP template'!Q73</f>
        <v>0</v>
      </c>
    </row>
    <row r="6" spans="1:16">
      <c r="A6" s="1039" t="s">
        <v>251</v>
      </c>
      <c r="B6" s="1037">
        <f>'SEAP template'!B74</f>
        <v>9146.4437922144862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3.5250000000000004</v>
      </c>
      <c r="D8" s="1037">
        <f>'SEAP template'!D76</f>
        <v>4.1470588235294121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0.8377058823529413</v>
      </c>
    </row>
    <row r="9" spans="1:16">
      <c r="A9" s="1040" t="s">
        <v>924</v>
      </c>
      <c r="B9" s="1037">
        <f>'SEAP template'!B77</f>
        <v>1404</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4011.4285714285716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10574.443792214486</v>
      </c>
      <c r="C10" s="1041">
        <f>SUM(C4:C9)</f>
        <v>3.5250000000000004</v>
      </c>
      <c r="D10" s="1041">
        <f t="shared" ref="D10:H10" si="0">SUM(D8:D9)</f>
        <v>4.1470588235294121</v>
      </c>
      <c r="E10" s="1041">
        <f t="shared" si="0"/>
        <v>0</v>
      </c>
      <c r="F10" s="1041">
        <f t="shared" si="0"/>
        <v>0</v>
      </c>
      <c r="G10" s="1041">
        <f t="shared" si="0"/>
        <v>0</v>
      </c>
      <c r="H10" s="1041">
        <f t="shared" si="0"/>
        <v>0</v>
      </c>
      <c r="I10" s="1041">
        <f>SUM(I8:I9)</f>
        <v>0</v>
      </c>
      <c r="J10" s="1041">
        <f>SUM(J8:J9)</f>
        <v>4011.4285714285716</v>
      </c>
      <c r="K10" s="1041">
        <f t="shared" ref="K10:L10" si="1">SUM(K8:K9)</f>
        <v>0</v>
      </c>
      <c r="L10" s="1041">
        <f t="shared" si="1"/>
        <v>0</v>
      </c>
      <c r="M10" s="1041">
        <f>SUM(M8:M9)</f>
        <v>0</v>
      </c>
      <c r="N10" s="1041">
        <f>SUM(N8:N9)</f>
        <v>0</v>
      </c>
      <c r="O10" s="1041">
        <f>SUM(O8:O9)</f>
        <v>0</v>
      </c>
      <c r="P10" s="1041">
        <f>SUM(P8:P9)</f>
        <v>0.8377058823529413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0.2178307177432707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5.0357142857142865</v>
      </c>
      <c r="D17" s="1038">
        <f>'SEAP template'!D87</f>
        <v>5.9243697478991608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1.1967226890756306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5.0357142857142865</v>
      </c>
      <c r="D20" s="1041">
        <f t="shared" ref="D20:H20" si="2">SUM(D17:D19)</f>
        <v>5.9243697478991608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1.1967226890756306</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0.2178307177432707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2019-08-12T07:53:58Z</dcterms:modified>
</cp:coreProperties>
</file>