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<sst xmlns="http://schemas.openxmlformats.org/spreadsheetml/2006/main" count="2504" uniqueCount="958">
  <si>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</si>
  <si>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</si>
  <si>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</si>
  <si>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</si>
  <si>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</si>
  <si>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</si>
  <si>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</si>
  <si>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</si>
  <si>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</si>
  <si>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</si>
  <si>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</si>
  <si>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</si>
  <si>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</si>
  <si>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</si>
  <si>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</si>
  <si>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</si>
  <si>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</si>
  <si>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</si>
  <si>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</si>
  <si>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</si>
  <si>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</si>
  <si>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</si>
  <si>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</si>
  <si>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</si>
  <si>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</si>
  <si>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</si>
  <si>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</si>
  <si>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</si>
  <si>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</si>
  <si>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</si>
  <si>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</si>
  <si>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</si>
  <si>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</si>
  <si>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</si>
  <si>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</si>
  <si>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</si>
  <si>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</si>
  <si>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</si>
  <si>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</si>
  <si>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</si>
  <si>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</si>
  <si>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</si>
  <si>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</si>
  <si>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</si>
  <si>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</si>
  <si>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</si>
  <si>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</si>
  <si>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</si>
  <si>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</si>
  <si>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</si>
  <si>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</si>
  <si>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</si>
  <si>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</si>
  <si>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</si>
  <si>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</si>
  <si>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</si>
  <si>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</si>
  <si>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</si>
  <si>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</si>
  <si>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</si>
  <si>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</si>
  <si>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</si>
  <si>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</si>
  <si>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</si>
  <si>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</si>
  <si>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</si>
  <si>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</si>
  <si>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</si>
  <si>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</si>
  <si>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</si>
  <si>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</si>
  <si>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</si>
  <si>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</si>
  <si>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</si>
  <si>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</si>
  <si>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</si>
  <si>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</si>
  <si>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</si>
  <si>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</si>
  <si>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</si>
  <si>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</si>
  <si>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</si>
  <si>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</si>
  <si>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</si>
  <si>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</si>
  <si>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</si>
  <si>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</si>
  <si>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</si>
  <si>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</si>
  <si>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</si>
  <si>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</si>
  <si>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</si>
  <si>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</si>
  <si>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</si>
  <si>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</si>
  <si>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</si>
  <si>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</si>
  <si>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</si>
  <si>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</si>
  <si>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</si>
  <si>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</si>
  <si>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</si>
  <si>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</si>
  <si>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</si>
  <si>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</si>
  <si>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</si>
  <si>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</si>
  <si>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</si>
  <si>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</si>
  <si>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</si>
  <si>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</si>
  <si>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</si>
  <si>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</si>
  <si>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</si>
  <si>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</si>
  <si>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</si>
  <si>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</si>
  <si>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</si>
  <si>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</si>
  <si>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</si>
  <si>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</si>
  <si>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</si>
  <si>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</si>
  <si>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</si>
  <si>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</si>
  <si>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</si>
  <si>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</si>
  <si>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</si>
  <si>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</si>
  <si>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</si>
  <si>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</si>
  <si>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</si>
  <si>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</si>
  <si>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</si>
  <si>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</si>
  <si>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</si>
  <si>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</si>
  <si>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</si>
  <si>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</si>
  <si>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</si>
  <si>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</si>
  <si>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</si>
  <si>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</si>
  <si>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</si>
  <si>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</si>
  <si>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</si>
  <si>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</si>
  <si>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</si>
  <si>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</si>
  <si>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</si>
  <si>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</si>
  <si>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</si>
  <si>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</si>
  <si>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</si>
  <si>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</si>
  <si>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</si>
  <si>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</si>
  <si>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</si>
  <si>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</si>
  <si>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</si>
  <si>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</si>
  <si>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</si>
  <si>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</si>
  <si>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</si>
  <si>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</si>
  <si>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</si>
  <si>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</si>
  <si>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</si>
  <si>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</si>
  <si>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</si>
  <si>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</si>
  <si>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</si>
  <si>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</si>
  <si>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</si>
  <si>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</si>
  <si>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</si>
  <si>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</si>
  <si>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</si>
  <si>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</si>
  <si>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</si>
  <si>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</si>
  <si>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</si>
  <si>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</si>
  <si>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</si>
  <si>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</si>
  <si>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</si>
  <si>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</si>
  <si>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</si>
  <si>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</si>
  <si>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</si>
  <si>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</si>
  <si>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</si>
  <si>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</si>
  <si>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</si>
  <si>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</si>
  <si>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</si>
  <si>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</si>
  <si>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</si>
  <si>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</si>
  <si>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</si>
  <si>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</si>
  <si>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</si>
  <si>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</si>
  <si>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</si>
  <si>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</si>
  <si>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</si>
  <si>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</si>
  <si>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</si>
  <si>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</si>
  <si>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</si>
  <si>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</si>
  <si>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</si>
  <si>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</si>
  <si>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</si>
  <si>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</si>
  <si>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</si>
  <si>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</si>
  <si>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</si>
  <si>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</si>
  <si>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</si>
  <si>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</si>
  <si>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</si>
  <si>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</si>
  <si>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</si>
  <si>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</si>
  <si>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</si>
  <si>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</si>
  <si>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</si>
  <si>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</si>
  <si>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</si>
  <si>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</si>
  <si>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</si>
  <si>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</si>
  <si>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</si>
  <si>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</si>
  <si>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</si>
  <si>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</si>
  <si>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</si>
  <si>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</si>
  <si>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</si>
  <si>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</si>
  <si>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</si>
  <si>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</si>
  <si>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</si>
  <si>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</si>
  <si>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</si>
  <si>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</si>
  <si>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</si>
  <si>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</si>
  <si>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</si>
  <si>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</si>
  <si>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</si>
  <si>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</si>
  <si>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</si>
  <si>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</si>
  <si>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</si>
  <si>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</si>
  <si>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</si>
  <si>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</si>
  <si>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</si>
  <si>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</si>
  <si>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</si>
  <si>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</si>
  <si>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</si>
  <si>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</si>
  <si>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</si>
  <si>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</si>
  <si>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</si>
  <si>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</si>
  <si>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</si>
  <si>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</si>
  <si>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</si>
  <si>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</si>
  <si>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</si>
  <si>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</si>
  <si>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</si>
  <si>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</si>
  <si>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</si>
  <si>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</si>
  <si>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</si>
  <si>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</si>
  <si>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</si>
  <si>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</si>
  <si>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</si>
  <si>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</si>
  <si>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</si>
  <si>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</si>
  <si>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</si>
  <si>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</si>
  <si>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</si>
  <si>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</si>
  <si>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</si>
  <si>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</si>
  <si>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</si>
  <si>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</si>
  <si>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</si>
  <si>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</si>
  <si>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</si>
  <si>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</si>
  <si>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</si>
  <si>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</si>
  <si>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</si>
  <si>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</si>
  <si>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</si>
  <si>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</si>
  <si>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</si>
  <si>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</si>
  <si>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</si>
  <si>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</si>
  <si>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</si>
  <si>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</si>
  <si>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</si>
  <si>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</si>
  <si>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</si>
  <si>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</si>
  <si>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</si>
  <si>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</si>
  <si>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</si>
  <si>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</si>
  <si>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</si>
  <si>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</si>
  <si>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</si>
  <si>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</si>
  <si>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</si>
  <si>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</si>
  <si>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</si>
  <si>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</si>
  <si>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</si>
  <si>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</si>
  <si>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</si>
  <si>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</si>
  <si>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</si>
  <si>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</si>
  <si>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</si>
  <si>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</si>
  <si>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</si>
  <si>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</si>
  <si>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</si>
  <si>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</si>
  <si>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</si>
  <si>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</si>
  <si>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</si>
  <si>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</si>
  <si>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</si>
  <si>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</si>
  <si>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</si>
  <si>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</si>
  <si>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</si>
  <si>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</si>
  <si>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</si>
  <si>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</si>
  <si>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</si>
  <si>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</si>
  <si>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</si>
  <si>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</si>
  <si>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</si>
  <si>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</si>
  <si>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</si>
  <si>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</si>
  <si>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</si>
  <si>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</si>
  <si>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</si>
  <si>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</si>
  <si>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</si>
  <si>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</si>
  <si>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</si>
  <si>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</si>
  <si>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</si>
  <si>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</si>
  <si>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</si>
  <si>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</si>
  <si>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</si>
  <si>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</si>
  <si>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</si>
  <si>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</si>
  <si>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</si>
  <si>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</si>
  <si>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</si>
  <si>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</si>
  <si>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</si>
  <si>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</si>
  <si>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</si>
  <si>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</si>
  <si>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</si>
  <si>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</si>
  <si>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</si>
  <si>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</si>
  <si>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</si>
  <si>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</si>
  <si>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</si>
  <si>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</si>
  <si>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</si>
  <si>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</si>
  <si>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</si>
  <si>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</si>
  <si>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</si>
  <si>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</si>
  <si>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</si>
  <si>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</si>
  <si>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</si>
  <si>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</si>
  <si>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</si>
  <si>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</si>
  <si>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</si>
  <si>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</si>
  <si>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</si>
  <si>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</si>
  <si>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</si>
  <si>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</si>
  <si>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</si>
  <si>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</si>
  <si>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</si>
  <si>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</si>
  <si>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</si>
  <si>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</si>
  <si>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</si>
  <si>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</si>
  <si>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</si>
  <si>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</si>
  <si>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</si>
  <si>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</si>
  <si>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</si>
  <si>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</si>
  <si>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</si>
  <si>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</si>
  <si>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</si>
  <si>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</si>
  <si>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</si>
  <si>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</si>
  <si>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</si>
  <si>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</si>
  <si>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</si>
  <si>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</si>
  <si>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</si>
  <si>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</si>
  <si>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</si>
  <si>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</si>
  <si>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</si>
  <si>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</si>
  <si>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</si>
  <si>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</si>
  <si>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</si>
  <si>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</si>
  <si>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</si>
  <si>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</si>
  <si>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</si>
  <si>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</si>
  <si>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</si>
  <si>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</si>
  <si>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</si>
  <si>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</si>
  <si>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</si>
  <si>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</si>
  <si>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</si>
  <si>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</si>
  <si>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</si>
  <si>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</si>
  <si>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</si>
  <si>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</si>
  <si>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</si>
  <si>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</si>
  <si>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</si>
  <si>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</si>
  <si>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</si>
  <si>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</si>
  <si>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</si>
  <si>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</si>
  <si>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</si>
  <si>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</si>
  <si>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</si>
  <si>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</si>
  <si>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</si>
  <si>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</si>
  <si>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</si>
  <si>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</si>
  <si>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</si>
  <si>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</si>
  <si>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</si>
  <si>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</si>
  <si>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</si>
  <si>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</si>
  <si>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</si>
  <si>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</si>
  <si>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</si>
  <si>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</si>
  <si>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</si>
  <si>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</si>
  <si>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</si>
  <si>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</si>
  <si>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</si>
  <si>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</si>
  <si>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</si>
  <si>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</si>
  <si>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</si>
  <si>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</si>
  <si>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</si>
  <si>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</si>
  <si>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</si>
  <si>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</si>
  <si>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</si>
  <si>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</si>
  <si>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</si>
  <si>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</si>
  <si>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</si>
  <si>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</si>
  <si>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</si>
  <si>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</si>
  <si>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</si>
  <si>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</si>
  <si>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</si>
  <si>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</si>
  <si>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</si>
  <si>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</si>
  <si>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</si>
  <si>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</si>
  <si>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</si>
  <si>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</si>
  <si>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</si>
  <si>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</si>
  <si>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</si>
  <si>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</si>
  <si>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</si>
  <si>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</si>
  <si>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</si>
  <si>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</si>
  <si>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</si>
  <si>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</si>
  <si>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</si>
  <si>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</si>
  <si>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</si>
  <si>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</si>
  <si>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</si>
  <si>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</si>
  <si>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</si>
  <si>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</si>
  <si>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</si>
  <si>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</si>
  <si>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</si>
  <si>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</si>
  <si>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</si>
  <si>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</si>
  <si>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</si>
  <si>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</si>
  <si>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</si>
  <si>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</si>
  <si>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</si>
  <si>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</si>
  <si>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</si>
  <si>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</si>
  <si>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</si>
  <si>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</si>
  <si>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</si>
  <si>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</si>
  <si>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</si>
  <si>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</si>
  <si>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</si>
  <si>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</si>
  <si>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</si>
  <si>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</si>
  <si>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</si>
  <si>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</si>
  <si>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</si>
  <si>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</si>
  <si>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</si>
  <si>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</si>
  <si>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</si>
  <si>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</si>
  <si>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</si>
  <si>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</si>
  <si>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</si>
  <si>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</si>
  <si>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</si>
  <si>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</si>
  <si>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</si>
  <si>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</si>
  <si>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</si>
  <si>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</si>
  <si>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</si>
  <si>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</si>
  <si>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</si>
  <si>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</si>
  <si>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</si>
  <si>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</si>
  <si>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</si>
  <si>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</si>
  <si>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</si>
  <si>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</si>
  <si>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</si>
  <si>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</si>
  <si>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</si>
  <si>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</si>
  <si>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</si>
  <si>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</si>
  <si>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</si>
  <si>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</si>
  <si>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</si>
  <si>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</si>
  <si>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</si>
  <si>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</si>
  <si>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</si>
  <si>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</si>
  <si>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</si>
  <si>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</si>
  <si>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</si>
  <si>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</si>
  <si>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</si>
  <si>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</si>
  <si>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</si>
  <si>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</si>
  <si>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</si>
  <si>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</si>
  <si>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</si>
  <si>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</si>
  <si>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</si>
  <si>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</si>
  <si>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</si>
  <si>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</si>
  <si>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</si>
  <si>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</si>
  <si>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</si>
  <si>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</si>
  <si>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</si>
  <si>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</si>
  <si>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</si>
  <si>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</si>
  <si>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</si>
  <si>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</si>
  <si>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</si>
  <si>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</si>
  <si>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</si>
  <si>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</si>
  <si>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</si>
  <si>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</si>
  <si>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</si>
  <si>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</si>
  <si>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</si>
  <si>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</si>
  <si>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</si>
  <si>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</si>
  <si>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</si>
  <si>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</si>
  <si>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</si>
  <si>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</si>
  <si>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</si>
  <si>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</si>
  <si>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</si>
  <si>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</si>
  <si>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</si>
  <si>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</si>
  <si>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</si>
  <si>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</si>
  <si>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</si>
  <si>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</si>
  <si>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</si>
  <si>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</si>
  <si>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</si>
  <si>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</si>
  <si>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</si>
  <si>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</si>
  <si>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</si>
  <si>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</si>
  <si>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</si>
  <si>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</si>
  <si>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</si>
  <si>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</si>
  <si>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</si>
  <si>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</si>
  <si>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</si>
  <si>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</si>
  <si>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</si>
  <si>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</si>
  <si>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</si>
  <si>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</si>
  <si>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</si>
  <si>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</si>
  <si>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</si>
  <si>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</si>
  <si>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</si>
  <si>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</si>
  <si>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</si>
  <si>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</si>
  <si>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</si>
  <si>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</si>
  <si>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</si>
  <si>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</si>
  <si>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</si>
  <si>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</si>
  <si>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</si>
  <si>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</si>
  <si>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</si>
  <si>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</si>
  <si>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</si>
  <si>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</si>
  <si>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</si>
  <si>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</si>
  <si>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</si>
  <si>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</si>
  <si>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</si>
  <si>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</si>
  <si>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</si>
  <si>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</si>
  <si>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</si>
  <si>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</si>
  <si>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</si>
  <si>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</si>
  <si>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</si>
  <si>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</si>
  <si>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</si>
  <si>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</si>
  <si>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</si>
  <si>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</si>
  <si>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</si>
  <si>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</si>
  <si>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</si>
  <si>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</si>
  <si>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</si>
  <si>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</si>
  <si>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</si>
  <si>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</si>
  <si>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</si>
  <si>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</si>
  <si>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</si>
  <si>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</si>
  <si>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</si>
  <si>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</si>
  <si>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</si>
  <si>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</si>
  <si>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</si>
  <si>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</si>
  <si>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</si>
  <si>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</si>
  <si>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</si>
  <si>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</si>
  <si>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</si>
  <si>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</si>
  <si>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</si>
  <si>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</si>
  <si>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</si>
  <si>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</si>
  <si>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</si>
  <si>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</si>
  <si>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</si>
  <si>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</si>
  <si>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</si>
  <si>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</si>
  <si>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</si>
  <si>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</si>
  <si>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</si>
  <si>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</si>
  <si>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</si>
  <si>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</si>
  <si>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</si>
  <si>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</si>
  <si>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</si>
  <si>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</si>
  <si>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</si>
  <si>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</si>
  <si>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</si>
  <si>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</si>
  <si>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</si>
  <si>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</si>
  <si>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</si>
  <si>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</si>
  <si>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</si>
  <si>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</si>
  <si>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</si>
  <si>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</si>
  <si>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</si>
  <si>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</si>
  <si>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</si>
  <si>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</si>
  <si>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</si>
  <si>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</si>
  <si>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</si>
  <si>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</si>
  <si>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</si>
  <si>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</si>
  <si>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</si>
  <si>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</si>
  <si>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</si>
  <si>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</si>
  <si>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</si>
  <si>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</si>
  <si>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</si>
  <si>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</si>
  <si>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</si>
  <si>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</si>
  <si>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</si>
  <si>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</si>
  <si>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</si>
  <si>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</si>
  <si>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</si>
  <si>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</si>
  <si>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</si>
  <si>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</si>
  <si>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</si>
  <si>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</si>
  <si>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</si>
  <si>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</si>
  <si>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</si>
  <si>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</si>
  <si>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</si>
  <si>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</si>
  <si>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</si>
  <si>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</si>
  <si>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</si>
  <si>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</si>
  <si>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</si>
  <si>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</si>
  <si>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</si>
  <si>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</si>
  <si>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</si>
  <si>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</si>
  <si>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</si>
  <si>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</si>
  <si>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</si>
  <si>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</si>
  <si>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</si>
  <si>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</si>
  <si>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</si>
  <si>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</si>
  <si>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</si>
  <si>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</si>
  <si>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</si>
  <si>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</si>
  <si>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</si>
  <si>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</si>
  <si>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</si>
  <si>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</si>
  <si>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</si>
  <si>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</si>
  <si>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</si>
  <si>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</si>
  <si>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</si>
  <si>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</si>
  <si>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</si>
  <si>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</si>
  <si>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</si>
  <si>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</si>
  <si>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</si>
  <si>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</si>
  <si>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</si>
  <si>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</si>
  <si>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</si>
  <si>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</si>
  <si>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</si>
  <si>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</si>
  <si>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</si>
  <si>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</si>
  <si>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</si>
  <si>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</si>
  <si>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</si>
  <si>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</si>
  <si>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</si>
  <si>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</si>
  <si>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</si>
  <si>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</si>
  <si>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</si>
  <si>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</si>
  <si>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</si>
  <si>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</si>
  <si>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</si>
  <si>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</si>
  <si>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</si>
  <si>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</si>
  <si>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</si>
  <si>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</si>
  <si>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</si>
  <si>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</si>
  <si>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</si>
  <si>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</si>
  <si>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</si>
  <si>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</si>
  <si>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</si>
  <si>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</si>
  <si>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</si>
  <si>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</si>
  <si>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</si>
  <si>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</si>
  <si>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</si>
  <si>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</si>
  <si>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</si>
  <si>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</si>
  <si>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</si>
  <si>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</si>
  <si>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</si>
  <si>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</si>
  <si>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</si>
  <si>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</si>
  <si>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</si>
  <si>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</si>
  <si>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</si>
  <si>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</si>
  <si>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</si>
  <si>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</si>
  <si>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</si>
  <si>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</si>
  <si>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</si>
  <si>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</si>
  <si>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</si>
  <si>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</si>
  <si>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</si>
  <si>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</si>
  <si>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</si>
  <si>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</si>
  <si>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</si>
  <si>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</si>
  <si>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</si>
  <si>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</si>
  <si>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</si>
  <si>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</si>
  <si>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</si>
  <si>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</si>
  <si>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</si>
  <si>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</si>
  <si>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</si>
  <si>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</si>
  <si>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</si>
  <si>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</si>
  <si>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</si>
  <si>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</si>
  <si>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</si>
  <si>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</si>
  <si>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</si>
  <si>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</si>
  <si>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</si>
  <si>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</si>
  <si>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</si>
  <si>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</si>
  <si>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</si>
  <si>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</si>
  <si>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</si>
  <si>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</si>
  <si>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</si>
  <si>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</si>
  <si>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</si>
  <si>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</si>
  <si>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</si>
  <si>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</si>
  <si>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</si>
  <si>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</si>
  <si>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</si>
  <si>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24020</t>
  </si>
  <si>
    <t>DIEST</t>
  </si>
  <si>
    <t>Paarden&amp;pony's 200 - 600 kg</t>
  </si>
  <si>
    <t>Paarden&amp;pony's &lt; 200 kg</t>
  </si>
  <si>
    <t>op basis van VEA (maart 2018) en Inventaris Hernieuwbare Energiebronnen (juni 2018)</t>
  </si>
  <si>
    <t>VEA (juni 2018)</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</si>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</sst>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24020</v>
      </c>
      <c r="B6" s="397"/>
      <c r="C6" s="398"/>
    </row>
    <row r="7" spans="1:7" s="395" customFormat="1" ht="15.75" customHeight="1">
      <c r="A7" s="399" t="str">
        <f>txtMunicipality</f>
        <v>DIEST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48024.857999999993</v>
      </c>
      <c r="D10" s="688">
        <f ca="1">tertiair!C16</f>
        <v>35.357142857142861</v>
      </c>
      <c r="E10" s="688">
        <f ca="1">tertiair!D16</f>
        <v>43953.171040881723</v>
      </c>
      <c r="F10" s="688">
        <f>tertiair!E16</f>
        <v>354.20030852671323</v>
      </c>
      <c r="G10" s="688">
        <f ca="1">tertiair!F16</f>
        <v>10126.490520985655</v>
      </c>
      <c r="H10" s="688">
        <f>tertiair!G16</f>
        <v>0</v>
      </c>
      <c r="I10" s="688">
        <f>tertiair!H16</f>
        <v>0</v>
      </c>
      <c r="J10" s="688">
        <f>tertiair!I16</f>
        <v>0</v>
      </c>
      <c r="K10" s="688">
        <f>tertiair!J16</f>
        <v>0</v>
      </c>
      <c r="L10" s="688">
        <f>tertiair!K16</f>
        <v>0</v>
      </c>
      <c r="M10" s="688">
        <f ca="1">tertiair!L16</f>
        <v>0</v>
      </c>
      <c r="N10" s="688">
        <f>tertiair!M16</f>
        <v>0</v>
      </c>
      <c r="O10" s="688">
        <f ca="1">tertiair!N16</f>
        <v>1993.5423433404255</v>
      </c>
      <c r="P10" s="688">
        <f>tertiair!O16</f>
        <v>0</v>
      </c>
      <c r="Q10" s="689">
        <f>tertiair!P16</f>
        <v>0</v>
      </c>
      <c r="R10" s="691">
        <f ca="1">SUM(C10:Q10)</f>
        <v>104487.61935659163</v>
      </c>
      <c r="S10" s="68"/>
    </row>
    <row r="11" spans="1:19" s="457" customFormat="1">
      <c r="A11" s="803" t="s">
        <v>225</v>
      </c>
      <c r="B11" s="808"/>
      <c r="C11" s="688">
        <f>huishoudens!B8</f>
        <v>41753.876320989315</v>
      </c>
      <c r="D11" s="688">
        <f>huishoudens!C8</f>
        <v>0</v>
      </c>
      <c r="E11" s="688">
        <f>huishoudens!D8</f>
        <v>72036.16789814728</v>
      </c>
      <c r="F11" s="688">
        <f>huishoudens!E8</f>
        <v>5285.3898316704262</v>
      </c>
      <c r="G11" s="688">
        <f>huishoudens!F8</f>
        <v>66320.089247893702</v>
      </c>
      <c r="H11" s="688">
        <f>huishoudens!G8</f>
        <v>0</v>
      </c>
      <c r="I11" s="688">
        <f>huishoudens!H8</f>
        <v>0</v>
      </c>
      <c r="J11" s="688">
        <f>huishoudens!I8</f>
        <v>0</v>
      </c>
      <c r="K11" s="688">
        <f>huishoudens!J8</f>
        <v>0</v>
      </c>
      <c r="L11" s="688">
        <f>huishoudens!K8</f>
        <v>0</v>
      </c>
      <c r="M11" s="688">
        <f>huishoudens!L8</f>
        <v>0</v>
      </c>
      <c r="N11" s="688">
        <f>huishoudens!M8</f>
        <v>0</v>
      </c>
      <c r="O11" s="688">
        <f>huishoudens!N8</f>
        <v>10500.652276170485</v>
      </c>
      <c r="P11" s="688">
        <f>huishoudens!O8</f>
        <v>76.603333333333339</v>
      </c>
      <c r="Q11" s="689">
        <f>huishoudens!P8</f>
        <v>476.66666666666663</v>
      </c>
      <c r="R11" s="691">
        <f>SUM(C11:Q11)</f>
        <v>196449.44557487121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28252.767000000007</v>
      </c>
      <c r="D13" s="688">
        <f>industrie!C18</f>
        <v>0</v>
      </c>
      <c r="E13" s="688">
        <f>industrie!D18</f>
        <v>19424.274279496705</v>
      </c>
      <c r="F13" s="688">
        <f>industrie!E18</f>
        <v>247.75834167670155</v>
      </c>
      <c r="G13" s="688">
        <f>industrie!F18</f>
        <v>15630.226333940331</v>
      </c>
      <c r="H13" s="688">
        <f>industrie!G18</f>
        <v>0</v>
      </c>
      <c r="I13" s="688">
        <f>industrie!H18</f>
        <v>0</v>
      </c>
      <c r="J13" s="688">
        <f>industrie!I18</f>
        <v>0</v>
      </c>
      <c r="K13" s="688">
        <f>industrie!J18</f>
        <v>66.730284611853747</v>
      </c>
      <c r="L13" s="688">
        <f>industrie!K18</f>
        <v>0</v>
      </c>
      <c r="M13" s="688">
        <f>industrie!L18</f>
        <v>0</v>
      </c>
      <c r="N13" s="688">
        <f>industrie!M18</f>
        <v>0</v>
      </c>
      <c r="O13" s="688">
        <f>industrie!N18</f>
        <v>2010.8215773969282</v>
      </c>
      <c r="P13" s="688">
        <f>industrie!O18</f>
        <v>0</v>
      </c>
      <c r="Q13" s="689">
        <f>industrie!P18</f>
        <v>0</v>
      </c>
      <c r="R13" s="691">
        <f>SUM(C13:Q13)</f>
        <v>65632.577817122525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118031.50132098932</v>
      </c>
      <c r="D16" s="721">
        <f t="shared" ref="D16:R16" ca="1" si="0">SUM(D9:D15)</f>
        <v>35.357142857142861</v>
      </c>
      <c r="E16" s="721">
        <f t="shared" ca="1" si="0"/>
        <v>135413.61321852572</v>
      </c>
      <c r="F16" s="721">
        <f t="shared" si="0"/>
        <v>5887.3484818738416</v>
      </c>
      <c r="G16" s="721">
        <f t="shared" ca="1" si="0"/>
        <v>92076.806102819683</v>
      </c>
      <c r="H16" s="721">
        <f t="shared" si="0"/>
        <v>0</v>
      </c>
      <c r="I16" s="721">
        <f t="shared" si="0"/>
        <v>0</v>
      </c>
      <c r="J16" s="721">
        <f t="shared" si="0"/>
        <v>0</v>
      </c>
      <c r="K16" s="721">
        <f t="shared" si="0"/>
        <v>66.730284611853747</v>
      </c>
      <c r="L16" s="721">
        <f t="shared" si="0"/>
        <v>0</v>
      </c>
      <c r="M16" s="721">
        <f t="shared" ca="1" si="0"/>
        <v>0</v>
      </c>
      <c r="N16" s="721">
        <f t="shared" si="0"/>
        <v>0</v>
      </c>
      <c r="O16" s="721">
        <f t="shared" ca="1" si="0"/>
        <v>14505.016196907838</v>
      </c>
      <c r="P16" s="721">
        <f t="shared" si="0"/>
        <v>76.603333333333339</v>
      </c>
      <c r="Q16" s="721">
        <f t="shared" si="0"/>
        <v>476.66666666666663</v>
      </c>
      <c r="R16" s="721">
        <f t="shared" ca="1" si="0"/>
        <v>366569.64274858538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3164.3676565904311</v>
      </c>
      <c r="I19" s="688">
        <f>transport!H54</f>
        <v>0</v>
      </c>
      <c r="J19" s="688">
        <f>transport!I54</f>
        <v>0</v>
      </c>
      <c r="K19" s="688">
        <f>transport!J54</f>
        <v>0</v>
      </c>
      <c r="L19" s="688">
        <f>transport!K54</f>
        <v>0</v>
      </c>
      <c r="M19" s="688">
        <f>transport!L54</f>
        <v>0</v>
      </c>
      <c r="N19" s="688">
        <f>transport!M54</f>
        <v>138.95260375184904</v>
      </c>
      <c r="O19" s="688">
        <f>transport!N54</f>
        <v>0</v>
      </c>
      <c r="P19" s="688">
        <f>transport!O54</f>
        <v>0</v>
      </c>
      <c r="Q19" s="689">
        <f>transport!P54</f>
        <v>0</v>
      </c>
      <c r="R19" s="691">
        <f>SUM(C19:Q19)</f>
        <v>3303.3202603422801</v>
      </c>
      <c r="S19" s="68"/>
    </row>
    <row r="20" spans="1:19" s="457" customFormat="1">
      <c r="A20" s="803" t="s">
        <v>307</v>
      </c>
      <c r="B20" s="808"/>
      <c r="C20" s="688">
        <f>transport!B14</f>
        <v>3.5139408868197872</v>
      </c>
      <c r="D20" s="688">
        <f>transport!C14</f>
        <v>0</v>
      </c>
      <c r="E20" s="688">
        <f>transport!D14</f>
        <v>9.3762377551159446</v>
      </c>
      <c r="F20" s="688">
        <f>transport!E14</f>
        <v>576.93656120590151</v>
      </c>
      <c r="G20" s="688">
        <f>transport!F14</f>
        <v>0</v>
      </c>
      <c r="H20" s="688">
        <f>transport!G14</f>
        <v>113239.09598759396</v>
      </c>
      <c r="I20" s="688">
        <f>transport!H14</f>
        <v>21160.937512647022</v>
      </c>
      <c r="J20" s="688">
        <f>transport!I14</f>
        <v>0</v>
      </c>
      <c r="K20" s="688">
        <f>transport!J14</f>
        <v>0</v>
      </c>
      <c r="L20" s="688">
        <f>transport!K14</f>
        <v>0</v>
      </c>
      <c r="M20" s="688">
        <f>transport!L14</f>
        <v>0</v>
      </c>
      <c r="N20" s="688">
        <f>transport!M14</f>
        <v>6010.5378379046924</v>
      </c>
      <c r="O20" s="688">
        <f>transport!N14</f>
        <v>0</v>
      </c>
      <c r="P20" s="688">
        <f>transport!O14</f>
        <v>0</v>
      </c>
      <c r="Q20" s="689">
        <f>transport!P14</f>
        <v>0</v>
      </c>
      <c r="R20" s="691">
        <f>SUM(C20:Q20)</f>
        <v>141000.39807799351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3.5139408868197872</v>
      </c>
      <c r="D22" s="806">
        <f t="shared" ref="D22:R22" si="1">SUM(D18:D21)</f>
        <v>0</v>
      </c>
      <c r="E22" s="806">
        <f t="shared" si="1"/>
        <v>9.3762377551159446</v>
      </c>
      <c r="F22" s="806">
        <f t="shared" si="1"/>
        <v>576.93656120590151</v>
      </c>
      <c r="G22" s="806">
        <f t="shared" si="1"/>
        <v>0</v>
      </c>
      <c r="H22" s="806">
        <f t="shared" si="1"/>
        <v>116403.46364418439</v>
      </c>
      <c r="I22" s="806">
        <f t="shared" si="1"/>
        <v>21160.937512647022</v>
      </c>
      <c r="J22" s="806">
        <f t="shared" si="1"/>
        <v>0</v>
      </c>
      <c r="K22" s="806">
        <f t="shared" si="1"/>
        <v>0</v>
      </c>
      <c r="L22" s="806">
        <f t="shared" si="1"/>
        <v>0</v>
      </c>
      <c r="M22" s="806">
        <f t="shared" si="1"/>
        <v>0</v>
      </c>
      <c r="N22" s="806">
        <f t="shared" si="1"/>
        <v>6149.4904416565414</v>
      </c>
      <c r="O22" s="806">
        <f t="shared" si="1"/>
        <v>0</v>
      </c>
      <c r="P22" s="806">
        <f t="shared" si="1"/>
        <v>0</v>
      </c>
      <c r="Q22" s="806">
        <f t="shared" si="1"/>
        <v>0</v>
      </c>
      <c r="R22" s="806">
        <f t="shared" si="1"/>
        <v>144303.71833833578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1282.307</v>
      </c>
      <c r="D24" s="688">
        <f>+landbouw!C8</f>
        <v>20250</v>
      </c>
      <c r="E24" s="688">
        <f>+landbouw!D8</f>
        <v>0</v>
      </c>
      <c r="F24" s="688">
        <f>+landbouw!E8</f>
        <v>12.080191113873564</v>
      </c>
      <c r="G24" s="688">
        <f>+landbouw!F8</f>
        <v>4184.5933013192043</v>
      </c>
      <c r="H24" s="688">
        <f>+landbouw!G8</f>
        <v>0</v>
      </c>
      <c r="I24" s="688">
        <f>+landbouw!H8</f>
        <v>0</v>
      </c>
      <c r="J24" s="688">
        <f>+landbouw!I8</f>
        <v>0</v>
      </c>
      <c r="K24" s="688">
        <f>+landbouw!J8</f>
        <v>158.62761304004991</v>
      </c>
      <c r="L24" s="688">
        <f>+landbouw!K8</f>
        <v>0</v>
      </c>
      <c r="M24" s="688">
        <f>+landbouw!L8</f>
        <v>0</v>
      </c>
      <c r="N24" s="688">
        <f>+landbouw!M8</f>
        <v>0</v>
      </c>
      <c r="O24" s="688">
        <f>+landbouw!N8</f>
        <v>0</v>
      </c>
      <c r="P24" s="688">
        <f>+landbouw!O8</f>
        <v>0</v>
      </c>
      <c r="Q24" s="689">
        <f>+landbouw!P8</f>
        <v>0</v>
      </c>
      <c r="R24" s="691">
        <f>SUM(C24:Q24)</f>
        <v>25887.608105473129</v>
      </c>
      <c r="S24" s="68"/>
    </row>
    <row r="25" spans="1:19" s="457" customFormat="1" ht="15" thickBot="1">
      <c r="A25" s="825" t="s">
        <v>912</v>
      </c>
      <c r="B25" s="1001"/>
      <c r="C25" s="1002">
        <f>IF(Onbekend_ele_kWh="---",0,Onbekend_ele_kWh)/1000+IF(REST_rest_ele_kWh="---",0,REST_rest_ele_kWh)/1000</f>
        <v>2899.8679999999999</v>
      </c>
      <c r="D25" s="1002"/>
      <c r="E25" s="1002">
        <f>IF(onbekend_gas_kWh="---",0,onbekend_gas_kWh)/1000+IF(REST_rest_gas_kWh="---",0,REST_rest_gas_kWh)/1000</f>
        <v>9095.0856131652508</v>
      </c>
      <c r="F25" s="1002"/>
      <c r="G25" s="1002"/>
      <c r="H25" s="1002"/>
      <c r="I25" s="1002"/>
      <c r="J25" s="1002"/>
      <c r="K25" s="1002"/>
      <c r="L25" s="1002"/>
      <c r="M25" s="1002"/>
      <c r="N25" s="1002"/>
      <c r="O25" s="1002"/>
      <c r="P25" s="1002"/>
      <c r="Q25" s="1003"/>
      <c r="R25" s="691">
        <f>SUM(C25:Q25)</f>
        <v>11994.953613165251</v>
      </c>
      <c r="S25" s="68"/>
    </row>
    <row r="26" spans="1:19" s="457" customFormat="1" ht="15.75" thickBot="1">
      <c r="A26" s="694" t="s">
        <v>913</v>
      </c>
      <c r="B26" s="811"/>
      <c r="C26" s="806">
        <f>SUM(C24:C25)</f>
        <v>4182.1750000000002</v>
      </c>
      <c r="D26" s="806">
        <f t="shared" ref="D26:R26" si="2">SUM(D24:D25)</f>
        <v>20250</v>
      </c>
      <c r="E26" s="806">
        <f t="shared" si="2"/>
        <v>9095.0856131652508</v>
      </c>
      <c r="F26" s="806">
        <f t="shared" si="2"/>
        <v>12.080191113873564</v>
      </c>
      <c r="G26" s="806">
        <f t="shared" si="2"/>
        <v>4184.5933013192043</v>
      </c>
      <c r="H26" s="806">
        <f t="shared" si="2"/>
        <v>0</v>
      </c>
      <c r="I26" s="806">
        <f t="shared" si="2"/>
        <v>0</v>
      </c>
      <c r="J26" s="806">
        <f t="shared" si="2"/>
        <v>0</v>
      </c>
      <c r="K26" s="806">
        <f t="shared" si="2"/>
        <v>158.62761304004991</v>
      </c>
      <c r="L26" s="806">
        <f t="shared" si="2"/>
        <v>0</v>
      </c>
      <c r="M26" s="806">
        <f t="shared" si="2"/>
        <v>0</v>
      </c>
      <c r="N26" s="806">
        <f t="shared" si="2"/>
        <v>0</v>
      </c>
      <c r="O26" s="806">
        <f t="shared" si="2"/>
        <v>0</v>
      </c>
      <c r="P26" s="806">
        <f t="shared" si="2"/>
        <v>0</v>
      </c>
      <c r="Q26" s="806">
        <f t="shared" si="2"/>
        <v>0</v>
      </c>
      <c r="R26" s="806">
        <f t="shared" si="2"/>
        <v>37882.561718638382</v>
      </c>
      <c r="S26" s="68"/>
    </row>
    <row r="27" spans="1:19" s="457" customFormat="1" ht="17.25" thickTop="1" thickBot="1">
      <c r="A27" s="695" t="s">
        <v>116</v>
      </c>
      <c r="B27" s="798"/>
      <c r="C27" s="696">
        <f ca="1">C22+C16+C26</f>
        <v>122217.19026187614</v>
      </c>
      <c r="D27" s="696">
        <f t="shared" ref="D27:R27" ca="1" si="3">D22+D16+D26</f>
        <v>20285.357142857141</v>
      </c>
      <c r="E27" s="696">
        <f t="shared" ca="1" si="3"/>
        <v>144518.07506944609</v>
      </c>
      <c r="F27" s="696">
        <f t="shared" si="3"/>
        <v>6476.3652341936167</v>
      </c>
      <c r="G27" s="696">
        <f t="shared" ca="1" si="3"/>
        <v>96261.39940413888</v>
      </c>
      <c r="H27" s="696">
        <f t="shared" si="3"/>
        <v>116403.46364418439</v>
      </c>
      <c r="I27" s="696">
        <f t="shared" si="3"/>
        <v>21160.937512647022</v>
      </c>
      <c r="J27" s="696">
        <f t="shared" si="3"/>
        <v>0</v>
      </c>
      <c r="K27" s="696">
        <f t="shared" si="3"/>
        <v>225.35789765190367</v>
      </c>
      <c r="L27" s="696">
        <f t="shared" si="3"/>
        <v>0</v>
      </c>
      <c r="M27" s="696">
        <f t="shared" ca="1" si="3"/>
        <v>0</v>
      </c>
      <c r="N27" s="696">
        <f t="shared" si="3"/>
        <v>6149.4904416565414</v>
      </c>
      <c r="O27" s="696">
        <f t="shared" ca="1" si="3"/>
        <v>14505.016196907838</v>
      </c>
      <c r="P27" s="696">
        <f t="shared" si="3"/>
        <v>76.603333333333339</v>
      </c>
      <c r="Q27" s="696">
        <f t="shared" si="3"/>
        <v>476.66666666666663</v>
      </c>
      <c r="R27" s="696">
        <f t="shared" ca="1" si="3"/>
        <v>548755.92280555959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8467.2191406820657</v>
      </c>
      <c r="D40" s="688">
        <f ca="1">tertiair!C20</f>
        <v>8.4025210084033617</v>
      </c>
      <c r="E40" s="688">
        <f ca="1">tertiair!D20</f>
        <v>8878.5405502581089</v>
      </c>
      <c r="F40" s="688">
        <f>tertiair!E20</f>
        <v>80.403470035563899</v>
      </c>
      <c r="G40" s="688">
        <f ca="1">tertiair!F20</f>
        <v>2703.77296910317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20138.33865108731</v>
      </c>
    </row>
    <row r="41" spans="1:18">
      <c r="A41" s="816" t="s">
        <v>225</v>
      </c>
      <c r="B41" s="823"/>
      <c r="C41" s="688">
        <f ca="1">huishoudens!B12</f>
        <v>7361.5880505623245</v>
      </c>
      <c r="D41" s="688">
        <f ca="1">huishoudens!C12</f>
        <v>0</v>
      </c>
      <c r="E41" s="688">
        <f>huishoudens!D12</f>
        <v>14551.305915425752</v>
      </c>
      <c r="F41" s="688">
        <f>huishoudens!E12</f>
        <v>1199.7834917891869</v>
      </c>
      <c r="G41" s="688">
        <f>huishoudens!F12</f>
        <v>17707.463829187618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40820.141286964885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4981.2197158319705</v>
      </c>
      <c r="D43" s="688">
        <f ca="1">industrie!C22</f>
        <v>0</v>
      </c>
      <c r="E43" s="688">
        <f>industrie!D22</f>
        <v>3923.7034044583347</v>
      </c>
      <c r="F43" s="688">
        <f>industrie!E22</f>
        <v>56.241143560611256</v>
      </c>
      <c r="G43" s="688">
        <f>industrie!F22</f>
        <v>4173.2704311620682</v>
      </c>
      <c r="H43" s="688">
        <f>industrie!G22</f>
        <v>0</v>
      </c>
      <c r="I43" s="688">
        <f>industrie!H22</f>
        <v>0</v>
      </c>
      <c r="J43" s="688">
        <f>industrie!I22</f>
        <v>0</v>
      </c>
      <c r="K43" s="688">
        <f>industrie!J22</f>
        <v>23.622520752596227</v>
      </c>
      <c r="L43" s="688">
        <f>industrie!K22</f>
        <v>0</v>
      </c>
      <c r="M43" s="688">
        <f>industrie!L22</f>
        <v>0</v>
      </c>
      <c r="N43" s="688">
        <f>industrie!M22</f>
        <v>0</v>
      </c>
      <c r="O43" s="688">
        <f>industrie!N22</f>
        <v>0</v>
      </c>
      <c r="P43" s="688">
        <f>industrie!O22</f>
        <v>0</v>
      </c>
      <c r="Q43" s="763">
        <f>industrie!P22</f>
        <v>0</v>
      </c>
      <c r="R43" s="843">
        <f t="shared" ca="1" si="4"/>
        <v>13158.057215765581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20810.026907076361</v>
      </c>
      <c r="D46" s="721">
        <f t="shared" ref="D46:Q46" ca="1" si="5">SUM(D39:D45)</f>
        <v>8.4025210084033617</v>
      </c>
      <c r="E46" s="721">
        <f t="shared" ca="1" si="5"/>
        <v>27353.549870142197</v>
      </c>
      <c r="F46" s="721">
        <f t="shared" si="5"/>
        <v>1336.4281053853622</v>
      </c>
      <c r="G46" s="721">
        <f t="shared" ca="1" si="5"/>
        <v>24584.507229452858</v>
      </c>
      <c r="H46" s="721">
        <f t="shared" si="5"/>
        <v>0</v>
      </c>
      <c r="I46" s="721">
        <f t="shared" si="5"/>
        <v>0</v>
      </c>
      <c r="J46" s="721">
        <f t="shared" si="5"/>
        <v>0</v>
      </c>
      <c r="K46" s="721">
        <f t="shared" si="5"/>
        <v>23.622520752596227</v>
      </c>
      <c r="L46" s="721">
        <f t="shared" si="5"/>
        <v>0</v>
      </c>
      <c r="M46" s="721">
        <f t="shared" ca="1" si="5"/>
        <v>0</v>
      </c>
      <c r="N46" s="721">
        <f t="shared" si="5"/>
        <v>0</v>
      </c>
      <c r="O46" s="721">
        <f t="shared" ca="1" si="5"/>
        <v>0</v>
      </c>
      <c r="P46" s="721">
        <f t="shared" si="5"/>
        <v>0</v>
      </c>
      <c r="Q46" s="721">
        <f t="shared" si="5"/>
        <v>0</v>
      </c>
      <c r="R46" s="721">
        <f ca="1">SUM(R39:R45)</f>
        <v>74116.537153817771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844.88616430964521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844.88616430964521</v>
      </c>
    </row>
    <row r="50" spans="1:18">
      <c r="A50" s="819" t="s">
        <v>307</v>
      </c>
      <c r="B50" s="829"/>
      <c r="C50" s="1008">
        <f ca="1">transport!B18</f>
        <v>0.6195397295314401</v>
      </c>
      <c r="D50" s="1008">
        <f>transport!C18</f>
        <v>0</v>
      </c>
      <c r="E50" s="1008">
        <f>transport!D18</f>
        <v>1.8940000265334209</v>
      </c>
      <c r="F50" s="1008">
        <f>transport!E18</f>
        <v>130.96459939373966</v>
      </c>
      <c r="G50" s="1008">
        <f>transport!F18</f>
        <v>0</v>
      </c>
      <c r="H50" s="1008">
        <f>transport!G18</f>
        <v>30234.83862868759</v>
      </c>
      <c r="I50" s="1008">
        <f>transport!H18</f>
        <v>5269.0734406491083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35637.390208486504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0.6195397295314401</v>
      </c>
      <c r="D52" s="721">
        <f t="shared" ref="D52:Q52" ca="1" si="6">SUM(D48:D51)</f>
        <v>0</v>
      </c>
      <c r="E52" s="721">
        <f t="shared" si="6"/>
        <v>1.8940000265334209</v>
      </c>
      <c r="F52" s="721">
        <f t="shared" si="6"/>
        <v>130.96459939373966</v>
      </c>
      <c r="G52" s="721">
        <f t="shared" si="6"/>
        <v>0</v>
      </c>
      <c r="H52" s="721">
        <f t="shared" si="6"/>
        <v>31079.724792997236</v>
      </c>
      <c r="I52" s="721">
        <f t="shared" si="6"/>
        <v>5269.0734406491083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36482.27637279615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226.0823837236666</v>
      </c>
      <c r="D54" s="1008">
        <f ca="1">+landbouw!C12</f>
        <v>4812.3529411764703</v>
      </c>
      <c r="E54" s="1008">
        <f>+landbouw!D12</f>
        <v>0</v>
      </c>
      <c r="F54" s="1008">
        <f>+landbouw!E12</f>
        <v>2.7422033828492993</v>
      </c>
      <c r="G54" s="1008">
        <f>+landbouw!F12</f>
        <v>1117.2864114522276</v>
      </c>
      <c r="H54" s="1008">
        <f>+landbouw!G12</f>
        <v>0</v>
      </c>
      <c r="I54" s="1008">
        <f>+landbouw!H12</f>
        <v>0</v>
      </c>
      <c r="J54" s="1008">
        <f>+landbouw!I12</f>
        <v>0</v>
      </c>
      <c r="K54" s="1008">
        <f>+landbouw!J12</f>
        <v>56.154175016177668</v>
      </c>
      <c r="L54" s="1008">
        <f>+landbouw!K12</f>
        <v>0</v>
      </c>
      <c r="M54" s="1008">
        <f>+landbouw!L12</f>
        <v>0</v>
      </c>
      <c r="N54" s="1008">
        <f>+landbouw!M12</f>
        <v>0</v>
      </c>
      <c r="O54" s="1008">
        <f>+landbouw!N12</f>
        <v>0</v>
      </c>
      <c r="P54" s="1008">
        <f>+landbouw!O12</f>
        <v>0</v>
      </c>
      <c r="Q54" s="1009">
        <f>+landbouw!P12</f>
        <v>0</v>
      </c>
      <c r="R54" s="720">
        <f ca="1">SUM(C54:Q54)</f>
        <v>6214.6181147513907</v>
      </c>
    </row>
    <row r="55" spans="1:18" ht="15" thickBot="1">
      <c r="A55" s="819" t="s">
        <v>912</v>
      </c>
      <c r="B55" s="829"/>
      <c r="C55" s="1008">
        <f ca="1">C25*'EF ele_warmte'!B12</f>
        <v>511.2730960089757</v>
      </c>
      <c r="D55" s="1008"/>
      <c r="E55" s="1008">
        <f>E25*EF_CO2_aardgas</f>
        <v>1837.2072938593808</v>
      </c>
      <c r="F55" s="1008"/>
      <c r="G55" s="1008"/>
      <c r="H55" s="1008"/>
      <c r="I55" s="1008"/>
      <c r="J55" s="1008"/>
      <c r="K55" s="1008"/>
      <c r="L55" s="1008"/>
      <c r="M55" s="1008"/>
      <c r="N55" s="1008"/>
      <c r="O55" s="1008"/>
      <c r="P55" s="1008"/>
      <c r="Q55" s="1009"/>
      <c r="R55" s="720">
        <f ca="1">SUM(C55:Q55)</f>
        <v>2348.4803898683567</v>
      </c>
    </row>
    <row r="56" spans="1:18" ht="15.75" thickBot="1">
      <c r="A56" s="817" t="s">
        <v>913</v>
      </c>
      <c r="B56" s="830"/>
      <c r="C56" s="721">
        <f ca="1">SUM(C54:C55)</f>
        <v>737.35547973264227</v>
      </c>
      <c r="D56" s="721">
        <f t="shared" ref="D56:Q56" ca="1" si="7">SUM(D54:D55)</f>
        <v>4812.3529411764703</v>
      </c>
      <c r="E56" s="721">
        <f t="shared" si="7"/>
        <v>1837.2072938593808</v>
      </c>
      <c r="F56" s="721">
        <f t="shared" si="7"/>
        <v>2.7422033828492993</v>
      </c>
      <c r="G56" s="721">
        <f t="shared" si="7"/>
        <v>1117.2864114522276</v>
      </c>
      <c r="H56" s="721">
        <f t="shared" si="7"/>
        <v>0</v>
      </c>
      <c r="I56" s="721">
        <f t="shared" si="7"/>
        <v>0</v>
      </c>
      <c r="J56" s="721">
        <f t="shared" si="7"/>
        <v>0</v>
      </c>
      <c r="K56" s="721">
        <f t="shared" si="7"/>
        <v>56.154175016177668</v>
      </c>
      <c r="L56" s="721">
        <f t="shared" si="7"/>
        <v>0</v>
      </c>
      <c r="M56" s="721">
        <f t="shared" si="7"/>
        <v>0</v>
      </c>
      <c r="N56" s="721">
        <f t="shared" si="7"/>
        <v>0</v>
      </c>
      <c r="O56" s="721">
        <f t="shared" si="7"/>
        <v>0</v>
      </c>
      <c r="P56" s="721">
        <f t="shared" si="7"/>
        <v>0</v>
      </c>
      <c r="Q56" s="722">
        <f t="shared" si="7"/>
        <v>0</v>
      </c>
      <c r="R56" s="723">
        <f ca="1">SUM(R54:R55)</f>
        <v>8563.0985046197475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21548.001926538534</v>
      </c>
      <c r="D61" s="729">
        <f t="shared" ref="D61:Q61" ca="1" si="8">D46+D52+D56</f>
        <v>4820.755462184874</v>
      </c>
      <c r="E61" s="729">
        <f t="shared" ca="1" si="8"/>
        <v>29192.65116402811</v>
      </c>
      <c r="F61" s="729">
        <f t="shared" si="8"/>
        <v>1470.1349081619512</v>
      </c>
      <c r="G61" s="729">
        <f t="shared" ca="1" si="8"/>
        <v>25701.793640905085</v>
      </c>
      <c r="H61" s="729">
        <f t="shared" si="8"/>
        <v>31079.724792997236</v>
      </c>
      <c r="I61" s="729">
        <f t="shared" si="8"/>
        <v>5269.0734406491083</v>
      </c>
      <c r="J61" s="729">
        <f t="shared" si="8"/>
        <v>0</v>
      </c>
      <c r="K61" s="729">
        <f t="shared" si="8"/>
        <v>79.776695768773891</v>
      </c>
      <c r="L61" s="729">
        <f t="shared" si="8"/>
        <v>0</v>
      </c>
      <c r="M61" s="729">
        <f t="shared" ca="1" si="8"/>
        <v>0</v>
      </c>
      <c r="N61" s="729">
        <f t="shared" si="8"/>
        <v>0</v>
      </c>
      <c r="O61" s="729">
        <f t="shared" ca="1" si="8"/>
        <v>0</v>
      </c>
      <c r="P61" s="729">
        <f t="shared" si="8"/>
        <v>0</v>
      </c>
      <c r="Q61" s="729">
        <f t="shared" si="8"/>
        <v>0</v>
      </c>
      <c r="R61" s="729">
        <f ca="1">R46+R52+R56</f>
        <v>119161.91203123367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0.17630909269283143</v>
      </c>
      <c r="D63" s="773">
        <f t="shared" ca="1" si="9"/>
        <v>0.23764705882352943</v>
      </c>
      <c r="E63" s="1010">
        <f t="shared" ca="1" si="9"/>
        <v>0.20200000000000001</v>
      </c>
      <c r="F63" s="773">
        <f t="shared" si="9"/>
        <v>0.22700000000000004</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15230.301970606301</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10554.228322902763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14199.75</v>
      </c>
      <c r="D76" s="1020">
        <f>'lokale energieproductie'!C8</f>
        <v>16705.588235294115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3374.5288235294115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25784.530293509066</v>
      </c>
      <c r="C78" s="744">
        <f>SUM(C72:C77)</f>
        <v>14199.75</v>
      </c>
      <c r="D78" s="745">
        <f t="shared" ref="D78:H78" si="10">SUM(D76:D77)</f>
        <v>16705.588235294115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3374.5288235294115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20285.357142857141</v>
      </c>
      <c r="D87" s="766">
        <f>'lokale energieproductie'!C17</f>
        <v>23865.126050420164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4820.7554621848731</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20285.357142857141</v>
      </c>
      <c r="D90" s="744">
        <f t="shared" ref="D90:H90" si="12">SUM(D87:D89)</f>
        <v>23865.126050420164</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4820.7554621848731</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41753.876320989315</v>
      </c>
      <c r="C4" s="461">
        <f>huishoudens!C8</f>
        <v>0</v>
      </c>
      <c r="D4" s="461">
        <f>huishoudens!D8</f>
        <v>72036.16789814728</v>
      </c>
      <c r="E4" s="461">
        <f>huishoudens!E8</f>
        <v>5285.3898316704262</v>
      </c>
      <c r="F4" s="461">
        <f>huishoudens!F8</f>
        <v>66320.089247893702</v>
      </c>
      <c r="G4" s="461">
        <f>huishoudens!G8</f>
        <v>0</v>
      </c>
      <c r="H4" s="461">
        <f>huishoudens!H8</f>
        <v>0</v>
      </c>
      <c r="I4" s="461">
        <f>huishoudens!I8</f>
        <v>0</v>
      </c>
      <c r="J4" s="461">
        <f>huishoudens!J8</f>
        <v>0</v>
      </c>
      <c r="K4" s="461">
        <f>huishoudens!K8</f>
        <v>0</v>
      </c>
      <c r="L4" s="461">
        <f>huishoudens!L8</f>
        <v>0</v>
      </c>
      <c r="M4" s="461">
        <f>huishoudens!M8</f>
        <v>0</v>
      </c>
      <c r="N4" s="461">
        <f>huishoudens!N8</f>
        <v>10500.652276170485</v>
      </c>
      <c r="O4" s="461">
        <f>huishoudens!O8</f>
        <v>76.603333333333339</v>
      </c>
      <c r="P4" s="462">
        <f>huishoudens!P8</f>
        <v>476.66666666666663</v>
      </c>
      <c r="Q4" s="463">
        <f>SUM(B4:P4)</f>
        <v>196449.44557487121</v>
      </c>
    </row>
    <row r="5" spans="1:17">
      <c r="A5" s="460" t="s">
        <v>156</v>
      </c>
      <c r="B5" s="461">
        <f ca="1">tertiair!B16</f>
        <v>46010.225999999995</v>
      </c>
      <c r="C5" s="461">
        <f ca="1">tertiair!C16</f>
        <v>35.357142857142861</v>
      </c>
      <c r="D5" s="461">
        <f ca="1">tertiair!D16</f>
        <v>43953.171040881723</v>
      </c>
      <c r="E5" s="461">
        <f>tertiair!E16</f>
        <v>354.20030852671323</v>
      </c>
      <c r="F5" s="461">
        <f ca="1">tertiair!F16</f>
        <v>10126.490520985655</v>
      </c>
      <c r="G5" s="461">
        <f>tertiair!G16</f>
        <v>0</v>
      </c>
      <c r="H5" s="461">
        <f>tertiair!H16</f>
        <v>0</v>
      </c>
      <c r="I5" s="461">
        <f>tertiair!I16</f>
        <v>0</v>
      </c>
      <c r="J5" s="461">
        <f>tertiair!J16</f>
        <v>0</v>
      </c>
      <c r="K5" s="461">
        <f>tertiair!K16</f>
        <v>0</v>
      </c>
      <c r="L5" s="461">
        <f ca="1">tertiair!L16</f>
        <v>0</v>
      </c>
      <c r="M5" s="461">
        <f>tertiair!M16</f>
        <v>0</v>
      </c>
      <c r="N5" s="461">
        <f ca="1">tertiair!N16</f>
        <v>1993.5423433404255</v>
      </c>
      <c r="O5" s="461">
        <f>tertiair!O16</f>
        <v>0</v>
      </c>
      <c r="P5" s="462">
        <f>tertiair!P16</f>
        <v>0</v>
      </c>
      <c r="Q5" s="460">
        <f t="shared" ref="Q5:Q14" ca="1" si="0">SUM(B5:P5)</f>
        <v>102472.98735659165</v>
      </c>
    </row>
    <row r="6" spans="1:17">
      <c r="A6" s="460" t="s">
        <v>194</v>
      </c>
      <c r="B6" s="461">
        <f>'openbare verlichting'!B8</f>
        <v>2014.6320000000001</v>
      </c>
      <c r="C6" s="461"/>
      <c r="D6" s="461"/>
      <c r="E6" s="461"/>
      <c r="F6" s="461"/>
      <c r="G6" s="461"/>
      <c r="H6" s="461"/>
      <c r="I6" s="461"/>
      <c r="J6" s="461"/>
      <c r="K6" s="461"/>
      <c r="L6" s="461"/>
      <c r="M6" s="461"/>
      <c r="N6" s="461"/>
      <c r="O6" s="461"/>
      <c r="P6" s="462"/>
      <c r="Q6" s="460">
        <f t="shared" si="0"/>
        <v>2014.6320000000001</v>
      </c>
    </row>
    <row r="7" spans="1:17">
      <c r="A7" s="460" t="s">
        <v>112</v>
      </c>
      <c r="B7" s="461">
        <f>landbouw!B8</f>
        <v>1282.307</v>
      </c>
      <c r="C7" s="461">
        <f>landbouw!C8</f>
        <v>20250</v>
      </c>
      <c r="D7" s="461">
        <f>landbouw!D8</f>
        <v>0</v>
      </c>
      <c r="E7" s="461">
        <f>landbouw!E8</f>
        <v>12.080191113873564</v>
      </c>
      <c r="F7" s="461">
        <f>landbouw!F8</f>
        <v>4184.5933013192043</v>
      </c>
      <c r="G7" s="461">
        <f>landbouw!G8</f>
        <v>0</v>
      </c>
      <c r="H7" s="461">
        <f>landbouw!H8</f>
        <v>0</v>
      </c>
      <c r="I7" s="461">
        <f>landbouw!I8</f>
        <v>0</v>
      </c>
      <c r="J7" s="461">
        <f>landbouw!J8</f>
        <v>158.62761304004991</v>
      </c>
      <c r="K7" s="461">
        <f>landbouw!K8</f>
        <v>0</v>
      </c>
      <c r="L7" s="461">
        <f>landbouw!L8</f>
        <v>0</v>
      </c>
      <c r="M7" s="461">
        <f>landbouw!M8</f>
        <v>0</v>
      </c>
      <c r="N7" s="461">
        <f>landbouw!N8</f>
        <v>0</v>
      </c>
      <c r="O7" s="461">
        <f>landbouw!O8</f>
        <v>0</v>
      </c>
      <c r="P7" s="462">
        <f>landbouw!P8</f>
        <v>0</v>
      </c>
      <c r="Q7" s="460">
        <f t="shared" si="0"/>
        <v>25887.608105473129</v>
      </c>
    </row>
    <row r="8" spans="1:17">
      <c r="A8" s="460" t="s">
        <v>685</v>
      </c>
      <c r="B8" s="461">
        <f>industrie!B18</f>
        <v>28252.767000000007</v>
      </c>
      <c r="C8" s="461">
        <f>industrie!C18</f>
        <v>0</v>
      </c>
      <c r="D8" s="461">
        <f>industrie!D18</f>
        <v>19424.274279496705</v>
      </c>
      <c r="E8" s="461">
        <f>industrie!E18</f>
        <v>247.75834167670155</v>
      </c>
      <c r="F8" s="461">
        <f>industrie!F18</f>
        <v>15630.226333940331</v>
      </c>
      <c r="G8" s="461">
        <f>industrie!G18</f>
        <v>0</v>
      </c>
      <c r="H8" s="461">
        <f>industrie!H18</f>
        <v>0</v>
      </c>
      <c r="I8" s="461">
        <f>industrie!I18</f>
        <v>0</v>
      </c>
      <c r="J8" s="461">
        <f>industrie!J18</f>
        <v>66.730284611853747</v>
      </c>
      <c r="K8" s="461">
        <f>industrie!K18</f>
        <v>0</v>
      </c>
      <c r="L8" s="461">
        <f>industrie!L18</f>
        <v>0</v>
      </c>
      <c r="M8" s="461">
        <f>industrie!M18</f>
        <v>0</v>
      </c>
      <c r="N8" s="461">
        <f>industrie!N18</f>
        <v>2010.8215773969282</v>
      </c>
      <c r="O8" s="461">
        <f>industrie!O18</f>
        <v>0</v>
      </c>
      <c r="P8" s="462">
        <f>industrie!P18</f>
        <v>0</v>
      </c>
      <c r="Q8" s="460">
        <f t="shared" si="0"/>
        <v>65632.577817122525</v>
      </c>
    </row>
    <row r="9" spans="1:17" s="466" customFormat="1">
      <c r="A9" s="464" t="s">
        <v>579</v>
      </c>
      <c r="B9" s="465">
        <f>transport!B14</f>
        <v>3.5139408868197872</v>
      </c>
      <c r="C9" s="465">
        <f>transport!C14</f>
        <v>0</v>
      </c>
      <c r="D9" s="465">
        <f>transport!D14</f>
        <v>9.3762377551159446</v>
      </c>
      <c r="E9" s="465">
        <f>transport!E14</f>
        <v>576.93656120590151</v>
      </c>
      <c r="F9" s="465">
        <f>transport!F14</f>
        <v>0</v>
      </c>
      <c r="G9" s="465">
        <f>transport!G14</f>
        <v>113239.09598759396</v>
      </c>
      <c r="H9" s="465">
        <f>transport!H14</f>
        <v>21160.937512647022</v>
      </c>
      <c r="I9" s="465">
        <f>transport!I14</f>
        <v>0</v>
      </c>
      <c r="J9" s="465">
        <f>transport!J14</f>
        <v>0</v>
      </c>
      <c r="K9" s="465">
        <f>transport!K14</f>
        <v>0</v>
      </c>
      <c r="L9" s="465">
        <f>transport!L14</f>
        <v>0</v>
      </c>
      <c r="M9" s="465">
        <f>transport!M14</f>
        <v>6010.5378379046924</v>
      </c>
      <c r="N9" s="465">
        <f>transport!N14</f>
        <v>0</v>
      </c>
      <c r="O9" s="465">
        <f>transport!O14</f>
        <v>0</v>
      </c>
      <c r="P9" s="465">
        <f>transport!P14</f>
        <v>0</v>
      </c>
      <c r="Q9" s="464">
        <f>SUM(B9:P9)</f>
        <v>141000.39807799351</v>
      </c>
    </row>
    <row r="10" spans="1:17">
      <c r="A10" s="460" t="s">
        <v>569</v>
      </c>
      <c r="B10" s="461">
        <f>transport!B54</f>
        <v>0</v>
      </c>
      <c r="C10" s="461">
        <f>transport!C54</f>
        <v>0</v>
      </c>
      <c r="D10" s="461">
        <f>transport!D54</f>
        <v>0</v>
      </c>
      <c r="E10" s="461">
        <f>transport!E54</f>
        <v>0</v>
      </c>
      <c r="F10" s="461">
        <f>transport!F54</f>
        <v>0</v>
      </c>
      <c r="G10" s="461">
        <f>transport!G54</f>
        <v>3164.3676565904311</v>
      </c>
      <c r="H10" s="461">
        <f>transport!H54</f>
        <v>0</v>
      </c>
      <c r="I10" s="461">
        <f>transport!I54</f>
        <v>0</v>
      </c>
      <c r="J10" s="461">
        <f>transport!J54</f>
        <v>0</v>
      </c>
      <c r="K10" s="461">
        <f>transport!K54</f>
        <v>0</v>
      </c>
      <c r="L10" s="461">
        <f>transport!L54</f>
        <v>0</v>
      </c>
      <c r="M10" s="461">
        <f>transport!M54</f>
        <v>138.95260375184904</v>
      </c>
      <c r="N10" s="461">
        <f>transport!N54</f>
        <v>0</v>
      </c>
      <c r="O10" s="461">
        <f>transport!O54</f>
        <v>0</v>
      </c>
      <c r="P10" s="462">
        <f>transport!P54</f>
        <v>0</v>
      </c>
      <c r="Q10" s="460">
        <f t="shared" si="0"/>
        <v>3303.3202603422801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2899.8679999999999</v>
      </c>
      <c r="C14" s="468"/>
      <c r="D14" s="468">
        <f>'SEAP template'!E25</f>
        <v>9095.0856131652508</v>
      </c>
      <c r="E14" s="468"/>
      <c r="F14" s="468"/>
      <c r="G14" s="468"/>
      <c r="H14" s="468"/>
      <c r="I14" s="468"/>
      <c r="J14" s="468"/>
      <c r="K14" s="468"/>
      <c r="L14" s="468"/>
      <c r="M14" s="468"/>
      <c r="N14" s="468"/>
      <c r="O14" s="468"/>
      <c r="P14" s="469"/>
      <c r="Q14" s="460">
        <f t="shared" si="0"/>
        <v>11994.953613165251</v>
      </c>
    </row>
    <row r="15" spans="1:17" s="473" customFormat="1">
      <c r="A15" s="470" t="s">
        <v>573</v>
      </c>
      <c r="B15" s="471">
        <f ca="1">SUM(B4:B14)</f>
        <v>122217.19026187612</v>
      </c>
      <c r="C15" s="471">
        <f t="shared" ref="C15:Q15" ca="1" si="1">SUM(C4:C14)</f>
        <v>20285.357142857141</v>
      </c>
      <c r="D15" s="471">
        <f t="shared" ca="1" si="1"/>
        <v>144518.07506944609</v>
      </c>
      <c r="E15" s="471">
        <f t="shared" si="1"/>
        <v>6476.3652341936167</v>
      </c>
      <c r="F15" s="471">
        <f t="shared" ca="1" si="1"/>
        <v>96261.399404138894</v>
      </c>
      <c r="G15" s="471">
        <f t="shared" si="1"/>
        <v>116403.46364418439</v>
      </c>
      <c r="H15" s="471">
        <f t="shared" si="1"/>
        <v>21160.937512647022</v>
      </c>
      <c r="I15" s="471">
        <f t="shared" si="1"/>
        <v>0</v>
      </c>
      <c r="J15" s="471">
        <f t="shared" si="1"/>
        <v>225.35789765190367</v>
      </c>
      <c r="K15" s="471">
        <f t="shared" si="1"/>
        <v>0</v>
      </c>
      <c r="L15" s="471">
        <f t="shared" ca="1" si="1"/>
        <v>0</v>
      </c>
      <c r="M15" s="471">
        <f t="shared" si="1"/>
        <v>6149.4904416565414</v>
      </c>
      <c r="N15" s="471">
        <f t="shared" ca="1" si="1"/>
        <v>14505.016196907838</v>
      </c>
      <c r="O15" s="471">
        <f t="shared" si="1"/>
        <v>76.603333333333339</v>
      </c>
      <c r="P15" s="471">
        <f t="shared" si="1"/>
        <v>476.66666666666663</v>
      </c>
      <c r="Q15" s="471">
        <f t="shared" ca="1" si="1"/>
        <v>548755.92280555959</v>
      </c>
    </row>
    <row r="17" spans="1:17">
      <c r="A17" s="474" t="s">
        <v>574</v>
      </c>
      <c r="B17" s="778">
        <f ca="1">huishoudens!B10</f>
        <v>0.17630909269283143</v>
      </c>
      <c r="C17" s="778">
        <f ca="1">huishoudens!C10</f>
        <v>0.23764705882352938</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7361.5880505623245</v>
      </c>
      <c r="C22" s="461">
        <f t="shared" ref="C22:C32" ca="1" si="3">C4*$C$17</f>
        <v>0</v>
      </c>
      <c r="D22" s="461">
        <f t="shared" ref="D22:D32" si="4">D4*$D$17</f>
        <v>14551.305915425752</v>
      </c>
      <c r="E22" s="461">
        <f t="shared" ref="E22:E32" si="5">E4*$E$17</f>
        <v>1199.7834917891869</v>
      </c>
      <c r="F22" s="461">
        <f t="shared" ref="F22:F32" si="6">F4*$F$17</f>
        <v>17707.463829187618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40820.141286964885</v>
      </c>
    </row>
    <row r="23" spans="1:17">
      <c r="A23" s="460" t="s">
        <v>156</v>
      </c>
      <c r="B23" s="461">
        <f t="shared" ca="1" si="2"/>
        <v>8112.0212006521215</v>
      </c>
      <c r="C23" s="461">
        <f t="shared" ca="1" si="3"/>
        <v>8.4025210084033617</v>
      </c>
      <c r="D23" s="461">
        <f t="shared" ca="1" si="4"/>
        <v>8878.5405502581089</v>
      </c>
      <c r="E23" s="461">
        <f t="shared" si="5"/>
        <v>80.403470035563899</v>
      </c>
      <c r="F23" s="461">
        <f t="shared" ca="1" si="6"/>
        <v>2703.77296910317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19783.140711057367</v>
      </c>
    </row>
    <row r="24" spans="1:17">
      <c r="A24" s="460" t="s">
        <v>194</v>
      </c>
      <c r="B24" s="461">
        <f t="shared" ca="1" si="2"/>
        <v>355.19794002994439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355.19794002994439</v>
      </c>
    </row>
    <row r="25" spans="1:17">
      <c r="A25" s="460" t="s">
        <v>112</v>
      </c>
      <c r="B25" s="461">
        <f t="shared" ca="1" si="2"/>
        <v>226.0823837236666</v>
      </c>
      <c r="C25" s="461">
        <f t="shared" ca="1" si="3"/>
        <v>4812.3529411764703</v>
      </c>
      <c r="D25" s="461">
        <f t="shared" si="4"/>
        <v>0</v>
      </c>
      <c r="E25" s="461">
        <f t="shared" si="5"/>
        <v>2.7422033828492993</v>
      </c>
      <c r="F25" s="461">
        <f t="shared" si="6"/>
        <v>1117.2864114522276</v>
      </c>
      <c r="G25" s="461">
        <f t="shared" si="7"/>
        <v>0</v>
      </c>
      <c r="H25" s="461">
        <f t="shared" si="8"/>
        <v>0</v>
      </c>
      <c r="I25" s="461">
        <f t="shared" si="9"/>
        <v>0</v>
      </c>
      <c r="J25" s="461">
        <f t="shared" si="10"/>
        <v>56.154175016177668</v>
      </c>
      <c r="K25" s="461">
        <f t="shared" si="11"/>
        <v>0</v>
      </c>
      <c r="L25" s="461">
        <f t="shared" si="12"/>
        <v>0</v>
      </c>
      <c r="M25" s="461">
        <f t="shared" si="13"/>
        <v>0</v>
      </c>
      <c r="N25" s="461">
        <f t="shared" si="14"/>
        <v>0</v>
      </c>
      <c r="O25" s="461">
        <f t="shared" si="15"/>
        <v>0</v>
      </c>
      <c r="P25" s="462">
        <f t="shared" si="16"/>
        <v>0</v>
      </c>
      <c r="Q25" s="460">
        <f t="shared" ca="1" si="17"/>
        <v>6214.6181147513907</v>
      </c>
    </row>
    <row r="26" spans="1:17">
      <c r="A26" s="460" t="s">
        <v>685</v>
      </c>
      <c r="B26" s="461">
        <f t="shared" ca="1" si="2"/>
        <v>4981.2197158319705</v>
      </c>
      <c r="C26" s="461">
        <f t="shared" ca="1" si="3"/>
        <v>0</v>
      </c>
      <c r="D26" s="461">
        <f t="shared" si="4"/>
        <v>3923.7034044583347</v>
      </c>
      <c r="E26" s="461">
        <f t="shared" si="5"/>
        <v>56.241143560611256</v>
      </c>
      <c r="F26" s="461">
        <f t="shared" si="6"/>
        <v>4173.2704311620682</v>
      </c>
      <c r="G26" s="461">
        <f t="shared" si="7"/>
        <v>0</v>
      </c>
      <c r="H26" s="461">
        <f t="shared" si="8"/>
        <v>0</v>
      </c>
      <c r="I26" s="461">
        <f t="shared" si="9"/>
        <v>0</v>
      </c>
      <c r="J26" s="461">
        <f t="shared" si="10"/>
        <v>23.622520752596227</v>
      </c>
      <c r="K26" s="461">
        <f t="shared" si="11"/>
        <v>0</v>
      </c>
      <c r="L26" s="461">
        <f t="shared" si="12"/>
        <v>0</v>
      </c>
      <c r="M26" s="461">
        <f t="shared" si="13"/>
        <v>0</v>
      </c>
      <c r="N26" s="461">
        <f t="shared" si="14"/>
        <v>0</v>
      </c>
      <c r="O26" s="461">
        <f t="shared" si="15"/>
        <v>0</v>
      </c>
      <c r="P26" s="462">
        <f t="shared" si="16"/>
        <v>0</v>
      </c>
      <c r="Q26" s="460">
        <f t="shared" ca="1" si="17"/>
        <v>13158.057215765581</v>
      </c>
    </row>
    <row r="27" spans="1:17" s="466" customFormat="1">
      <c r="A27" s="464" t="s">
        <v>579</v>
      </c>
      <c r="B27" s="772">
        <f t="shared" ca="1" si="2"/>
        <v>0.6195397295314401</v>
      </c>
      <c r="C27" s="465">
        <f t="shared" ca="1" si="3"/>
        <v>0</v>
      </c>
      <c r="D27" s="465">
        <f t="shared" si="4"/>
        <v>1.8940000265334209</v>
      </c>
      <c r="E27" s="465">
        <f t="shared" si="5"/>
        <v>130.96459939373966</v>
      </c>
      <c r="F27" s="465">
        <f t="shared" si="6"/>
        <v>0</v>
      </c>
      <c r="G27" s="465">
        <f t="shared" si="7"/>
        <v>30234.83862868759</v>
      </c>
      <c r="H27" s="465">
        <f t="shared" si="8"/>
        <v>5269.0734406491083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35637.390208486504</v>
      </c>
    </row>
    <row r="28" spans="1:17">
      <c r="A28" s="460" t="s">
        <v>569</v>
      </c>
      <c r="B28" s="461">
        <f t="shared" ca="1" si="2"/>
        <v>0</v>
      </c>
      <c r="C28" s="461">
        <f t="shared" ca="1" si="3"/>
        <v>0</v>
      </c>
      <c r="D28" s="461">
        <f t="shared" si="4"/>
        <v>0</v>
      </c>
      <c r="E28" s="461">
        <f t="shared" si="5"/>
        <v>0</v>
      </c>
      <c r="F28" s="461">
        <f t="shared" si="6"/>
        <v>0</v>
      </c>
      <c r="G28" s="461">
        <f t="shared" si="7"/>
        <v>844.88616430964521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844.88616430964521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511.2730960089757</v>
      </c>
      <c r="C32" s="461">
        <f t="shared" ca="1" si="3"/>
        <v>0</v>
      </c>
      <c r="D32" s="461">
        <f t="shared" si="4"/>
        <v>1837.2072938593808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2348.4803898683567</v>
      </c>
    </row>
    <row r="33" spans="1:17" s="473" customFormat="1">
      <c r="A33" s="470" t="s">
        <v>573</v>
      </c>
      <c r="B33" s="471">
        <f ca="1">SUM(B22:B32)</f>
        <v>21548.001926538534</v>
      </c>
      <c r="C33" s="471">
        <f t="shared" ref="C33:Q33" ca="1" si="18">SUM(C22:C32)</f>
        <v>4820.755462184874</v>
      </c>
      <c r="D33" s="471">
        <f t="shared" ca="1" si="18"/>
        <v>29192.65116402811</v>
      </c>
      <c r="E33" s="471">
        <f t="shared" si="18"/>
        <v>1470.1349081619512</v>
      </c>
      <c r="F33" s="471">
        <f t="shared" ca="1" si="18"/>
        <v>25701.793640905085</v>
      </c>
      <c r="G33" s="471">
        <f t="shared" si="18"/>
        <v>31079.724792997236</v>
      </c>
      <c r="H33" s="471">
        <f t="shared" si="18"/>
        <v>5269.0734406491083</v>
      </c>
      <c r="I33" s="471">
        <f t="shared" si="18"/>
        <v>0</v>
      </c>
      <c r="J33" s="471">
        <f t="shared" si="18"/>
        <v>79.776695768773891</v>
      </c>
      <c r="K33" s="471">
        <f t="shared" si="18"/>
        <v>0</v>
      </c>
      <c r="L33" s="471">
        <f t="shared" ca="1" si="18"/>
        <v>0</v>
      </c>
      <c r="M33" s="471">
        <f t="shared" si="18"/>
        <v>0</v>
      </c>
      <c r="N33" s="471">
        <f t="shared" ca="1" si="18"/>
        <v>0</v>
      </c>
      <c r="O33" s="471">
        <f t="shared" si="18"/>
        <v>0</v>
      </c>
      <c r="P33" s="471">
        <f t="shared" si="18"/>
        <v>0</v>
      </c>
      <c r="Q33" s="471">
        <f t="shared" ca="1" si="18"/>
        <v>119161.91203123369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15230.301970606301</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10554.228322902763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14199.75</v>
      </c>
      <c r="D8" s="1037">
        <f>'SEAP template'!D76</f>
        <v>16705.588235294115</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3374.5288235294115</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25784.530293509066</v>
      </c>
      <c r="C10" s="1041">
        <f>SUM(C4:C9)</f>
        <v>14199.75</v>
      </c>
      <c r="D10" s="1041">
        <f t="shared" ref="D10:H10" si="0">SUM(D8:D9)</f>
        <v>16705.588235294115</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3374.5288235294115</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0.17630909269283143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20285.357142857141</v>
      </c>
      <c r="D17" s="1038">
        <f>'SEAP template'!D87</f>
        <v>23865.126050420164</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4820.7554621848731</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20285.357142857141</v>
      </c>
      <c r="D20" s="1041">
        <f t="shared" ref="D20:H20" si="2">SUM(D17:D19)</f>
        <v>23865.126050420164</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4820.7554621848731</v>
      </c>
    </row>
    <row r="22" spans="1:16">
      <c r="A22" s="474" t="s">
        <v>932</v>
      </c>
      <c r="B22" s="778" t="s">
        <v>926</v>
      </c>
      <c r="C22" s="778">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0.17630909269283143</v>
      </c>
      <c r="C17" s="510">
        <f ca="1">'EF ele_warmte'!B22</f>
        <v>0.23764705882352938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0.17630909269283143</v>
      </c>
      <c r="C17" s="510">
        <f ca="1">'EF ele_warmte'!B22</f>
        <v>0.23764705882352938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0.17630909269283143</v>
      </c>
      <c r="C29" s="511">
        <f ca="1">'EF ele_warmte'!B22</f>
        <v>0.23764705882352938</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24020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9880</v>
      </c>
      <c r="C9" s="338">
        <v>10614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2541</v>
      </c>
    </row>
    <row r="15" spans="1:6">
      <c r="A15" s="1286" t="s">
        <v>184</v>
      </c>
      <c r="B15" s="335">
        <v>319</v>
      </c>
    </row>
    <row r="16" spans="1:6">
      <c r="A16" s="1286" t="s">
        <v>6</v>
      </c>
      <c r="B16" s="335">
        <v>298</v>
      </c>
    </row>
    <row r="17" spans="1:6">
      <c r="A17" s="1286" t="s">
        <v>7</v>
      </c>
      <c r="B17" s="335">
        <v>325</v>
      </c>
    </row>
    <row r="18" spans="1:6">
      <c r="A18" s="1286" t="s">
        <v>8</v>
      </c>
      <c r="B18" s="335">
        <v>463</v>
      </c>
    </row>
    <row r="19" spans="1:6">
      <c r="A19" s="1286" t="s">
        <v>9</v>
      </c>
      <c r="B19" s="335">
        <v>421</v>
      </c>
    </row>
    <row r="20" spans="1:6">
      <c r="A20" s="1286" t="s">
        <v>10</v>
      </c>
      <c r="B20" s="335">
        <v>241</v>
      </c>
    </row>
    <row r="21" spans="1:6">
      <c r="A21" s="1286" t="s">
        <v>11</v>
      </c>
      <c r="B21" s="335">
        <v>1697</v>
      </c>
    </row>
    <row r="22" spans="1:6">
      <c r="A22" s="1286" t="s">
        <v>12</v>
      </c>
      <c r="B22" s="335">
        <v>7601</v>
      </c>
    </row>
    <row r="23" spans="1:6">
      <c r="A23" s="1286" t="s">
        <v>13</v>
      </c>
      <c r="B23" s="335">
        <v>88</v>
      </c>
    </row>
    <row r="24" spans="1:6">
      <c r="A24" s="1286" t="s">
        <v>14</v>
      </c>
      <c r="B24" s="335">
        <v>9</v>
      </c>
    </row>
    <row r="25" spans="1:6">
      <c r="A25" s="1286" t="s">
        <v>15</v>
      </c>
      <c r="B25" s="335">
        <v>526</v>
      </c>
    </row>
    <row r="26" spans="1:6">
      <c r="A26" s="1286" t="s">
        <v>16</v>
      </c>
      <c r="B26" s="335">
        <v>145</v>
      </c>
    </row>
    <row r="27" spans="1:6">
      <c r="A27" s="1286" t="s">
        <v>17</v>
      </c>
      <c r="B27" s="335">
        <v>0</v>
      </c>
    </row>
    <row r="28" spans="1:6" s="341" customFormat="1">
      <c r="A28" s="1287" t="s">
        <v>18</v>
      </c>
      <c r="B28" s="1287">
        <v>123538</v>
      </c>
    </row>
    <row r="29" spans="1:6">
      <c r="A29" s="1287" t="s">
        <v>944</v>
      </c>
      <c r="B29" s="1287">
        <v>155</v>
      </c>
      <c r="C29" s="341"/>
      <c r="D29" s="341"/>
      <c r="E29" s="341"/>
      <c r="F29" s="341"/>
    </row>
    <row r="30" spans="1:6">
      <c r="A30" s="1282" t="s">
        <v>945</v>
      </c>
      <c r="B30" s="1282">
        <v>26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6</v>
      </c>
      <c r="F36" s="335">
        <v>55471</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4743</v>
      </c>
      <c r="D39" s="335">
        <v>79862713.856039107</v>
      </c>
      <c r="E39" s="335">
        <v>9989</v>
      </c>
      <c r="F39" s="335">
        <v>37937343</v>
      </c>
    </row>
    <row r="40" spans="1:6">
      <c r="A40" s="1286" t="s">
        <v>30</v>
      </c>
      <c r="B40" s="1286" t="s">
        <v>29</v>
      </c>
      <c r="C40" s="335">
        <v>0</v>
      </c>
      <c r="D40" s="335">
        <v>0</v>
      </c>
      <c r="E40" s="335">
        <v>0</v>
      </c>
      <c r="F40" s="335">
        <v>0</v>
      </c>
    </row>
    <row r="41" spans="1:6">
      <c r="A41" s="1286" t="s">
        <v>32</v>
      </c>
      <c r="B41" s="1286" t="s">
        <v>33</v>
      </c>
      <c r="C41" s="335">
        <v>37</v>
      </c>
      <c r="D41" s="335">
        <v>3313877.4019271201</v>
      </c>
      <c r="E41" s="335">
        <v>164</v>
      </c>
      <c r="F41" s="335">
        <v>17697453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20</v>
      </c>
      <c r="F44" s="335">
        <v>3233364</v>
      </c>
    </row>
    <row r="45" spans="1:6">
      <c r="A45" s="1286" t="s">
        <v>32</v>
      </c>
      <c r="B45" s="1286" t="s">
        <v>37</v>
      </c>
      <c r="C45" s="335">
        <v>0</v>
      </c>
      <c r="D45" s="335">
        <v>0</v>
      </c>
      <c r="E45" s="335">
        <v>8</v>
      </c>
      <c r="F45" s="335">
        <v>612365</v>
      </c>
    </row>
    <row r="46" spans="1:6">
      <c r="A46" s="1286" t="s">
        <v>32</v>
      </c>
      <c r="B46" s="1286" t="s">
        <v>38</v>
      </c>
      <c r="C46" s="335">
        <v>0</v>
      </c>
      <c r="D46" s="335">
        <v>0</v>
      </c>
      <c r="E46" s="335">
        <v>0</v>
      </c>
      <c r="F46" s="335">
        <v>0</v>
      </c>
    </row>
    <row r="47" spans="1:6">
      <c r="A47" s="1286" t="s">
        <v>32</v>
      </c>
      <c r="B47" s="1286" t="s">
        <v>39</v>
      </c>
      <c r="C47" s="335">
        <v>3</v>
      </c>
      <c r="D47" s="335">
        <v>781803.149838135</v>
      </c>
      <c r="E47" s="335">
        <v>11</v>
      </c>
      <c r="F47" s="335">
        <v>1514213</v>
      </c>
    </row>
    <row r="48" spans="1:6">
      <c r="A48" s="1286" t="s">
        <v>32</v>
      </c>
      <c r="B48" s="1286" t="s">
        <v>29</v>
      </c>
      <c r="C48" s="335">
        <v>53</v>
      </c>
      <c r="D48" s="335">
        <v>11360538.0502101</v>
      </c>
      <c r="E48" s="335">
        <v>4</v>
      </c>
      <c r="F48" s="335">
        <v>1586040</v>
      </c>
    </row>
    <row r="49" spans="1:6">
      <c r="A49" s="1286" t="s">
        <v>32</v>
      </c>
      <c r="B49" s="1286" t="s">
        <v>40</v>
      </c>
      <c r="C49" s="335">
        <v>0</v>
      </c>
      <c r="D49" s="335">
        <v>0</v>
      </c>
      <c r="E49" s="335">
        <v>5</v>
      </c>
      <c r="F49" s="335">
        <v>104360</v>
      </c>
    </row>
    <row r="50" spans="1:6">
      <c r="A50" s="1286" t="s">
        <v>32</v>
      </c>
      <c r="B50" s="1286" t="s">
        <v>41</v>
      </c>
      <c r="C50" s="335">
        <v>14</v>
      </c>
      <c r="D50" s="335">
        <v>6078453.5482427198</v>
      </c>
      <c r="E50" s="335">
        <v>25</v>
      </c>
      <c r="F50" s="335">
        <v>3504972</v>
      </c>
    </row>
    <row r="51" spans="1:6">
      <c r="A51" s="1286" t="s">
        <v>42</v>
      </c>
      <c r="B51" s="1286" t="s">
        <v>43</v>
      </c>
      <c r="C51" s="335">
        <v>0</v>
      </c>
      <c r="D51" s="335">
        <v>0</v>
      </c>
      <c r="E51" s="335">
        <v>65</v>
      </c>
      <c r="F51" s="335">
        <v>1282307</v>
      </c>
    </row>
    <row r="52" spans="1:6">
      <c r="A52" s="1286" t="s">
        <v>42</v>
      </c>
      <c r="B52" s="1286" t="s">
        <v>29</v>
      </c>
      <c r="C52" s="335">
        <v>3</v>
      </c>
      <c r="D52" s="335">
        <v>30329134.074700501</v>
      </c>
      <c r="E52" s="335">
        <v>0</v>
      </c>
      <c r="F52" s="335">
        <v>0</v>
      </c>
    </row>
    <row r="53" spans="1:6">
      <c r="A53" s="1286" t="s">
        <v>44</v>
      </c>
      <c r="B53" s="1286" t="s">
        <v>45</v>
      </c>
      <c r="C53" s="335">
        <v>180</v>
      </c>
      <c r="D53" s="335">
        <v>9095085.61316525</v>
      </c>
      <c r="E53" s="335">
        <v>0</v>
      </c>
      <c r="F53" s="335">
        <v>0</v>
      </c>
    </row>
    <row r="54" spans="1:6">
      <c r="A54" s="1286" t="s">
        <v>46</v>
      </c>
      <c r="B54" s="1286" t="s">
        <v>47</v>
      </c>
      <c r="C54" s="335">
        <v>0</v>
      </c>
      <c r="D54" s="335">
        <v>0</v>
      </c>
      <c r="E54" s="335">
        <v>5</v>
      </c>
      <c r="F54" s="335">
        <v>2014632</v>
      </c>
    </row>
    <row r="55" spans="1:6">
      <c r="A55" s="1286" t="s">
        <v>46</v>
      </c>
      <c r="B55" s="1286" t="s">
        <v>29</v>
      </c>
      <c r="C55" s="335">
        <v>0</v>
      </c>
      <c r="D55" s="335">
        <v>0</v>
      </c>
      <c r="E55" s="335">
        <v>0</v>
      </c>
      <c r="F55" s="335">
        <v>0</v>
      </c>
    </row>
    <row r="56" spans="1:6">
      <c r="A56" s="1286" t="s">
        <v>48</v>
      </c>
      <c r="B56" s="1286" t="s">
        <v>29</v>
      </c>
      <c r="C56" s="335">
        <v>0</v>
      </c>
      <c r="D56" s="335">
        <v>0</v>
      </c>
      <c r="E56" s="335">
        <v>216</v>
      </c>
      <c r="F56" s="335">
        <v>2899868</v>
      </c>
    </row>
    <row r="57" spans="1:6">
      <c r="A57" s="1286" t="s">
        <v>49</v>
      </c>
      <c r="B57" s="1286" t="s">
        <v>50</v>
      </c>
      <c r="C57" s="335">
        <v>67</v>
      </c>
      <c r="D57" s="335">
        <v>6540052.715206</v>
      </c>
      <c r="E57" s="335">
        <v>128</v>
      </c>
      <c r="F57" s="335">
        <v>3147160</v>
      </c>
    </row>
    <row r="58" spans="1:6">
      <c r="A58" s="1286" t="s">
        <v>49</v>
      </c>
      <c r="B58" s="1286" t="s">
        <v>51</v>
      </c>
      <c r="C58" s="335">
        <v>45</v>
      </c>
      <c r="D58" s="335">
        <v>7994641.0080512296</v>
      </c>
      <c r="E58" s="335">
        <v>80</v>
      </c>
      <c r="F58" s="335">
        <v>5209350</v>
      </c>
    </row>
    <row r="59" spans="1:6">
      <c r="A59" s="1286" t="s">
        <v>49</v>
      </c>
      <c r="B59" s="1286" t="s">
        <v>52</v>
      </c>
      <c r="C59" s="335">
        <v>146</v>
      </c>
      <c r="D59" s="335">
        <v>6300023.6819071304</v>
      </c>
      <c r="E59" s="335">
        <v>384</v>
      </c>
      <c r="F59" s="335">
        <v>25058119</v>
      </c>
    </row>
    <row r="60" spans="1:6">
      <c r="A60" s="1286" t="s">
        <v>49</v>
      </c>
      <c r="B60" s="1286" t="s">
        <v>53</v>
      </c>
      <c r="C60" s="335">
        <v>83</v>
      </c>
      <c r="D60" s="335">
        <v>4747531.98709484</v>
      </c>
      <c r="E60" s="335">
        <v>120</v>
      </c>
      <c r="F60" s="335">
        <v>3367485</v>
      </c>
    </row>
    <row r="61" spans="1:6">
      <c r="A61" s="1286" t="s">
        <v>49</v>
      </c>
      <c r="B61" s="1286" t="s">
        <v>54</v>
      </c>
      <c r="C61" s="335">
        <v>142</v>
      </c>
      <c r="D61" s="335">
        <v>6114301.1910156496</v>
      </c>
      <c r="E61" s="335">
        <v>528</v>
      </c>
      <c r="F61" s="335">
        <v>7567859</v>
      </c>
    </row>
    <row r="62" spans="1:6">
      <c r="A62" s="1286" t="s">
        <v>49</v>
      </c>
      <c r="B62" s="1286" t="s">
        <v>55</v>
      </c>
      <c r="C62" s="335">
        <v>10</v>
      </c>
      <c r="D62" s="335">
        <v>1382329.27303972</v>
      </c>
      <c r="E62" s="335">
        <v>26</v>
      </c>
      <c r="F62" s="335">
        <v>1613909</v>
      </c>
    </row>
    <row r="63" spans="1:6">
      <c r="A63" s="1286" t="s">
        <v>49</v>
      </c>
      <c r="B63" s="1286" t="s">
        <v>29</v>
      </c>
      <c r="C63" s="335">
        <v>150</v>
      </c>
      <c r="D63" s="335">
        <v>15728088.354989201</v>
      </c>
      <c r="E63" s="335">
        <v>1</v>
      </c>
      <c r="F63" s="335">
        <v>21594</v>
      </c>
    </row>
    <row r="64" spans="1:6">
      <c r="A64" s="1286" t="s">
        <v>56</v>
      </c>
      <c r="B64" s="1286" t="s">
        <v>57</v>
      </c>
      <c r="C64" s="335">
        <v>0</v>
      </c>
      <c r="D64" s="335">
        <v>0</v>
      </c>
      <c r="E64" s="335">
        <v>0</v>
      </c>
      <c r="F64" s="335">
        <v>0</v>
      </c>
    </row>
    <row r="65" spans="1:6">
      <c r="A65" s="1286" t="s">
        <v>56</v>
      </c>
      <c r="B65" s="1286" t="s">
        <v>29</v>
      </c>
      <c r="C65" s="335">
        <v>4</v>
      </c>
      <c r="D65" s="335">
        <v>29633.989518351598</v>
      </c>
      <c r="E65" s="335">
        <v>1</v>
      </c>
      <c r="F65" s="335">
        <v>10236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149544.728662582</v>
      </c>
      <c r="E68" s="335">
        <v>10</v>
      </c>
      <c r="F68" s="335">
        <v>158903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112247968</v>
      </c>
      <c r="E73" s="335">
        <v>115287585.78748953</v>
      </c>
    </row>
    <row r="74" spans="1:6">
      <c r="A74" s="1286" t="s">
        <v>64</v>
      </c>
      <c r="B74" s="1286" t="s">
        <v>772</v>
      </c>
      <c r="C74" s="1297" t="s">
        <v>766</v>
      </c>
      <c r="D74" s="335">
        <v>7575951.5001309635</v>
      </c>
      <c r="E74" s="335">
        <v>7972883.0686778193</v>
      </c>
    </row>
    <row r="75" spans="1:6">
      <c r="A75" s="1286" t="s">
        <v>65</v>
      </c>
      <c r="B75" s="1286" t="s">
        <v>771</v>
      </c>
      <c r="C75" s="1297" t="s">
        <v>767</v>
      </c>
      <c r="D75" s="335">
        <v>17863314</v>
      </c>
      <c r="E75" s="335">
        <v>18337391.17392797</v>
      </c>
    </row>
    <row r="76" spans="1:6">
      <c r="A76" s="1286" t="s">
        <v>65</v>
      </c>
      <c r="B76" s="1286" t="s">
        <v>772</v>
      </c>
      <c r="C76" s="1297" t="s">
        <v>768</v>
      </c>
      <c r="D76" s="335">
        <v>466283.50013096345</v>
      </c>
      <c r="E76" s="335">
        <v>512067.69185506291</v>
      </c>
    </row>
    <row r="77" spans="1:6">
      <c r="A77" s="1286" t="s">
        <v>66</v>
      </c>
      <c r="B77" s="1286" t="s">
        <v>771</v>
      </c>
      <c r="C77" s="1297" t="s">
        <v>769</v>
      </c>
      <c r="D77" s="335">
        <v>36900890</v>
      </c>
      <c r="E77" s="335">
        <v>41943633.421880648</v>
      </c>
    </row>
    <row r="78" spans="1:6">
      <c r="A78" s="1282" t="s">
        <v>66</v>
      </c>
      <c r="B78" s="1282" t="s">
        <v>772</v>
      </c>
      <c r="C78" s="1282" t="s">
        <v>770</v>
      </c>
      <c r="D78" s="1282">
        <v>4463282</v>
      </c>
      <c r="E78" s="1282">
        <v>4964076.6720139021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869114.99973807309</v>
      </c>
      <c r="C83" s="335">
        <v>842377.69569955918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15230.301970606301</v>
      </c>
    </row>
    <row r="91" spans="1:6">
      <c r="A91" s="1286" t="s">
        <v>68</v>
      </c>
      <c r="B91" s="335">
        <v>3816.5333209893124</v>
      </c>
    </row>
    <row r="92" spans="1:6">
      <c r="A92" s="1282" t="s">
        <v>69</v>
      </c>
      <c r="B92" s="338">
        <v>6737.695001913452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2946</v>
      </c>
    </row>
    <row r="98" spans="1:6">
      <c r="A98" s="1286" t="s">
        <v>72</v>
      </c>
      <c r="B98" s="335">
        <v>3</v>
      </c>
    </row>
    <row r="99" spans="1:6">
      <c r="A99" s="1286" t="s">
        <v>73</v>
      </c>
      <c r="B99" s="335">
        <v>85</v>
      </c>
    </row>
    <row r="100" spans="1:6">
      <c r="A100" s="1286" t="s">
        <v>74</v>
      </c>
      <c r="B100" s="335">
        <v>484</v>
      </c>
    </row>
    <row r="101" spans="1:6">
      <c r="A101" s="1286" t="s">
        <v>75</v>
      </c>
      <c r="B101" s="335">
        <v>52</v>
      </c>
    </row>
    <row r="102" spans="1:6">
      <c r="A102" s="1286" t="s">
        <v>76</v>
      </c>
      <c r="B102" s="335">
        <v>111</v>
      </c>
    </row>
    <row r="103" spans="1:6">
      <c r="A103" s="1286" t="s">
        <v>77</v>
      </c>
      <c r="B103" s="335">
        <v>132</v>
      </c>
    </row>
    <row r="104" spans="1:6">
      <c r="A104" s="1286" t="s">
        <v>78</v>
      </c>
      <c r="B104" s="335">
        <v>4977</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9</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40</v>
      </c>
    </row>
    <row r="130" spans="1:6">
      <c r="A130" s="1286" t="s">
        <v>295</v>
      </c>
      <c r="B130" s="335">
        <v>0</v>
      </c>
    </row>
    <row r="131" spans="1:6">
      <c r="A131" s="1286" t="s">
        <v>296</v>
      </c>
      <c r="B131" s="335">
        <v>0</v>
      </c>
    </row>
    <row r="132" spans="1:6">
      <c r="A132" s="1282" t="s">
        <v>297</v>
      </c>
      <c r="B132" s="338">
        <v>14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122217.19026187614</v>
      </c>
      <c r="C3" s="44" t="s">
        <v>170</v>
      </c>
      <c r="D3" s="44"/>
      <c r="E3" s="157"/>
      <c r="F3" s="44"/>
      <c r="G3" s="44"/>
      <c r="H3" s="44"/>
      <c r="I3" s="44"/>
      <c r="J3" s="44"/>
      <c r="K3" s="97"/>
    </row>
    <row r="4" spans="1:11">
      <c r="A4" s="365" t="s">
        <v>171</v>
      </c>
      <c r="B4" s="50">
        <f>IF(ISERROR('SEAP template'!B78+'SEAP template'!C78),0,'SEAP template'!B78+'SEAP template'!C78)</f>
        <v>39984.280293509066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3374.5288235294115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0.17630909269283143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4820.7554621848731</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20285.357142857141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0.23764705882352938</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2014.6320000000001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2014.6320000000001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0.17630909269283143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355.19794002994439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37937.343000000001</v>
      </c>
      <c r="C5" s="18">
        <f>IF(ISERROR('Eigen informatie GS &amp; warmtenet'!B57),0,'Eigen informatie GS &amp; warmtenet'!B57)</f>
        <v>0</v>
      </c>
      <c r="D5" s="31">
        <f>(SUM(HH_hh_gas_kWh,HH_rest_gas_kWh)/1000)*0.902</f>
        <v>72036.16789814728</v>
      </c>
      <c r="E5" s="18">
        <f>B46*B57</f>
        <v>5285.3898316704262</v>
      </c>
      <c r="F5" s="18">
        <f>B51*B62</f>
        <v>66320.089247893702</v>
      </c>
      <c r="G5" s="19"/>
      <c r="H5" s="18"/>
      <c r="I5" s="18"/>
      <c r="J5" s="18">
        <f>B50*B61+C50*C61</f>
        <v>0</v>
      </c>
      <c r="K5" s="18"/>
      <c r="L5" s="18"/>
      <c r="M5" s="18"/>
      <c r="N5" s="18">
        <f>B48*B59+C48*C59</f>
        <v>10500.652276170485</v>
      </c>
      <c r="O5" s="18">
        <f>B69*B70*B71</f>
        <v>76.603333333333339</v>
      </c>
      <c r="P5" s="18">
        <f>B77*B78*B79/1000-B77*B78*B79/1000/B80</f>
        <v>476.66666666666663</v>
      </c>
    </row>
    <row r="6" spans="1:16">
      <c r="A6" s="17" t="s">
        <v>639</v>
      </c>
      <c r="B6" s="780">
        <f>kWh_PV_kleiner_dan_10kW</f>
        <v>3816.5333209893124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41753.876320989315</v>
      </c>
      <c r="C8" s="22">
        <f>C5</f>
        <v>0</v>
      </c>
      <c r="D8" s="22">
        <f>D5</f>
        <v>72036.16789814728</v>
      </c>
      <c r="E8" s="22">
        <f>E5</f>
        <v>5285.3898316704262</v>
      </c>
      <c r="F8" s="22">
        <f>F5</f>
        <v>66320.089247893702</v>
      </c>
      <c r="G8" s="22"/>
      <c r="H8" s="22"/>
      <c r="I8" s="22"/>
      <c r="J8" s="22">
        <f>J5</f>
        <v>0</v>
      </c>
      <c r="K8" s="22"/>
      <c r="L8" s="22">
        <f>L5</f>
        <v>0</v>
      </c>
      <c r="M8" s="22">
        <f>M5</f>
        <v>0</v>
      </c>
      <c r="N8" s="22">
        <f>N5</f>
        <v>10500.652276170485</v>
      </c>
      <c r="O8" s="22">
        <f>O5</f>
        <v>76.603333333333339</v>
      </c>
      <c r="P8" s="22">
        <f>P5</f>
        <v>476.66666666666663</v>
      </c>
    </row>
    <row r="9" spans="1:16">
      <c r="B9" s="20"/>
      <c r="C9" s="20"/>
      <c r="D9" s="262"/>
      <c r="E9" s="20"/>
      <c r="F9" s="20"/>
      <c r="G9" s="20"/>
      <c r="H9" s="20"/>
      <c r="I9" s="20"/>
      <c r="J9" s="20"/>
      <c r="K9" s="20"/>
      <c r="L9" s="20"/>
      <c r="M9" s="20"/>
      <c r="N9" s="20"/>
      <c r="O9" s="20"/>
      <c r="P9" s="20"/>
    </row>
    <row r="10" spans="1:16">
      <c r="A10" s="25" t="s">
        <v>214</v>
      </c>
      <c r="B10" s="26">
        <f ca="1">'EF ele_warmte'!B12</f>
        <v>0.17630909269283143</v>
      </c>
      <c r="C10" s="26">
        <f ca="1">'EF ele_warmte'!B22</f>
        <v>0.23764705882352938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7361.5880505623245</v>
      </c>
      <c r="C12" s="24">
        <f ca="1">C10*C8</f>
        <v>0</v>
      </c>
      <c r="D12" s="24">
        <f>D8*D10</f>
        <v>14551.305915425752</v>
      </c>
      <c r="E12" s="24">
        <f>E10*E8</f>
        <v>1199.7834917891869</v>
      </c>
      <c r="F12" s="24">
        <f>F10*F8</f>
        <v>17707.463829187618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2946</v>
      </c>
      <c r="C18" s="169" t="s">
        <v>111</v>
      </c>
      <c r="D18" s="231"/>
      <c r="E18" s="16"/>
    </row>
    <row r="19" spans="1:7">
      <c r="A19" s="174" t="s">
        <v>72</v>
      </c>
      <c r="B19" s="38">
        <f>aantalw2001_ander</f>
        <v>3</v>
      </c>
      <c r="C19" s="169" t="s">
        <v>111</v>
      </c>
      <c r="D19" s="232"/>
      <c r="E19" s="16"/>
    </row>
    <row r="20" spans="1:7">
      <c r="A20" s="174" t="s">
        <v>73</v>
      </c>
      <c r="B20" s="38">
        <f>aantalw2001_propaan</f>
        <v>85</v>
      </c>
      <c r="C20" s="170">
        <f>IF(ISERROR(B20/SUM($B$20,$B$21,$B$22)*100),0,B20/SUM($B$20,$B$21,$B$22)*100)</f>
        <v>13.687600644122384</v>
      </c>
      <c r="D20" s="232"/>
      <c r="E20" s="16"/>
    </row>
    <row r="21" spans="1:7">
      <c r="A21" s="174" t="s">
        <v>74</v>
      </c>
      <c r="B21" s="38">
        <f>aantalw2001_elektriciteit</f>
        <v>484</v>
      </c>
      <c r="C21" s="170">
        <f>IF(ISERROR(B21/SUM($B$20,$B$21,$B$22)*100),0,B21/SUM($B$20,$B$21,$B$22)*100)</f>
        <v>77.938808373590987</v>
      </c>
      <c r="D21" s="232"/>
      <c r="E21" s="16"/>
    </row>
    <row r="22" spans="1:7">
      <c r="A22" s="174" t="s">
        <v>75</v>
      </c>
      <c r="B22" s="38">
        <f>aantalw2001_hout</f>
        <v>52</v>
      </c>
      <c r="C22" s="170">
        <f>IF(ISERROR(B22/SUM($B$20,$B$21,$B$22)*100),0,B22/SUM($B$20,$B$21,$B$22)*100)</f>
        <v>8.3735909822866343</v>
      </c>
      <c r="D22" s="232"/>
      <c r="E22" s="16"/>
    </row>
    <row r="23" spans="1:7">
      <c r="A23" s="174" t="s">
        <v>76</v>
      </c>
      <c r="B23" s="38">
        <f>aantalw2001_niet_gespec</f>
        <v>111</v>
      </c>
      <c r="C23" s="169" t="s">
        <v>111</v>
      </c>
      <c r="D23" s="231"/>
      <c r="E23" s="16"/>
    </row>
    <row r="24" spans="1:7">
      <c r="A24" s="174" t="s">
        <v>77</v>
      </c>
      <c r="B24" s="38">
        <f>aantalw2001_steenkool</f>
        <v>132</v>
      </c>
      <c r="C24" s="169" t="s">
        <v>111</v>
      </c>
      <c r="D24" s="232"/>
      <c r="E24" s="16"/>
    </row>
    <row r="25" spans="1:7">
      <c r="A25" s="174" t="s">
        <v>78</v>
      </c>
      <c r="B25" s="38">
        <f>aantalw2001_stookolie</f>
        <v>4977</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9880</v>
      </c>
      <c r="C28" s="37"/>
      <c r="D28" s="231"/>
    </row>
    <row r="29" spans="1:7" s="16" customFormat="1">
      <c r="A29" s="233" t="s">
        <v>666</v>
      </c>
      <c r="B29" s="38">
        <f>SUM(HH_hh_gas_aantal,HH_rest_gas_aantal)</f>
        <v>4743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4743</v>
      </c>
      <c r="C32" s="170">
        <f>IF(ISERROR(B32/SUM($B$32,$B$34,$B$35,$B$36,$B$38,$B$39)*100),0,B32/SUM($B$32,$B$34,$B$35,$B$36,$B$38,$B$39)*100)</f>
        <v>48.12785388127854</v>
      </c>
      <c r="D32" s="236"/>
      <c r="G32" s="16"/>
    </row>
    <row r="33" spans="1:7">
      <c r="A33" s="174" t="s">
        <v>72</v>
      </c>
      <c r="B33" s="35" t="s">
        <v>111</v>
      </c>
      <c r="C33" s="170"/>
      <c r="D33" s="236"/>
      <c r="G33" s="16"/>
    </row>
    <row r="34" spans="1:7">
      <c r="A34" s="174" t="s">
        <v>73</v>
      </c>
      <c r="B34" s="34">
        <f>IF((($B$28-$B$32-$B$39-$B$77-$B$38)*C20/100)&lt;0,0,($B$28-$B$32-$B$39-$B$77-$B$38)*C20/100)</f>
        <v>239.84782608695656</v>
      </c>
      <c r="C34" s="170">
        <f>IF(ISERROR(B34/SUM($B$32,$B$34,$B$35,$B$36,$B$38,$B$39)*100),0,B34/SUM($B$32,$B$34,$B$35,$B$36,$B$38,$B$39)*100)</f>
        <v>2.433767895352172</v>
      </c>
      <c r="D34" s="236"/>
      <c r="G34" s="16"/>
    </row>
    <row r="35" spans="1:7">
      <c r="A35" s="174" t="s">
        <v>74</v>
      </c>
      <c r="B35" s="34">
        <f>IF((($B$28-$B$32-$B$39-$B$77-$B$38)*C21/100)&lt;0,0,($B$28-$B$32-$B$39-$B$77-$B$38)*C21/100)</f>
        <v>1365.7217391304348</v>
      </c>
      <c r="C35" s="170">
        <f>IF(ISERROR(B35/SUM($B$32,$B$34,$B$35,$B$36,$B$38,$B$39)*100),0,B35/SUM($B$32,$B$34,$B$35,$B$36,$B$38,$B$39)*100)</f>
        <v>13.858160721770012</v>
      </c>
      <c r="D35" s="236"/>
      <c r="G35" s="16"/>
    </row>
    <row r="36" spans="1:7">
      <c r="A36" s="174" t="s">
        <v>75</v>
      </c>
      <c r="B36" s="34">
        <f>IF((($B$28-$B$32-$B$39-$B$77-$B$38)*C22/100)&lt;0,0,($B$28-$B$32-$B$39-$B$77-$B$38)*C22/100)</f>
        <v>146.73043478260871</v>
      </c>
      <c r="C36" s="170">
        <f>IF(ISERROR(B36/SUM($B$32,$B$34,$B$35,$B$36,$B$38,$B$39)*100),0,B36/SUM($B$32,$B$34,$B$35,$B$36,$B$38,$B$39)*100)</f>
        <v>1.4888933006860345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3359.7</v>
      </c>
      <c r="C39" s="170">
        <f>IF(ISERROR(B39/SUM($B$32,$B$34,$B$35,$B$36,$B$38,$B$39)*100),0,B39/SUM($B$32,$B$34,$B$35,$B$36,$B$38,$B$39)*100)</f>
        <v>34.091324200913242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4743</v>
      </c>
      <c r="C44" s="35" t="s">
        <v>111</v>
      </c>
      <c r="D44" s="177"/>
    </row>
    <row r="45" spans="1:7">
      <c r="A45" s="174" t="s">
        <v>72</v>
      </c>
      <c r="B45" s="34" t="str">
        <f t="shared" si="0"/>
        <v>-</v>
      </c>
      <c r="C45" s="35" t="s">
        <v>111</v>
      </c>
      <c r="D45" s="177"/>
    </row>
    <row r="46" spans="1:7">
      <c r="A46" s="174" t="s">
        <v>73</v>
      </c>
      <c r="B46" s="34">
        <f t="shared" si="0"/>
        <v>239.84782608695656</v>
      </c>
      <c r="C46" s="35" t="s">
        <v>111</v>
      </c>
      <c r="D46" s="177"/>
    </row>
    <row r="47" spans="1:7">
      <c r="A47" s="174" t="s">
        <v>74</v>
      </c>
      <c r="B47" s="34">
        <f t="shared" si="0"/>
        <v>1365.7217391304348</v>
      </c>
      <c r="C47" s="35" t="s">
        <v>111</v>
      </c>
      <c r="D47" s="177"/>
    </row>
    <row r="48" spans="1:7">
      <c r="A48" s="174" t="s">
        <v>75</v>
      </c>
      <c r="B48" s="34">
        <f t="shared" si="0"/>
        <v>146.73043478260871</v>
      </c>
      <c r="C48" s="34">
        <f>B48*10</f>
        <v>1467.304347826087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3359.7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45985.475999999995</v>
      </c>
      <c r="C5" s="18">
        <f>IF(ISERROR('Eigen informatie GS &amp; warmtenet'!B58),0,'Eigen informatie GS &amp; warmtenet'!B58)</f>
        <v>0</v>
      </c>
      <c r="D5" s="31">
        <f>SUM(D6:D12)</f>
        <v>44023.885326596006</v>
      </c>
      <c r="E5" s="18">
        <f>SUM(E6:E12)</f>
        <v>354.20030852671323</v>
      </c>
      <c r="F5" s="18">
        <f>SUM(F6:F12)</f>
        <v>10126.490520985655</v>
      </c>
      <c r="G5" s="19"/>
      <c r="H5" s="18"/>
      <c r="I5" s="18"/>
      <c r="J5" s="18">
        <f>SUM(J6:J12)</f>
        <v>0</v>
      </c>
      <c r="K5" s="18"/>
      <c r="L5" s="18"/>
      <c r="M5" s="18"/>
      <c r="N5" s="18">
        <f>SUM(N6:N12)</f>
        <v>1993.5423433404255</v>
      </c>
      <c r="O5" s="18">
        <f>B38*B39*B40</f>
        <v>0</v>
      </c>
      <c r="P5" s="18">
        <f>B46*B47*B48/1000-B46*B47*B48/1000/B49</f>
        <v>0</v>
      </c>
      <c r="R5" s="33"/>
    </row>
    <row r="6" spans="1:18">
      <c r="A6" s="33" t="s">
        <v>54</v>
      </c>
      <c r="B6" s="38">
        <f>B26</f>
        <v>7567.8590000000004</v>
      </c>
      <c r="C6" s="34"/>
      <c r="D6" s="38">
        <f>IF(ISERROR(TER_kantoor_gas_kWh/1000),0,TER_kantoor_gas_kWh/1000)*0.902</f>
        <v>5515.0996742961161</v>
      </c>
      <c r="E6" s="34">
        <f>$C$26*'E Balans VL '!I12/100/3.6*1000000</f>
        <v>12.420390441247784</v>
      </c>
      <c r="F6" s="34">
        <f>$C$26*('E Balans VL '!L12+'E Balans VL '!N12)/100/3.6*1000000</f>
        <v>892.07251404730857</v>
      </c>
      <c r="G6" s="35"/>
      <c r="H6" s="34"/>
      <c r="I6" s="34"/>
      <c r="J6" s="34">
        <f>$C$26*('E Balans VL '!D12+'E Balans VL '!E12)/100/3.6*1000000</f>
        <v>0</v>
      </c>
      <c r="K6" s="34"/>
      <c r="L6" s="34"/>
      <c r="M6" s="34"/>
      <c r="N6" s="34">
        <f>$C$26*'E Balans VL '!Y12/100/3.6*1000000</f>
        <v>1.5290500742037745</v>
      </c>
      <c r="O6" s="34"/>
      <c r="P6" s="34"/>
      <c r="R6" s="33"/>
    </row>
    <row r="7" spans="1:18">
      <c r="A7" s="33" t="s">
        <v>53</v>
      </c>
      <c r="B7" s="38">
        <f t="shared" ref="B7:B12" si="0">B27</f>
        <v>3367.4850000000001</v>
      </c>
      <c r="C7" s="34"/>
      <c r="D7" s="38">
        <f>IF(ISERROR(TER_horeca_gas_kWh/1000),0,TER_horeca_gas_kWh/1000)*0.902</f>
        <v>4282.2738523595453</v>
      </c>
      <c r="E7" s="34">
        <f>$C$27*'E Balans VL '!I9/100/3.6*1000000</f>
        <v>174.74810385709188</v>
      </c>
      <c r="F7" s="34">
        <f>$C$27*('E Balans VL '!L9+'E Balans VL '!N9)/100/3.6*1000000</f>
        <v>768.46252045922654</v>
      </c>
      <c r="G7" s="35"/>
      <c r="H7" s="34"/>
      <c r="I7" s="34"/>
      <c r="J7" s="34">
        <f>$C$27*('E Balans VL '!D9+'E Balans VL '!E9)/100/3.6*1000000</f>
        <v>0</v>
      </c>
      <c r="K7" s="34"/>
      <c r="L7" s="34"/>
      <c r="M7" s="34"/>
      <c r="N7" s="34">
        <f>$C$27*'E Balans VL '!Y9/100/3.6*1000000</f>
        <v>0.35560487278267222</v>
      </c>
      <c r="O7" s="34"/>
      <c r="P7" s="34"/>
      <c r="R7" s="33"/>
    </row>
    <row r="8" spans="1:18">
      <c r="A8" s="6" t="s">
        <v>52</v>
      </c>
      <c r="B8" s="38">
        <f t="shared" si="0"/>
        <v>25058.118999999999</v>
      </c>
      <c r="C8" s="34"/>
      <c r="D8" s="38">
        <f>IF(ISERROR(TER_handel_gas_kWh/1000),0,TER_handel_gas_kWh/1000)*0.902</f>
        <v>5682.6213610802315</v>
      </c>
      <c r="E8" s="34">
        <f>$C$28*'E Balans VL '!I13/100/3.6*1000000</f>
        <v>134.94105004856186</v>
      </c>
      <c r="F8" s="34">
        <f>$C$28*('E Balans VL '!L13+'E Balans VL '!N13)/100/3.6*1000000</f>
        <v>5110.0951243275422</v>
      </c>
      <c r="G8" s="35"/>
      <c r="H8" s="34"/>
      <c r="I8" s="34"/>
      <c r="J8" s="34">
        <f>$C$28*('E Balans VL '!D13+'E Balans VL '!E13)/100/3.6*1000000</f>
        <v>0</v>
      </c>
      <c r="K8" s="34"/>
      <c r="L8" s="34"/>
      <c r="M8" s="34"/>
      <c r="N8" s="34">
        <f>$C$28*'E Balans VL '!Y13/100/3.6*1000000</f>
        <v>124.60079297348388</v>
      </c>
      <c r="O8" s="34"/>
      <c r="P8" s="34"/>
      <c r="R8" s="33"/>
    </row>
    <row r="9" spans="1:18">
      <c r="A9" s="33" t="s">
        <v>51</v>
      </c>
      <c r="B9" s="38">
        <f t="shared" si="0"/>
        <v>5209.3500000000004</v>
      </c>
      <c r="C9" s="34"/>
      <c r="D9" s="38">
        <f>IF(ISERROR(TER_gezond_gas_kWh/1000),0,TER_gezond_gas_kWh/1000)*0.902</f>
        <v>7211.1661892622096</v>
      </c>
      <c r="E9" s="34">
        <f>$C$29*'E Balans VL '!I10/100/3.6*1000000</f>
        <v>5.1625250904830278</v>
      </c>
      <c r="F9" s="34">
        <f>$C$29*('E Balans VL '!L10+'E Balans VL '!N10)/100/3.6*1000000</f>
        <v>1807.4942962468022</v>
      </c>
      <c r="G9" s="35"/>
      <c r="H9" s="34"/>
      <c r="I9" s="34"/>
      <c r="J9" s="34">
        <f>$C$29*('E Balans VL '!D10+'E Balans VL '!E10)/100/3.6*1000000</f>
        <v>0</v>
      </c>
      <c r="K9" s="34"/>
      <c r="L9" s="34"/>
      <c r="M9" s="34"/>
      <c r="N9" s="34">
        <f>$C$29*'E Balans VL '!Y10/100/3.6*1000000</f>
        <v>44.888517666173101</v>
      </c>
      <c r="O9" s="34"/>
      <c r="P9" s="34"/>
      <c r="R9" s="33"/>
    </row>
    <row r="10" spans="1:18">
      <c r="A10" s="33" t="s">
        <v>50</v>
      </c>
      <c r="B10" s="38">
        <f t="shared" si="0"/>
        <v>3147.16</v>
      </c>
      <c r="C10" s="34"/>
      <c r="D10" s="38">
        <f>IF(ISERROR(TER_ander_gas_kWh/1000),0,TER_ander_gas_kWh/1000)*0.902</f>
        <v>5899.1275491158121</v>
      </c>
      <c r="E10" s="34">
        <f>$C$30*'E Balans VL '!I14/100/3.6*1000000</f>
        <v>25.74691416241409</v>
      </c>
      <c r="F10" s="34">
        <f>$C$30*('E Balans VL '!L14+'E Balans VL '!N14)/100/3.6*1000000</f>
        <v>920.1014578098617</v>
      </c>
      <c r="G10" s="35"/>
      <c r="H10" s="34"/>
      <c r="I10" s="34"/>
      <c r="J10" s="34">
        <f>$C$30*('E Balans VL '!D14+'E Balans VL '!E14)/100/3.6*1000000</f>
        <v>0</v>
      </c>
      <c r="K10" s="34"/>
      <c r="L10" s="34"/>
      <c r="M10" s="34"/>
      <c r="N10" s="34">
        <f>$C$30*'E Balans VL '!Y14/100/3.6*1000000</f>
        <v>1815.4983777166772</v>
      </c>
      <c r="O10" s="34"/>
      <c r="P10" s="34"/>
      <c r="R10" s="33"/>
    </row>
    <row r="11" spans="1:18">
      <c r="A11" s="33" t="s">
        <v>55</v>
      </c>
      <c r="B11" s="38">
        <f t="shared" si="0"/>
        <v>1613.9090000000001</v>
      </c>
      <c r="C11" s="34"/>
      <c r="D11" s="38">
        <f>IF(ISERROR(TER_onderwijs_gas_kWh/1000),0,TER_onderwijs_gas_kWh/1000)*0.902</f>
        <v>1246.8610042818275</v>
      </c>
      <c r="E11" s="34">
        <f>$C$31*'E Balans VL '!I11/100/3.6*1000000</f>
        <v>0.99474541001843864</v>
      </c>
      <c r="F11" s="34">
        <f>$C$31*('E Balans VL '!L11+'E Balans VL '!N11)/100/3.6*1000000</f>
        <v>623.96335612255928</v>
      </c>
      <c r="G11" s="35"/>
      <c r="H11" s="34"/>
      <c r="I11" s="34"/>
      <c r="J11" s="34">
        <f>$C$31*('E Balans VL '!D11+'E Balans VL '!E11)/100/3.6*1000000</f>
        <v>0</v>
      </c>
      <c r="K11" s="34"/>
      <c r="L11" s="34"/>
      <c r="M11" s="34"/>
      <c r="N11" s="34">
        <f>$C$31*'E Balans VL '!Y11/100/3.6*1000000</f>
        <v>5.2497001236857672</v>
      </c>
      <c r="O11" s="34"/>
      <c r="P11" s="34"/>
      <c r="R11" s="33"/>
    </row>
    <row r="12" spans="1:18">
      <c r="A12" s="33" t="s">
        <v>260</v>
      </c>
      <c r="B12" s="38">
        <f t="shared" si="0"/>
        <v>21.594000000000001</v>
      </c>
      <c r="C12" s="34"/>
      <c r="D12" s="38">
        <f>IF(ISERROR(TER_rest_gas_kWh/1000),0,TER_rest_gas_kWh/1000)*0.902</f>
        <v>14186.73569620026</v>
      </c>
      <c r="E12" s="34">
        <f>$C$32*'E Balans VL '!I8/100/3.6*1000000</f>
        <v>0.18657951689615643</v>
      </c>
      <c r="F12" s="34">
        <f>$C$32*('E Balans VL '!L8+'E Balans VL '!N8)/100/3.6*1000000</f>
        <v>4.3012519723523246</v>
      </c>
      <c r="G12" s="35"/>
      <c r="H12" s="34"/>
      <c r="I12" s="34"/>
      <c r="J12" s="34">
        <f>$C$32*('E Balans VL '!D8+'E Balans VL '!E8)/100/3.6*1000000</f>
        <v>0</v>
      </c>
      <c r="K12" s="34"/>
      <c r="L12" s="34"/>
      <c r="M12" s="34"/>
      <c r="N12" s="34">
        <f>$C$32*'E Balans VL '!Y8/100/3.6*1000000</f>
        <v>1.4202999134192846</v>
      </c>
      <c r="O12" s="34"/>
      <c r="P12" s="34"/>
      <c r="R12" s="33"/>
    </row>
    <row r="13" spans="1:18">
      <c r="A13" s="17" t="s">
        <v>502</v>
      </c>
      <c r="B13" s="250">
        <f ca="1">'lokale energieproductie'!N91+'lokale energieproductie'!N60</f>
        <v>24.75</v>
      </c>
      <c r="C13" s="250">
        <f ca="1">'lokale energieproductie'!O91+'lokale energieproductie'!O60</f>
        <v>35.357142857142861</v>
      </c>
      <c r="D13" s="312">
        <f ca="1">('lokale energieproductie'!P60+'lokale energieproductie'!P91)*(-1)</f>
        <v>-70.714285714285722</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46010.225999999995</v>
      </c>
      <c r="C16" s="22">
        <f t="shared" ca="1" si="1"/>
        <v>35.357142857142861</v>
      </c>
      <c r="D16" s="22">
        <f t="shared" ca="1" si="1"/>
        <v>43953.171040881723</v>
      </c>
      <c r="E16" s="22">
        <f t="shared" si="1"/>
        <v>354.20030852671323</v>
      </c>
      <c r="F16" s="22">
        <f t="shared" ca="1" si="1"/>
        <v>10126.490520985655</v>
      </c>
      <c r="G16" s="22">
        <f t="shared" si="1"/>
        <v>0</v>
      </c>
      <c r="H16" s="22">
        <f t="shared" si="1"/>
        <v>0</v>
      </c>
      <c r="I16" s="22">
        <f t="shared" si="1"/>
        <v>0</v>
      </c>
      <c r="J16" s="22">
        <f t="shared" si="1"/>
        <v>0</v>
      </c>
      <c r="K16" s="22">
        <f t="shared" si="1"/>
        <v>0</v>
      </c>
      <c r="L16" s="22">
        <f t="shared" ca="1" si="1"/>
        <v>0</v>
      </c>
      <c r="M16" s="22">
        <f t="shared" si="1"/>
        <v>0</v>
      </c>
      <c r="N16" s="22">
        <f t="shared" ca="1" si="1"/>
        <v>1993.5423433404255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0.17630909269283143</v>
      </c>
      <c r="C18" s="26">
        <f ca="1">'EF ele_warmte'!B22</f>
        <v>0.23764705882352938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8112.0212006521215</v>
      </c>
      <c r="C20" s="24">
        <f t="shared" ref="C20:P20" ca="1" si="2">C16*C18</f>
        <v>8.4025210084033617</v>
      </c>
      <c r="D20" s="24">
        <f t="shared" ca="1" si="2"/>
        <v>8878.5405502581089</v>
      </c>
      <c r="E20" s="24">
        <f t="shared" si="2"/>
        <v>80.403470035563899</v>
      </c>
      <c r="F20" s="24">
        <f t="shared" ca="1" si="2"/>
        <v>2703.77296910317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7567.8590000000004</v>
      </c>
      <c r="C26" s="40">
        <f>IF(ISERROR(B26*3.6/1000000/'E Balans VL '!Z12*100),0,B26*3.6/1000000/'E Balans VL '!Z12*100)</f>
        <v>0.16081157660337678</v>
      </c>
      <c r="D26" s="240" t="s">
        <v>707</v>
      </c>
      <c r="F26" s="6"/>
    </row>
    <row r="27" spans="1:18">
      <c r="A27" s="234" t="s">
        <v>53</v>
      </c>
      <c r="B27" s="34">
        <f>IF(ISERROR(TER_horeca_ele_kWh/1000),0,TER_horeca_ele_kWh/1000)</f>
        <v>3367.4850000000001</v>
      </c>
      <c r="C27" s="40">
        <f>IF(ISERROR(B27*3.6/1000000/'E Balans VL '!Z9*100),0,B27*3.6/1000000/'E Balans VL '!Z9*100)</f>
        <v>0.26504711014857563</v>
      </c>
      <c r="D27" s="240" t="s">
        <v>707</v>
      </c>
      <c r="F27" s="6"/>
    </row>
    <row r="28" spans="1:18">
      <c r="A28" s="174" t="s">
        <v>52</v>
      </c>
      <c r="B28" s="34">
        <f>IF(ISERROR(TER_handel_ele_kWh/1000),0,TER_handel_ele_kWh/1000)</f>
        <v>25058.118999999999</v>
      </c>
      <c r="C28" s="40">
        <f>IF(ISERROR(B28*3.6/1000000/'E Balans VL '!Z13*100),0,B28*3.6/1000000/'E Balans VL '!Z13*100)</f>
        <v>0.70189132376584307</v>
      </c>
      <c r="D28" s="240" t="s">
        <v>707</v>
      </c>
      <c r="F28" s="6"/>
    </row>
    <row r="29" spans="1:18">
      <c r="A29" s="234" t="s">
        <v>51</v>
      </c>
      <c r="B29" s="34">
        <f>IF(ISERROR(TER_gezond_ele_kWh/1000),0,TER_gezond_ele_kWh/1000)</f>
        <v>5209.3500000000004</v>
      </c>
      <c r="C29" s="40">
        <f>IF(ISERROR(B29*3.6/1000000/'E Balans VL '!Z10*100),0,B29*3.6/1000000/'E Balans VL '!Z10*100)</f>
        <v>0.66643338939980068</v>
      </c>
      <c r="D29" s="240" t="s">
        <v>707</v>
      </c>
      <c r="F29" s="6"/>
    </row>
    <row r="30" spans="1:18">
      <c r="A30" s="234" t="s">
        <v>50</v>
      </c>
      <c r="B30" s="34">
        <f>IF(ISERROR(TER_ander_ele_kWh/1000),0,TER_ander_ele_kWh/1000)</f>
        <v>3147.16</v>
      </c>
      <c r="C30" s="40">
        <f>IF(ISERROR(B30*3.6/1000000/'E Balans VL '!Z14*100),0,B30*3.6/1000000/'E Balans VL '!Z14*100)</f>
        <v>0.23538104956659212</v>
      </c>
      <c r="D30" s="240" t="s">
        <v>707</v>
      </c>
      <c r="F30" s="6"/>
    </row>
    <row r="31" spans="1:18">
      <c r="A31" s="234" t="s">
        <v>55</v>
      </c>
      <c r="B31" s="34">
        <f>IF(ISERROR(TER_onderwijs_ele_kWh/1000),0,TER_onderwijs_ele_kWh/1000)</f>
        <v>1613.9090000000001</v>
      </c>
      <c r="C31" s="40">
        <f>IF(ISERROR(B31*3.6/1000000/'E Balans VL '!Z11*100),0,B31*3.6/1000000/'E Balans VL '!Z11*100)</f>
        <v>0.34077897589651202</v>
      </c>
      <c r="D31" s="240" t="s">
        <v>707</v>
      </c>
    </row>
    <row r="32" spans="1:18">
      <c r="A32" s="234" t="s">
        <v>260</v>
      </c>
      <c r="B32" s="34">
        <f>IF(ISERROR(TER_rest_ele_kWh/1000),0,TER_rest_ele_kWh/1000)</f>
        <v>21.594000000000001</v>
      </c>
      <c r="C32" s="40">
        <f>IF(ISERROR(B32*3.6/1000000/'E Balans VL '!Z8*100),0,B32*3.6/1000000/'E Balans VL '!Z8*100)</f>
        <v>1.7788990502110415E-4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28252.767000000007</v>
      </c>
      <c r="C5" s="18">
        <f>IF(ISERROR('Eigen informatie GS &amp; warmtenet'!B59),0,'Eigen informatie GS &amp; warmtenet'!B59)</f>
        <v>0</v>
      </c>
      <c r="D5" s="31">
        <f>SUM(D6:D15)</f>
        <v>19424.274279496705</v>
      </c>
      <c r="E5" s="18">
        <f>SUM(E6:E15)</f>
        <v>247.75834167670155</v>
      </c>
      <c r="F5" s="18">
        <f>SUM(F6:F15)</f>
        <v>15630.226333940331</v>
      </c>
      <c r="G5" s="19"/>
      <c r="H5" s="18"/>
      <c r="I5" s="18"/>
      <c r="J5" s="18">
        <f>SUM(J6:J15)</f>
        <v>66.730284611853747</v>
      </c>
      <c r="K5" s="18"/>
      <c r="L5" s="18"/>
      <c r="M5" s="18"/>
      <c r="N5" s="18">
        <f>SUM(N6:N15)</f>
        <v>2010.8215773969282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3233.364</v>
      </c>
      <c r="C8" s="34"/>
      <c r="D8" s="38">
        <f>IF( ISERROR(IND_metaal_Gas_kWH/1000),0,IND_metaal_Gas_kWH/1000)*0.902</f>
        <v>0</v>
      </c>
      <c r="E8" s="34">
        <f>C30*'E Balans VL '!I18/100/3.6*1000000</f>
        <v>29.445663255860815</v>
      </c>
      <c r="F8" s="34">
        <f>C30*'E Balans VL '!L18/100/3.6*1000000+C30*'E Balans VL '!N18/100/3.6*1000000</f>
        <v>426.45615701204559</v>
      </c>
      <c r="G8" s="35"/>
      <c r="H8" s="34"/>
      <c r="I8" s="34"/>
      <c r="J8" s="41">
        <f>C30*'E Balans VL '!D18/100/3.6*1000000+C30*'E Balans VL '!E18/100/3.6*1000000</f>
        <v>53.022474924522186</v>
      </c>
      <c r="K8" s="34"/>
      <c r="L8" s="34"/>
      <c r="M8" s="34"/>
      <c r="N8" s="34">
        <f>C30*'E Balans VL '!Y18/100/3.6*1000000</f>
        <v>11.111787617445859</v>
      </c>
      <c r="O8" s="34"/>
      <c r="P8" s="34"/>
      <c r="R8" s="33"/>
    </row>
    <row r="9" spans="1:18">
      <c r="A9" s="6" t="s">
        <v>33</v>
      </c>
      <c r="B9" s="38">
        <f t="shared" si="0"/>
        <v>17697.453000000001</v>
      </c>
      <c r="C9" s="34"/>
      <c r="D9" s="38">
        <f>IF( ISERROR(IND_andere_gas_kWh/1000),0,IND_andere_gas_kWh/1000)*0.902</f>
        <v>2989.1174165382622</v>
      </c>
      <c r="E9" s="34">
        <f>C31*'E Balans VL '!I19/100/3.6*1000000</f>
        <v>102.29392300560269</v>
      </c>
      <c r="F9" s="34">
        <f>C31*'E Balans VL '!L19/100/3.6*1000000+C31*'E Balans VL '!N19/100/3.6*1000000</f>
        <v>14079.175429240589</v>
      </c>
      <c r="G9" s="35"/>
      <c r="H9" s="34"/>
      <c r="I9" s="34"/>
      <c r="J9" s="41">
        <f>C31*'E Balans VL '!D19/100/3.6*1000000+C31*'E Balans VL '!E19/100/3.6*1000000</f>
        <v>1.6739824760599045</v>
      </c>
      <c r="K9" s="34"/>
      <c r="L9" s="34"/>
      <c r="M9" s="34"/>
      <c r="N9" s="34">
        <f>C31*'E Balans VL '!Y19/100/3.6*1000000</f>
        <v>1340.8498857438003</v>
      </c>
      <c r="O9" s="34"/>
      <c r="P9" s="34"/>
      <c r="R9" s="33"/>
    </row>
    <row r="10" spans="1:18">
      <c r="A10" s="6" t="s">
        <v>41</v>
      </c>
      <c r="B10" s="38">
        <f t="shared" si="0"/>
        <v>3504.9720000000002</v>
      </c>
      <c r="C10" s="34"/>
      <c r="D10" s="38">
        <f>IF( ISERROR(IND_voed_gas_kWh/1000),0,IND_voed_gas_kWh/1000)*0.902</f>
        <v>5482.7651005149337</v>
      </c>
      <c r="E10" s="34">
        <f>C32*'E Balans VL '!I20/100/3.6*1000000</f>
        <v>34.463044297105817</v>
      </c>
      <c r="F10" s="34">
        <f>C32*'E Balans VL '!L20/100/3.6*1000000+C32*'E Balans VL '!N20/100/3.6*1000000</f>
        <v>389.27288975311842</v>
      </c>
      <c r="G10" s="35"/>
      <c r="H10" s="34"/>
      <c r="I10" s="34"/>
      <c r="J10" s="41">
        <f>C32*'E Balans VL '!D20/100/3.6*1000000+C32*'E Balans VL '!E20/100/3.6*1000000</f>
        <v>1.3814685813544144E-2</v>
      </c>
      <c r="K10" s="34"/>
      <c r="L10" s="34"/>
      <c r="M10" s="34"/>
      <c r="N10" s="34">
        <f>C32*'E Balans VL '!Y20/100/3.6*1000000</f>
        <v>51.900390756815334</v>
      </c>
      <c r="O10" s="34"/>
      <c r="P10" s="34"/>
      <c r="R10" s="33"/>
    </row>
    <row r="11" spans="1:18">
      <c r="A11" s="6" t="s">
        <v>40</v>
      </c>
      <c r="B11" s="38">
        <f t="shared" si="0"/>
        <v>104.36</v>
      </c>
      <c r="C11" s="34"/>
      <c r="D11" s="38">
        <f>IF( ISERROR(IND_textiel_gas_kWh/1000),0,IND_textiel_gas_kWh/1000)*0.902</f>
        <v>0</v>
      </c>
      <c r="E11" s="34">
        <f>C33*'E Balans VL '!I21/100/3.6*1000000</f>
        <v>0.20321315310645224</v>
      </c>
      <c r="F11" s="34">
        <f>C33*'E Balans VL '!L21/100/3.6*1000000+C33*'E Balans VL '!N21/100/3.6*1000000</f>
        <v>3.4421352577138506</v>
      </c>
      <c r="G11" s="35"/>
      <c r="H11" s="34"/>
      <c r="I11" s="34"/>
      <c r="J11" s="41">
        <f>C33*'E Balans VL '!D21/100/3.6*1000000+C33*'E Balans VL '!E21/100/3.6*1000000</f>
        <v>0</v>
      </c>
      <c r="K11" s="34"/>
      <c r="L11" s="34"/>
      <c r="M11" s="34"/>
      <c r="N11" s="34">
        <f>C33*'E Balans VL '!Y21/100/3.6*1000000</f>
        <v>1.0824876853023746</v>
      </c>
      <c r="O11" s="34"/>
      <c r="P11" s="34"/>
      <c r="R11" s="33"/>
    </row>
    <row r="12" spans="1:18">
      <c r="A12" s="6" t="s">
        <v>37</v>
      </c>
      <c r="B12" s="38">
        <f t="shared" si="0"/>
        <v>612.36500000000001</v>
      </c>
      <c r="C12" s="34"/>
      <c r="D12" s="38">
        <f>IF( ISERROR(IND_min_gas_kWh/1000),0,IND_min_gas_kWh/1000)*0.902</f>
        <v>0</v>
      </c>
      <c r="E12" s="34">
        <f>C34*'E Balans VL '!I22/100/3.6*1000000</f>
        <v>15.524542450503361</v>
      </c>
      <c r="F12" s="34">
        <f>C34*'E Balans VL '!L22/100/3.6*1000000+C34*'E Balans VL '!N22/100/3.6*1000000</f>
        <v>169.44352995348979</v>
      </c>
      <c r="G12" s="35"/>
      <c r="H12" s="34"/>
      <c r="I12" s="34"/>
      <c r="J12" s="41">
        <f>C34*'E Balans VL '!D22/100/3.6*1000000+C34*'E Balans VL '!E22/100/3.6*1000000</f>
        <v>4.0441815153149232</v>
      </c>
      <c r="K12" s="34"/>
      <c r="L12" s="34"/>
      <c r="M12" s="34"/>
      <c r="N12" s="34">
        <f>C34*'E Balans VL '!Y22/100/3.6*1000000</f>
        <v>0</v>
      </c>
      <c r="O12" s="34"/>
      <c r="P12" s="34"/>
      <c r="R12" s="33"/>
    </row>
    <row r="13" spans="1:18">
      <c r="A13" s="6" t="s">
        <v>39</v>
      </c>
      <c r="B13" s="38">
        <f t="shared" si="0"/>
        <v>1514.213</v>
      </c>
      <c r="C13" s="34"/>
      <c r="D13" s="38">
        <f>IF( ISERROR(IND_papier_gas_kWh/1000),0,IND_papier_gas_kWh/1000)*0.902</f>
        <v>705.18644115399786</v>
      </c>
      <c r="E13" s="34">
        <f>C35*'E Balans VL '!I23/100/3.6*1000000</f>
        <v>51.576290246907575</v>
      </c>
      <c r="F13" s="34">
        <f>C35*'E Balans VL '!L23/100/3.6*1000000+C35*'E Balans VL '!N23/100/3.6*1000000</f>
        <v>250.11244978586168</v>
      </c>
      <c r="G13" s="35"/>
      <c r="H13" s="34"/>
      <c r="I13" s="34"/>
      <c r="J13" s="41">
        <f>C35*'E Balans VL '!D23/100/3.6*1000000+C35*'E Balans VL '!E23/100/3.6*1000000</f>
        <v>0</v>
      </c>
      <c r="K13" s="34"/>
      <c r="L13" s="34"/>
      <c r="M13" s="34"/>
      <c r="N13" s="34">
        <f>C35*'E Balans VL '!Y23/100/3.6*1000000</f>
        <v>557.18977595527781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1586.04</v>
      </c>
      <c r="C15" s="34"/>
      <c r="D15" s="38">
        <f>IF( ISERROR(IND_rest_gas_kWh/1000),0,IND_rest_gas_kWh/1000)*0.902</f>
        <v>10247.20532128951</v>
      </c>
      <c r="E15" s="34">
        <f>C37*'E Balans VL '!I15/100/3.6*1000000</f>
        <v>14.251665267614827</v>
      </c>
      <c r="F15" s="34">
        <f>C37*'E Balans VL '!L15/100/3.6*1000000+C37*'E Balans VL '!N15/100/3.6*1000000</f>
        <v>312.32374293751241</v>
      </c>
      <c r="G15" s="35"/>
      <c r="H15" s="34"/>
      <c r="I15" s="34"/>
      <c r="J15" s="41">
        <f>C37*'E Balans VL '!D15/100/3.6*1000000+C37*'E Balans VL '!E15/100/3.6*1000000</f>
        <v>7.9758310101431924</v>
      </c>
      <c r="K15" s="34"/>
      <c r="L15" s="34"/>
      <c r="M15" s="34"/>
      <c r="N15" s="34">
        <f>C37*'E Balans VL '!Y15/100/3.6*1000000</f>
        <v>48.68724963828673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28252.767000000007</v>
      </c>
      <c r="C18" s="22">
        <f>C5+C16</f>
        <v>0</v>
      </c>
      <c r="D18" s="22">
        <f>MAX((D5+D16),0)</f>
        <v>19424.274279496705</v>
      </c>
      <c r="E18" s="22">
        <f>MAX((E5+E16),0)</f>
        <v>247.75834167670155</v>
      </c>
      <c r="F18" s="22">
        <f>MAX((F5+F16),0)</f>
        <v>15630.226333940331</v>
      </c>
      <c r="G18" s="22"/>
      <c r="H18" s="22"/>
      <c r="I18" s="22"/>
      <c r="J18" s="22">
        <f>MAX((J5+J16),0)</f>
        <v>66.730284611853747</v>
      </c>
      <c r="K18" s="22"/>
      <c r="L18" s="22">
        <f>MAX((L5+L16),0)</f>
        <v>0</v>
      </c>
      <c r="M18" s="22"/>
      <c r="N18" s="22">
        <f>MAX((N5+N16),0)</f>
        <v>2010.8215773969282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0.17630909269283143</v>
      </c>
      <c r="C20" s="26">
        <f ca="1">'EF ele_warmte'!B22</f>
        <v>0.23764705882352938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4981.2197158319705</v>
      </c>
      <c r="C22" s="24">
        <f ca="1">C18*C20</f>
        <v>0</v>
      </c>
      <c r="D22" s="24">
        <f>D18*D20</f>
        <v>3923.7034044583347</v>
      </c>
      <c r="E22" s="24">
        <f>E18*E20</f>
        <v>56.241143560611256</v>
      </c>
      <c r="F22" s="24">
        <f>F18*F20</f>
        <v>4173.2704311620682</v>
      </c>
      <c r="G22" s="24"/>
      <c r="H22" s="24"/>
      <c r="I22" s="24"/>
      <c r="J22" s="24">
        <f>J18*J20</f>
        <v>23.622520752596227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3233.364</v>
      </c>
      <c r="C30" s="40">
        <f>IF(ISERROR(B30*3.6/1000000/'E Balans VL '!Z18*100),0,B30*3.6/1000000/'E Balans VL '!Z18*100)</f>
        <v>0.17991508528043726</v>
      </c>
      <c r="D30" s="240" t="s">
        <v>707</v>
      </c>
    </row>
    <row r="31" spans="1:18">
      <c r="A31" s="6" t="s">
        <v>33</v>
      </c>
      <c r="B31" s="38">
        <f>IF( ISERROR(IND_ander_ele_kWh/1000),0,IND_ander_ele_kWh/1000)</f>
        <v>17697.453000000001</v>
      </c>
      <c r="C31" s="40">
        <f>IF(ISERROR(B31*3.6/1000000/'E Balans VL '!Z19*100),0,B31*3.6/1000000/'E Balans VL '!Z19*100)</f>
        <v>0.82270811110111353</v>
      </c>
      <c r="D31" s="240" t="s">
        <v>707</v>
      </c>
    </row>
    <row r="32" spans="1:18">
      <c r="A32" s="174" t="s">
        <v>41</v>
      </c>
      <c r="B32" s="38">
        <f>IF( ISERROR(IND_voed_ele_kWh/1000),0,IND_voed_ele_kWh/1000)</f>
        <v>3504.9720000000002</v>
      </c>
      <c r="C32" s="40">
        <f>IF(ISERROR(B32*3.6/1000000/'E Balans VL '!Z20*100),0,B32*3.6/1000000/'E Balans VL '!Z20*100)</f>
        <v>0.12389368160926459</v>
      </c>
      <c r="D32" s="240" t="s">
        <v>707</v>
      </c>
    </row>
    <row r="33" spans="1:5">
      <c r="A33" s="174" t="s">
        <v>40</v>
      </c>
      <c r="B33" s="38">
        <f>IF( ISERROR(IND_textiel_ele_kWh/1000),0,IND_textiel_ele_kWh/1000)</f>
        <v>104.36</v>
      </c>
      <c r="C33" s="40">
        <f>IF(ISERROR(B33*3.6/1000000/'E Balans VL '!Z21*100),0,B33*3.6/1000000/'E Balans VL '!Z21*100)</f>
        <v>1.409540155202571E-2</v>
      </c>
      <c r="D33" s="240" t="s">
        <v>707</v>
      </c>
    </row>
    <row r="34" spans="1:5">
      <c r="A34" s="174" t="s">
        <v>37</v>
      </c>
      <c r="B34" s="38">
        <f>IF( ISERROR(IND_min_ele_kWh/1000),0,IND_min_ele_kWh/1000)</f>
        <v>612.36500000000001</v>
      </c>
      <c r="C34" s="40">
        <f>IF(ISERROR(B34*3.6/1000000/'E Balans VL '!Z22*100),0,B34*3.6/1000000/'E Balans VL '!Z22*100)</f>
        <v>0.12306809689038756</v>
      </c>
      <c r="D34" s="240" t="s">
        <v>707</v>
      </c>
    </row>
    <row r="35" spans="1:5">
      <c r="A35" s="174" t="s">
        <v>39</v>
      </c>
      <c r="B35" s="38">
        <f>IF( ISERROR(IND_papier_ele_kWh/1000),0,IND_papier_ele_kWh/1000)</f>
        <v>1514.213</v>
      </c>
      <c r="C35" s="40">
        <f>IF(ISERROR(B35*3.6/1000000/'E Balans VL '!Z22*100),0,B35*3.6/1000000/'E Balans VL '!Z22*100)</f>
        <v>0.30431411363595962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1586.04</v>
      </c>
      <c r="C37" s="40">
        <f>IF(ISERROR(B37*3.6/1000000/'E Balans VL '!Z15*100),0,B37*3.6/1000000/'E Balans VL '!Z15*100)</f>
        <v>1.1976944935366897E-2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1282.307</v>
      </c>
      <c r="C5" s="18">
        <f>'Eigen informatie GS &amp; warmtenet'!B60</f>
        <v>0</v>
      </c>
      <c r="D5" s="31">
        <f>IF(ISERROR(SUM(LB_lb_gas_kWh,LB_rest_gas_kWh)/1000),0,SUM(LB_lb_gas_kWh,LB_rest_gas_kWh)/1000)*0.902</f>
        <v>27356.878935379853</v>
      </c>
      <c r="E5" s="18">
        <f>B17*'E Balans VL '!I25/3.6*1000000/100</f>
        <v>12.080191113873564</v>
      </c>
      <c r="F5" s="18">
        <f>B17*('E Balans VL '!L25/3.6*1000000+'E Balans VL '!N25/3.6*1000000)/100</f>
        <v>4184.5933013192043</v>
      </c>
      <c r="G5" s="19"/>
      <c r="H5" s="18"/>
      <c r="I5" s="18"/>
      <c r="J5" s="18">
        <f>('E Balans VL '!D25+'E Balans VL '!E25)/3.6*1000000*landbouw!B17/100</f>
        <v>158.62761304004991</v>
      </c>
      <c r="K5" s="18"/>
      <c r="L5" s="18">
        <f>L6*(-1)</f>
        <v>0</v>
      </c>
      <c r="M5" s="18"/>
      <c r="N5" s="18">
        <f>N6*(-1)</f>
        <v>0</v>
      </c>
      <c r="O5" s="18"/>
      <c r="P5" s="18"/>
      <c r="R5" s="33"/>
    </row>
    <row r="6" spans="1:18">
      <c r="A6" s="17" t="s">
        <v>502</v>
      </c>
      <c r="B6" s="18" t="s">
        <v>211</v>
      </c>
      <c r="C6" s="18">
        <f>'lokale energieproductie'!O92+'lokale energieproductie'!O61</f>
        <v>20250</v>
      </c>
      <c r="D6" s="312">
        <f>('lokale energieproductie'!P61+'lokale energieproductie'!P92)*(-1)</f>
        <v>-40500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1282.307</v>
      </c>
      <c r="C8" s="22">
        <f>C5+C6</f>
        <v>20250</v>
      </c>
      <c r="D8" s="22">
        <f>MAX((D5+D6),0)</f>
        <v>0</v>
      </c>
      <c r="E8" s="22">
        <f>MAX((E5+E6),0)</f>
        <v>12.080191113873564</v>
      </c>
      <c r="F8" s="22">
        <f>MAX((F5+F6),0)</f>
        <v>4184.5933013192043</v>
      </c>
      <c r="G8" s="22"/>
      <c r="H8" s="22"/>
      <c r="I8" s="22"/>
      <c r="J8" s="22">
        <f>MAX((J5+J6),0)</f>
        <v>158.62761304004991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0.17630909269283143</v>
      </c>
      <c r="C10" s="32">
        <f ca="1">'EF ele_warmte'!B22</f>
        <v>0.23764705882352938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226.0823837236666</v>
      </c>
      <c r="C12" s="24">
        <f ca="1">C8*C10</f>
        <v>4812.3529411764703</v>
      </c>
      <c r="D12" s="24">
        <f>D8*D10</f>
        <v>0</v>
      </c>
      <c r="E12" s="24">
        <f>E8*E10</f>
        <v>2.7422033828492993</v>
      </c>
      <c r="F12" s="24">
        <f>F8*F10</f>
        <v>1117.2864114522276</v>
      </c>
      <c r="G12" s="24"/>
      <c r="H12" s="24"/>
      <c r="I12" s="24"/>
      <c r="J12" s="24">
        <f>J8*J10</f>
        <v>56.154175016177668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0.17360387718916273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139.35692489828864</v>
      </c>
      <c r="C26" s="250">
        <f>B26*'GWP N2O_CH4'!B5</f>
        <v>2926.4954228640613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68.316428632226547</v>
      </c>
      <c r="C27" s="250">
        <f>B27*'GWP N2O_CH4'!B5</f>
        <v>1434.6450012767575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2.3601711784388799</v>
      </c>
      <c r="C28" s="250">
        <f>B28*'GWP N2O_CH4'!B4</f>
        <v>731.65306531605279</v>
      </c>
      <c r="D28" s="51"/>
    </row>
    <row r="29" spans="1:4">
      <c r="A29" s="42" t="s">
        <v>277</v>
      </c>
      <c r="B29" s="250">
        <f>B34*'ha_N2O bodem landbouw'!B4</f>
        <v>14.014542094370926</v>
      </c>
      <c r="C29" s="250">
        <f>B29*'GWP N2O_CH4'!B4</f>
        <v>4344.5080492549869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3.7834851839554022E-3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1.2650187192551234E-5</v>
      </c>
      <c r="C5" s="447" t="s">
        <v>211</v>
      </c>
      <c r="D5" s="432">
        <f>SUM(D6:D11)</f>
        <v>3.3754455918417401E-5</v>
      </c>
      <c r="E5" s="432">
        <f>SUM(E6:E11)</f>
        <v>2.0769716203412453E-3</v>
      </c>
      <c r="F5" s="445" t="s">
        <v>211</v>
      </c>
      <c r="G5" s="432">
        <f>SUM(G6:G11)</f>
        <v>0.40766074555533827</v>
      </c>
      <c r="H5" s="432">
        <f>SUM(H6:H11)</f>
        <v>7.6179375045529282E-2</v>
      </c>
      <c r="I5" s="447" t="s">
        <v>211</v>
      </c>
      <c r="J5" s="447" t="s">
        <v>211</v>
      </c>
      <c r="K5" s="447" t="s">
        <v>211</v>
      </c>
      <c r="L5" s="447" t="s">
        <v>211</v>
      </c>
      <c r="M5" s="432">
        <f>SUM(M6:M11)</f>
        <v>2.1637936216456894E-2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8.5021216728053853E-6</v>
      </c>
      <c r="C6" s="433"/>
      <c r="D6" s="433">
        <f>vkm_2011_GW_PW*SUMIFS(TableVerdeelsleutelVkm[CNG],TableVerdeelsleutelVkm[Voertuigtype],"Lichte voertuigen")*SUMIFS(TableECFTransport[EnergieConsumptieFactor (PJ per km)],TableECFTransport[Index],CONCATENATE($A6,"_CNG_CNG"))</f>
        <v>2.076232351092744E-5</v>
      </c>
      <c r="E6" s="435">
        <f>vkm_2011_GW_PW*SUMIFS(TableVerdeelsleutelVkm[LPG],TableVerdeelsleutelVkm[Voertuigtype],"Lichte voertuigen")*SUMIFS(TableECFTransport[EnergieConsumptieFactor (PJ per km)],TableECFTransport[Index],CONCATENATE($A6,"_LPG_LPG"))</f>
        <v>1.2306832409253777E-3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0.17790973958900855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4.6625031494141357E-2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1.0055080555246398E-2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7.0437715552814112E-2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2.8418872089855186E-5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3.137978434601273E-3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1.3530406992091639E-6</v>
      </c>
      <c r="C8" s="433"/>
      <c r="D8" s="435">
        <f>vkm_2011_NGW_PW*SUMIFS(TableVerdeelsleutelVkm[CNG],TableVerdeelsleutelVkm[Voertuigtype],"Lichte voertuigen")*SUMIFS(TableECFTransport[EnergieConsumptieFactor (PJ per km)],TableECFTransport[Index],CONCATENATE($A8,"_CNG_CNG"))</f>
        <v>5.9282029746619353E-6</v>
      </c>
      <c r="E8" s="435">
        <f>vkm_2011_NGW_PW*SUMIFS(TableVerdeelsleutelVkm[LPG],TableVerdeelsleutelVkm[Voertuigtype],"Lichte voertuigen")*SUMIFS(TableECFTransport[EnergieConsumptieFactor (PJ per km)],TableECFTransport[Index],CONCATENATE($A8,"_LPG_LPG"))</f>
        <v>3.2236805637655193E-4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4.4024297896345904E-2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1.2748206774173227E-2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2.5435350418437485E-3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6.0103920481992422E-3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2.1114010087898181E-6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2.6774676460832421E-4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2.7950248205366845E-6</v>
      </c>
      <c r="C10" s="433"/>
      <c r="D10" s="435">
        <f>vkm_2011_SW_PW*SUMIFS(TableVerdeelsleutelVkm[CNG],TableVerdeelsleutelVkm[Voertuigtype],"Lichte voertuigen")*SUMIFS(TableECFTransport[EnergieConsumptieFactor (PJ per km)],TableECFTransport[Index],CONCATENATE($A10,"_CNG_CNG"))</f>
        <v>7.0639294328280275E-6</v>
      </c>
      <c r="E10" s="435">
        <f>vkm_2011_SW_PW*SUMIFS(TableVerdeelsleutelVkm[LPG],TableVerdeelsleutelVkm[Voertuigtype],"Lichte voertuigen")*SUMIFS(TableECFTransport[EnergieConsumptieFactor (PJ per km)],TableECFTransport[Index],CONCATENATE($A10,"_LPG_LPG"))</f>
        <v>5.2392032303931566E-4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6.9023572256565802E-2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1.6758375283148035E-2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3.8402010925979871E-3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4.0255028212404648E-2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1.7231220968027545E-5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1.7933943275591651E-3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3.5139408868197872</v>
      </c>
      <c r="C14" s="22"/>
      <c r="D14" s="22">
        <f t="shared" ref="D14:M14" si="0">((D5)*10^9/3600)+D12</f>
        <v>9.3762377551159446</v>
      </c>
      <c r="E14" s="22">
        <f t="shared" si="0"/>
        <v>576.93656120590151</v>
      </c>
      <c r="F14" s="22"/>
      <c r="G14" s="22">
        <f t="shared" si="0"/>
        <v>113239.09598759396</v>
      </c>
      <c r="H14" s="22">
        <f t="shared" si="0"/>
        <v>21160.937512647022</v>
      </c>
      <c r="I14" s="22"/>
      <c r="J14" s="22"/>
      <c r="K14" s="22"/>
      <c r="L14" s="22"/>
      <c r="M14" s="22">
        <f t="shared" si="0"/>
        <v>6010.5378379046924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0.17630909269283143</v>
      </c>
      <c r="C16" s="57">
        <f ca="1">'EF ele_warmte'!B22</f>
        <v>0.23764705882352938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0.6195397295314401</v>
      </c>
      <c r="C18" s="24"/>
      <c r="D18" s="24">
        <f t="shared" ref="D18:M18" si="1">D14*D16</f>
        <v>1.8940000265334209</v>
      </c>
      <c r="E18" s="24">
        <f t="shared" si="1"/>
        <v>130.96459939373966</v>
      </c>
      <c r="F18" s="24"/>
      <c r="G18" s="24">
        <f t="shared" si="1"/>
        <v>30234.83862868759</v>
      </c>
      <c r="H18" s="24">
        <f t="shared" si="1"/>
        <v>5269.0734406491083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1.1391723563725552E-2</v>
      </c>
      <c r="H50" s="323">
        <f t="shared" si="2"/>
        <v>0</v>
      </c>
      <c r="I50" s="323">
        <f t="shared" si="2"/>
        <v>0</v>
      </c>
      <c r="J50" s="323">
        <f t="shared" si="2"/>
        <v>0</v>
      </c>
      <c r="K50" s="323">
        <f t="shared" si="2"/>
        <v>0</v>
      </c>
      <c r="L50" s="323">
        <f t="shared" si="2"/>
        <v>0</v>
      </c>
      <c r="M50" s="323">
        <f t="shared" si="2"/>
        <v>5.0022937350665652E-4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1.1391723563725552E-2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5.0022937350665652E-4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3164.3676565904311</v>
      </c>
      <c r="H54" s="22">
        <f t="shared" si="3"/>
        <v>0</v>
      </c>
      <c r="I54" s="22">
        <f t="shared" si="3"/>
        <v>0</v>
      </c>
      <c r="J54" s="22">
        <f t="shared" si="3"/>
        <v>0</v>
      </c>
      <c r="K54" s="22">
        <f t="shared" si="3"/>
        <v>0</v>
      </c>
      <c r="L54" s="22">
        <f t="shared" si="3"/>
        <v>0</v>
      </c>
      <c r="M54" s="22">
        <f t="shared" si="3"/>
        <v>138.95260375184904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0.17630909269283143</v>
      </c>
      <c r="C56" s="57">
        <f ca="1">'EF ele_warmte'!B22</f>
        <v>0.23764705882352938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844.88616430964521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15230.301970606301</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10554.228322902763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14199.75</v>
      </c>
      <c r="C8" s="558">
        <f>B101</f>
        <v>16705.588235294115</v>
      </c>
      <c r="D8" s="991"/>
      <c r="E8" s="991">
        <f>E101</f>
        <v>0</v>
      </c>
      <c r="F8" s="992"/>
      <c r="G8" s="559"/>
      <c r="H8" s="991">
        <f>I101</f>
        <v>0</v>
      </c>
      <c r="I8" s="991">
        <f>G101+F101</f>
        <v>0</v>
      </c>
      <c r="J8" s="991">
        <f>H101+D101+C101</f>
        <v>0</v>
      </c>
      <c r="K8" s="991"/>
      <c r="L8" s="991"/>
      <c r="M8" s="991"/>
      <c r="N8" s="560"/>
      <c r="O8" s="561">
        <f>C8*$C$12+D8*$D$12+E8*$E$12+F8*$F$12+G8*$G$12+H8*$H$12+I8*$I$12+J8*$J$12</f>
        <v>3374.5288235294115</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39984.280293509066</v>
      </c>
      <c r="C10" s="570">
        <f t="shared" ref="C10:L10" si="0">SUM(C8:C9)</f>
        <v>16705.588235294115</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3374.5288235294115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20285.357142857141</v>
      </c>
      <c r="C17" s="582">
        <f>B102</f>
        <v>23865.126050420164</v>
      </c>
      <c r="D17" s="583"/>
      <c r="E17" s="583">
        <f>E102</f>
        <v>0</v>
      </c>
      <c r="F17" s="584"/>
      <c r="G17" s="585"/>
      <c r="H17" s="582">
        <f>I102</f>
        <v>0</v>
      </c>
      <c r="I17" s="583">
        <f>G102+F102</f>
        <v>0</v>
      </c>
      <c r="J17" s="583">
        <f>H102+D102+C102</f>
        <v>0</v>
      </c>
      <c r="K17" s="583"/>
      <c r="L17" s="583"/>
      <c r="M17" s="583"/>
      <c r="N17" s="998"/>
      <c r="O17" s="586">
        <f>C17*$C$22+E17*$E$22+H17*$H$22+I17*$I$22+J17*$J$22+D17*$D$22+F17*$F$22+G17*$G$22+K17*$K$22+L17*$L$22</f>
        <v>4820.7554621848731</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20285.357142857141</v>
      </c>
      <c r="C20" s="569">
        <f>SUM(C17:C19)</f>
        <v>23865.126050420164</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4820.7554621848731</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24020</v>
      </c>
      <c r="C28" s="789">
        <v>3290</v>
      </c>
      <c r="D28" s="642" t="s">
        <v>948</v>
      </c>
      <c r="E28" s="641" t="s">
        <v>949</v>
      </c>
      <c r="F28" s="641" t="s">
        <v>950</v>
      </c>
      <c r="G28" s="641" t="s">
        <v>951</v>
      </c>
      <c r="H28" s="641" t="s">
        <v>952</v>
      </c>
      <c r="I28" s="641" t="s">
        <v>953</v>
      </c>
      <c r="J28" s="788">
        <v>37839</v>
      </c>
      <c r="K28" s="788">
        <v>38687</v>
      </c>
      <c r="L28" s="641" t="s">
        <v>954</v>
      </c>
      <c r="M28" s="641">
        <v>5.5</v>
      </c>
      <c r="N28" s="641">
        <v>24.75</v>
      </c>
      <c r="O28" s="641">
        <v>35.357142857142861</v>
      </c>
      <c r="P28" s="641">
        <v>70.714285714285722</v>
      </c>
      <c r="Q28" s="641">
        <v>0</v>
      </c>
      <c r="R28" s="641">
        <v>0</v>
      </c>
      <c r="S28" s="641">
        <v>0</v>
      </c>
      <c r="T28" s="641">
        <v>0</v>
      </c>
      <c r="U28" s="641">
        <v>0</v>
      </c>
      <c r="V28" s="641">
        <v>0</v>
      </c>
      <c r="W28" s="641"/>
      <c r="X28" s="641">
        <v>1600</v>
      </c>
      <c r="Y28" s="641" t="s">
        <v>50</v>
      </c>
      <c r="Z28" s="643" t="s">
        <v>156</v>
      </c>
    </row>
    <row r="29" spans="1:26" s="595" customFormat="1" ht="25.5">
      <c r="A29" s="594"/>
      <c r="B29" s="789">
        <v>24020</v>
      </c>
      <c r="C29" s="789">
        <v>3294</v>
      </c>
      <c r="D29" s="642" t="s">
        <v>955</v>
      </c>
      <c r="E29" s="641" t="s">
        <v>956</v>
      </c>
      <c r="F29" s="641" t="s">
        <v>957</v>
      </c>
      <c r="G29" s="641" t="s">
        <v>951</v>
      </c>
      <c r="H29" s="641" t="s">
        <v>952</v>
      </c>
      <c r="I29" s="641" t="s">
        <v>956</v>
      </c>
      <c r="J29" s="788">
        <v>40165</v>
      </c>
      <c r="K29" s="788">
        <v>39211</v>
      </c>
      <c r="L29" s="641" t="s">
        <v>954</v>
      </c>
      <c r="M29" s="641">
        <v>3150</v>
      </c>
      <c r="N29" s="641">
        <v>14175</v>
      </c>
      <c r="O29" s="641">
        <v>20250</v>
      </c>
      <c r="P29" s="641">
        <v>40500</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3155.5</v>
      </c>
      <c r="N58" s="599">
        <f>SUM(N28:N57)</f>
        <v>14199.75</v>
      </c>
      <c r="O58" s="599">
        <f t="shared" ref="O58:W58" si="2">SUM(O28:O57)</f>
        <v>20285.357142857141</v>
      </c>
      <c r="P58" s="599">
        <f t="shared" si="2"/>
        <v>40570.714285714283</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5.5</v>
      </c>
      <c r="N60" s="599">
        <f ca="1">SUMIF($Z$28:AD57,"tertiair",N28:N57)</f>
        <v>24.75</v>
      </c>
      <c r="O60" s="599">
        <f ca="1">SUMIF($Z$28:AE57,"tertiair",O28:O57)</f>
        <v>35.357142857142861</v>
      </c>
      <c r="P60" s="599">
        <f ca="1">SUMIF($Z$28:AF57,"tertiair",P28:P57)</f>
        <v>70.714285714285722</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3150</v>
      </c>
      <c r="N61" s="604">
        <f t="shared" si="4"/>
        <v>14175</v>
      </c>
      <c r="O61" s="604">
        <f t="shared" si="4"/>
        <v>20250</v>
      </c>
      <c r="P61" s="604">
        <f t="shared" si="4"/>
        <v>40500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16705.588235294115</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23865.126050420164</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2019-08-12T07:53:48Z</dcterms:modified>
</cp:coreProperties>
</file>