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L20" s="1"/>
  <c r="K18"/>
  <c r="K20" s="1"/>
  <c r="J18"/>
  <c r="I18"/>
  <c r="H18"/>
  <c r="G18"/>
  <c r="F18"/>
  <c r="E18"/>
  <c r="D18"/>
  <c r="D20" s="1"/>
  <c r="C18"/>
  <c r="B18"/>
  <c r="L9"/>
  <c r="L10" s="1"/>
  <c r="K9"/>
  <c r="G9"/>
  <c r="G10" s="1"/>
  <c r="F9"/>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G12"/>
  <c r="F12"/>
  <c r="E12"/>
  <c r="D12"/>
  <c r="C12"/>
  <c r="K10"/>
  <c r="F10"/>
  <c r="D10"/>
  <c r="B8"/>
  <c r="B6"/>
  <c r="B5"/>
  <c r="B4"/>
  <c r="O9" l="1"/>
  <c r="O19"/>
  <c r="B10"/>
  <c r="C98"/>
  <c r="D101" s="1"/>
  <c r="F20"/>
  <c r="O18"/>
  <c r="B17"/>
  <c r="B20" s="1"/>
  <c r="I102"/>
  <c r="H17" s="1"/>
  <c r="H20" s="1"/>
  <c r="E102"/>
  <c r="E17" s="1"/>
  <c r="E20" s="1"/>
  <c r="G102"/>
  <c r="C102"/>
  <c r="H102"/>
  <c r="D102"/>
  <c r="F102"/>
  <c r="B102"/>
  <c r="C17" s="1"/>
  <c r="I101"/>
  <c r="H8" s="1"/>
  <c r="H10" s="1"/>
  <c r="E101"/>
  <c r="E8" s="1"/>
  <c r="E10" s="1"/>
  <c r="G101"/>
  <c r="C101"/>
  <c r="H101"/>
  <c r="F101"/>
  <c r="B101"/>
  <c r="C8" s="1"/>
  <c r="N6" i="17"/>
  <c r="L6"/>
  <c r="F6"/>
  <c r="D6"/>
  <c r="C6"/>
  <c r="N16" i="16"/>
  <c r="L16"/>
  <c r="F16"/>
  <c r="D16"/>
  <c r="C16"/>
  <c r="B16"/>
  <c r="B13" i="15"/>
  <c r="C10" i="18" l="1"/>
  <c r="C20"/>
  <c r="I8"/>
  <c r="I10" s="1"/>
  <c r="I17"/>
  <c r="I20" s="1"/>
  <c r="J8"/>
  <c r="J10" s="1"/>
  <c r="J17"/>
  <c r="J20" s="1"/>
  <c r="B19" i="6"/>
  <c r="B18"/>
  <c r="B5"/>
  <c r="C29" i="14" s="1"/>
  <c r="B6" i="6"/>
  <c r="C64" i="14" s="1"/>
  <c r="B14" i="48"/>
  <c r="P7"/>
  <c r="O7"/>
  <c r="O25" s="1"/>
  <c r="M7"/>
  <c r="K7"/>
  <c r="I7"/>
  <c r="H7"/>
  <c r="G7"/>
  <c r="P10"/>
  <c r="P28" s="1"/>
  <c r="O10"/>
  <c r="O28" s="1"/>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32" s="1"/>
  <c r="O17"/>
  <c r="O32" s="1"/>
  <c r="M4"/>
  <c r="L4"/>
  <c r="K4"/>
  <c r="I4"/>
  <c r="H4"/>
  <c r="G4"/>
  <c r="P11"/>
  <c r="O11"/>
  <c r="N11"/>
  <c r="M11"/>
  <c r="L11"/>
  <c r="K11"/>
  <c r="J11"/>
  <c r="I11"/>
  <c r="H11"/>
  <c r="G11"/>
  <c r="F11"/>
  <c r="E11"/>
  <c r="D11"/>
  <c r="C11"/>
  <c r="B11"/>
  <c r="Q11" s="1"/>
  <c r="Q12"/>
  <c r="P29"/>
  <c r="O29"/>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J76"/>
  <c r="J8" i="56" s="1"/>
  <c r="J10" s="1"/>
  <c r="I76" i="14"/>
  <c r="I8" i="56" s="1"/>
  <c r="H76" i="14"/>
  <c r="H8" i="56" s="1"/>
  <c r="G76" i="14"/>
  <c r="G8" i="56" s="1"/>
  <c r="F76" i="14"/>
  <c r="F8" i="56" s="1"/>
  <c r="E76" i="14"/>
  <c r="D76"/>
  <c r="D8" i="56" s="1"/>
  <c r="B75" i="14"/>
  <c r="B7" i="56" s="1"/>
  <c r="B74" i="14"/>
  <c r="B6" i="56" s="1"/>
  <c r="B73" i="14"/>
  <c r="B5" i="56" s="1"/>
  <c r="B72" i="14"/>
  <c r="B4" i="56" s="1"/>
  <c r="Q54" i="14"/>
  <c r="P54"/>
  <c r="L54"/>
  <c r="J54"/>
  <c r="I54"/>
  <c r="I56" s="1"/>
  <c r="H54"/>
  <c r="Q24"/>
  <c r="P24"/>
  <c r="P26" s="1"/>
  <c r="N24"/>
  <c r="L24"/>
  <c r="L26" s="1"/>
  <c r="J24"/>
  <c r="I24"/>
  <c r="H24"/>
  <c r="Q50"/>
  <c r="P50"/>
  <c r="O50"/>
  <c r="M50"/>
  <c r="L50"/>
  <c r="K50"/>
  <c r="J50"/>
  <c r="G50"/>
  <c r="D50"/>
  <c r="Q49"/>
  <c r="P49"/>
  <c r="P52" s="1"/>
  <c r="Q20"/>
  <c r="P20"/>
  <c r="O20"/>
  <c r="M20"/>
  <c r="M22" s="1"/>
  <c r="L20"/>
  <c r="K20"/>
  <c r="J20"/>
  <c r="G20"/>
  <c r="D20"/>
  <c r="Q19"/>
  <c r="P19"/>
  <c r="O19"/>
  <c r="M19"/>
  <c r="L19"/>
  <c r="L22" s="1"/>
  <c r="K19"/>
  <c r="K22" s="1"/>
  <c r="J19"/>
  <c r="J22" s="1"/>
  <c r="I19"/>
  <c r="G19"/>
  <c r="F19"/>
  <c r="E19"/>
  <c r="D19"/>
  <c r="D22" s="1"/>
  <c r="Q48"/>
  <c r="P48"/>
  <c r="O48"/>
  <c r="M48"/>
  <c r="L48"/>
  <c r="K48"/>
  <c r="J48"/>
  <c r="G48"/>
  <c r="D48"/>
  <c r="Q18"/>
  <c r="Q22" s="1"/>
  <c r="P18"/>
  <c r="P22" s="1"/>
  <c r="O18"/>
  <c r="O22" s="1"/>
  <c r="M18"/>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F90"/>
  <c r="H90"/>
  <c r="R78"/>
  <c r="P56"/>
  <c r="L56"/>
  <c r="J56"/>
  <c r="H56"/>
  <c r="Q56"/>
  <c r="Q52"/>
  <c r="R44"/>
  <c r="Q26"/>
  <c r="N26"/>
  <c r="J26"/>
  <c r="I26"/>
  <c r="E25"/>
  <c r="D14" i="48" s="1"/>
  <c r="C25" i="14"/>
  <c r="H26"/>
  <c r="R12"/>
  <c r="F13" i="15"/>
  <c r="D13"/>
  <c r="C13"/>
  <c r="Q14" i="48" l="1"/>
  <c r="C76" i="14"/>
  <c r="C8" i="56" s="1"/>
  <c r="E8"/>
  <c r="E10" s="1"/>
  <c r="O78" i="14"/>
  <c r="O9" i="56"/>
  <c r="C77" i="14"/>
  <c r="C9" i="56" s="1"/>
  <c r="D9"/>
  <c r="D10" s="1"/>
  <c r="Q88" i="14"/>
  <c r="P18" i="56" s="1"/>
  <c r="D18"/>
  <c r="M20"/>
  <c r="P25" i="48"/>
  <c r="G78" i="14"/>
  <c r="Q89"/>
  <c r="P19" i="56" s="1"/>
  <c r="I10"/>
  <c r="I20"/>
  <c r="P31" i="48"/>
  <c r="J78" i="14"/>
  <c r="Q76"/>
  <c r="P8" i="56" s="1"/>
  <c r="L10"/>
  <c r="H20"/>
  <c r="M78" i="14"/>
  <c r="M8" i="56"/>
  <c r="M10" s="1"/>
  <c r="H78" i="14"/>
  <c r="H9" i="56"/>
  <c r="H10" s="1"/>
  <c r="Q87" i="14"/>
  <c r="P17" i="56" s="1"/>
  <c r="D17"/>
  <c r="K78" i="14"/>
  <c r="K8" i="56"/>
  <c r="K10" s="1"/>
  <c r="L90" i="14"/>
  <c r="L17" i="56"/>
  <c r="L20" s="1"/>
  <c r="G90" i="14"/>
  <c r="G18" i="56"/>
  <c r="O90" i="14"/>
  <c r="O18" i="56"/>
  <c r="K90" i="14"/>
  <c r="K18" i="56"/>
  <c r="K20" s="1"/>
  <c r="N78" i="14"/>
  <c r="N8" i="56"/>
  <c r="N10" s="1"/>
  <c r="L78" i="14"/>
  <c r="N20" i="56"/>
  <c r="F78" i="14"/>
  <c r="G10" i="56"/>
  <c r="O10"/>
  <c r="C88" i="14"/>
  <c r="C18" i="56" s="1"/>
  <c r="G20"/>
  <c r="O20"/>
  <c r="N90" i="14"/>
  <c r="F10" i="56"/>
  <c r="F20"/>
  <c r="D78" i="14"/>
  <c r="B76"/>
  <c r="B8" i="56" s="1"/>
  <c r="B10" s="1"/>
  <c r="Q77" i="14"/>
  <c r="C87"/>
  <c r="C17" i="56" s="1"/>
  <c r="O17" i="18"/>
  <c r="O20" s="1"/>
  <c r="J87" i="14"/>
  <c r="B88"/>
  <c r="B18" i="56" s="1"/>
  <c r="C89" i="14"/>
  <c r="C19" i="56" s="1"/>
  <c r="B89" i="14"/>
  <c r="B19" i="56" s="1"/>
  <c r="B77" i="14"/>
  <c r="B9" i="56" s="1"/>
  <c r="O8" i="18"/>
  <c r="O10" s="1"/>
  <c r="N13" i="15"/>
  <c r="L13"/>
  <c r="O24" i="48"/>
  <c r="O30"/>
  <c r="P24"/>
  <c r="P30"/>
  <c r="R9" i="14"/>
  <c r="E78"/>
  <c r="I78"/>
  <c r="E55"/>
  <c r="R25"/>
  <c r="B78"/>
  <c r="E90"/>
  <c r="I90"/>
  <c r="M90"/>
  <c r="D90"/>
  <c r="Q78" l="1"/>
  <c r="B9" i="6" s="1"/>
  <c r="P9" i="56"/>
  <c r="P10" s="1"/>
  <c r="C10"/>
  <c r="J90" i="14"/>
  <c r="J17" i="56"/>
  <c r="J20" s="1"/>
  <c r="Q90" i="14"/>
  <c r="B17" i="6" s="1"/>
  <c r="B4"/>
  <c r="C78" i="14"/>
  <c r="C20" i="56"/>
  <c r="P20"/>
  <c r="D20"/>
  <c r="C90" i="14"/>
  <c r="B87"/>
  <c r="B90" l="1"/>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C11" i="14" l="1"/>
  <c r="B4" i="48"/>
  <c r="N24"/>
  <c r="N31"/>
  <c r="N32"/>
  <c r="N30"/>
  <c r="N28"/>
  <c r="N27"/>
  <c r="N29"/>
  <c r="B10"/>
  <c r="C19" i="14"/>
  <c r="D30" i="48"/>
  <c r="D28"/>
  <c r="D29"/>
  <c r="D24"/>
  <c r="D32"/>
  <c r="D31"/>
  <c r="J10" i="14"/>
  <c r="J16" s="1"/>
  <c r="J27" s="1"/>
  <c r="I5" i="48"/>
  <c r="Q11" i="14"/>
  <c r="P4" i="48"/>
  <c r="B7"/>
  <c r="C24" i="14"/>
  <c r="C26" s="1"/>
  <c r="O4" i="48"/>
  <c r="P11" i="14"/>
  <c r="I29" i="48"/>
  <c r="I22"/>
  <c r="I27"/>
  <c r="I32"/>
  <c r="I31"/>
  <c r="I25"/>
  <c r="I28"/>
  <c r="I30"/>
  <c r="I24"/>
  <c r="I26"/>
  <c r="B38" i="13"/>
  <c r="B50" s="1"/>
  <c r="F32" i="48"/>
  <c r="F28"/>
  <c r="F30"/>
  <c r="F24"/>
  <c r="F31"/>
  <c r="F27"/>
  <c r="F29"/>
  <c r="E28"/>
  <c r="E32"/>
  <c r="E30"/>
  <c r="E24"/>
  <c r="E31"/>
  <c r="E29"/>
  <c r="M12" i="13"/>
  <c r="N41" i="14" s="1"/>
  <c r="M17" i="48"/>
  <c r="L10" i="14"/>
  <c r="L16" s="1"/>
  <c r="L27" s="1"/>
  <c r="K5" i="48"/>
  <c r="L32"/>
  <c r="L27"/>
  <c r="L28"/>
  <c r="L24"/>
  <c r="L29"/>
  <c r="L22"/>
  <c r="L30"/>
  <c r="L31"/>
  <c r="Q10" i="14"/>
  <c r="P5" i="48"/>
  <c r="P23" s="1"/>
  <c r="K31"/>
  <c r="K28"/>
  <c r="K32"/>
  <c r="K27"/>
  <c r="K30"/>
  <c r="K24"/>
  <c r="K26"/>
  <c r="K29"/>
  <c r="K25"/>
  <c r="K22"/>
  <c r="J24"/>
  <c r="J32"/>
  <c r="J30"/>
  <c r="J28"/>
  <c r="J27"/>
  <c r="J31"/>
  <c r="J29"/>
  <c r="D4"/>
  <c r="D22" s="1"/>
  <c r="E11" i="14"/>
  <c r="H29" i="48"/>
  <c r="H26"/>
  <c r="H32"/>
  <c r="H25"/>
  <c r="H28"/>
  <c r="H24"/>
  <c r="H30"/>
  <c r="H22"/>
  <c r="H23"/>
  <c r="C4"/>
  <c r="D11" i="14"/>
  <c r="G25" i="48"/>
  <c r="G26"/>
  <c r="G32"/>
  <c r="G29"/>
  <c r="G30"/>
  <c r="G24"/>
  <c r="G22"/>
  <c r="G2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O22" i="48" l="1"/>
  <c r="M32"/>
  <c r="M25"/>
  <c r="M26"/>
  <c r="M24"/>
  <c r="M22"/>
  <c r="M29"/>
  <c r="M30"/>
  <c r="M23"/>
  <c r="I23"/>
  <c r="I15"/>
  <c r="J46" i="14"/>
  <c r="J61" s="1"/>
  <c r="J63" s="1"/>
  <c r="I33" i="48"/>
  <c r="L46" i="14"/>
  <c r="L61" s="1"/>
  <c r="L63" s="1"/>
  <c r="H18"/>
  <c r="G13" i="48"/>
  <c r="M13"/>
  <c r="M31" s="1"/>
  <c r="N18" i="14"/>
  <c r="J12" i="17"/>
  <c r="K54" i="14" s="1"/>
  <c r="K56" s="1"/>
  <c r="J7" i="48"/>
  <c r="J25" s="1"/>
  <c r="K24" i="14"/>
  <c r="K26" s="1"/>
  <c r="O5" i="48"/>
  <c r="O23" s="1"/>
  <c r="P10" i="14"/>
  <c r="F4" i="48"/>
  <c r="F22" s="1"/>
  <c r="G11" i="14"/>
  <c r="H13" i="48"/>
  <c r="H31" s="1"/>
  <c r="I18" i="14"/>
  <c r="P8" i="48"/>
  <c r="P26" s="1"/>
  <c r="Q13" i="14"/>
  <c r="K23" i="48"/>
  <c r="K15"/>
  <c r="P15"/>
  <c r="P22"/>
  <c r="Q16" i="14"/>
  <c r="Q27" s="1"/>
  <c r="K33" i="48"/>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B47" s="1"/>
  <c r="N8" i="17"/>
  <c r="G31" i="20"/>
  <c r="H48" i="14" s="1"/>
  <c r="G12" i="22"/>
  <c r="D14"/>
  <c r="M12"/>
  <c r="B36" i="13"/>
  <c r="B48" s="1"/>
  <c r="C48" s="1"/>
  <c r="N5" s="1"/>
  <c r="N8" s="1"/>
  <c r="L22" i="16"/>
  <c r="M43" i="14" s="1"/>
  <c r="E8" i="17"/>
  <c r="E12" s="1"/>
  <c r="F54" i="14" s="1"/>
  <c r="F56" s="1"/>
  <c r="E14" i="22"/>
  <c r="B34" i="13"/>
  <c r="O18" i="16"/>
  <c r="M51" i="22"/>
  <c r="M50" s="1"/>
  <c r="M54" s="1"/>
  <c r="H31" i="20"/>
  <c r="I48" i="14" s="1"/>
  <c r="M31" i="20"/>
  <c r="N48" i="14" s="1"/>
  <c r="G50" i="22"/>
  <c r="G54" s="1"/>
  <c r="M5"/>
  <c r="G5"/>
  <c r="H5"/>
  <c r="E5" i="15"/>
  <c r="O20"/>
  <c r="P40" i="14" s="1"/>
  <c r="P20" i="15"/>
  <c r="Q40" i="14" s="1"/>
  <c r="Q46" s="1"/>
  <c r="Q61" s="1"/>
  <c r="Q63" s="1"/>
  <c r="J5" i="15"/>
  <c r="F5"/>
  <c r="F16" s="1"/>
  <c r="B5"/>
  <c r="B16" s="1"/>
  <c r="B5" i="16"/>
  <c r="B18" s="1"/>
  <c r="N5" i="15"/>
  <c r="N16" s="1"/>
  <c r="F12" i="13"/>
  <c r="G41" i="14" s="1"/>
  <c r="F13" i="16"/>
  <c r="E13"/>
  <c r="N13"/>
  <c r="J13"/>
  <c r="N12"/>
  <c r="J12"/>
  <c r="F12"/>
  <c r="E12"/>
  <c r="D18" i="22"/>
  <c r="E50" i="14" s="1"/>
  <c r="E52" s="1"/>
  <c r="B46" i="13"/>
  <c r="E5" s="1"/>
  <c r="E8" s="1"/>
  <c r="C50"/>
  <c r="J5" s="1"/>
  <c r="J8" s="1"/>
  <c r="N4" i="48" l="1"/>
  <c r="N22" s="1"/>
  <c r="O11" i="14"/>
  <c r="F20"/>
  <c r="F22" s="1"/>
  <c r="E9" i="48"/>
  <c r="E27" s="1"/>
  <c r="P33"/>
  <c r="O15"/>
  <c r="O33"/>
  <c r="H14" i="22"/>
  <c r="B9" i="48"/>
  <c r="C20" i="14"/>
  <c r="E12" i="13"/>
  <c r="F41" i="14" s="1"/>
  <c r="F11"/>
  <c r="E4" i="48"/>
  <c r="R18" i="14"/>
  <c r="H19"/>
  <c r="R19" s="1"/>
  <c r="G10" i="48"/>
  <c r="G31"/>
  <c r="Q13"/>
  <c r="K11" i="14"/>
  <c r="J4" i="48"/>
  <c r="E7"/>
  <c r="E25" s="1"/>
  <c r="F24" i="14"/>
  <c r="F26" s="1"/>
  <c r="O8" i="48"/>
  <c r="O26" s="1"/>
  <c r="P13" i="14"/>
  <c r="P16" s="1"/>
  <c r="P27" s="1"/>
  <c r="N19"/>
  <c r="M10" i="48"/>
  <c r="M28" s="1"/>
  <c r="D9"/>
  <c r="D27" s="1"/>
  <c r="E20" i="14"/>
  <c r="E22" s="1"/>
  <c r="M14" i="22"/>
  <c r="D16" i="14"/>
  <c r="D27" s="1"/>
  <c r="B20" i="6" s="1"/>
  <c r="B22" s="1"/>
  <c r="C22" i="56" s="1"/>
  <c r="P46" i="14"/>
  <c r="P61"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58" i="22"/>
  <c r="H49" i="14" s="1"/>
  <c r="M58" i="22"/>
  <c r="N49" i="14" s="1"/>
  <c r="N52" s="1"/>
  <c r="N61" s="1"/>
  <c r="M18" i="22"/>
  <c r="N50" i="14" s="1"/>
  <c r="H18" i="22"/>
  <c r="I50" i="14" s="1"/>
  <c r="I52" s="1"/>
  <c r="I61" s="1"/>
  <c r="N20" i="15"/>
  <c r="O40" i="14" s="1"/>
  <c r="F20" i="15"/>
  <c r="G40" i="14" s="1"/>
  <c r="N5" i="16"/>
  <c r="E5"/>
  <c r="J5"/>
  <c r="C35" i="13"/>
  <c r="F5" i="16"/>
  <c r="C36" i="13"/>
  <c r="N12"/>
  <c r="O41" i="14" s="1"/>
  <c r="C38" i="13"/>
  <c r="C39"/>
  <c r="C32"/>
  <c r="C34"/>
  <c r="J12"/>
  <c r="K41" i="14" s="1"/>
  <c r="L20" i="15"/>
  <c r="M40" i="14" s="1"/>
  <c r="M46" s="1"/>
  <c r="H52" l="1"/>
  <c r="H61" s="1"/>
  <c r="J22" i="48"/>
  <c r="E22"/>
  <c r="Q4"/>
  <c r="H9"/>
  <c r="I20" i="14"/>
  <c r="I22" s="1"/>
  <c r="I27" s="1"/>
  <c r="I63" s="1"/>
  <c r="F10"/>
  <c r="E5" i="48"/>
  <c r="E23" s="1"/>
  <c r="R11" i="14"/>
  <c r="E46"/>
  <c r="E61" s="1"/>
  <c r="G9" i="48"/>
  <c r="H20" i="14"/>
  <c r="H22" s="1"/>
  <c r="H27" s="1"/>
  <c r="K10"/>
  <c r="J5" i="48"/>
  <c r="J23" s="1"/>
  <c r="G28"/>
  <c r="Q10"/>
  <c r="N20" i="14"/>
  <c r="N22" s="1"/>
  <c r="N27" s="1"/>
  <c r="N63" s="1"/>
  <c r="M9" i="48"/>
  <c r="R20" i="14"/>
  <c r="R22" s="1"/>
  <c r="C22"/>
  <c r="P63"/>
  <c r="G18" i="22"/>
  <c r="H50" i="14" s="1"/>
  <c r="D15" i="48"/>
  <c r="E16" i="14"/>
  <c r="E27" s="1"/>
  <c r="E63" s="1"/>
  <c r="D33" i="48"/>
  <c r="M61" i="14"/>
  <c r="M63" s="1"/>
  <c r="F23" i="48"/>
  <c r="C16" i="14"/>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M27" i="48" l="1"/>
  <c r="M33" s="1"/>
  <c r="M15"/>
  <c r="G27"/>
  <c r="G33" s="1"/>
  <c r="G15"/>
  <c r="K16" i="14"/>
  <c r="K27" s="1"/>
  <c r="K63" s="1"/>
  <c r="H63"/>
  <c r="K46"/>
  <c r="K61" s="1"/>
  <c r="C27"/>
  <c r="B3" i="6" s="1"/>
  <c r="B12" s="1"/>
  <c r="Q9" i="48"/>
  <c r="E8"/>
  <c r="E26" s="1"/>
  <c r="E33" s="1"/>
  <c r="F13" i="14"/>
  <c r="F16" s="1"/>
  <c r="F27" s="1"/>
  <c r="F63" s="1"/>
  <c r="H27" i="48"/>
  <c r="H33" s="1"/>
  <c r="H15"/>
  <c r="K13" i="14"/>
  <c r="J8" i="48"/>
  <c r="J26" s="1"/>
  <c r="J33" s="1"/>
  <c r="R10" i="14"/>
  <c r="E15" i="48"/>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C12" i="13"/>
  <c r="D41" i="14" s="1"/>
  <c r="D46" s="1"/>
  <c r="D61" s="1"/>
  <c r="D63" s="1"/>
  <c r="J15" i="48" l="1"/>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<sst xmlns="http://schemas.openxmlformats.org/spreadsheetml/2006/main" count="2486" uniqueCount="948">
  <si>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</si>
  <si>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</si>
  <si>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</si>
  <si>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</si>
  <si>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</si>
  <si>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</si>
  <si>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</si>
  <si>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</si>
  <si>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</si>
  <si>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</si>
  <si>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</si>
  <si>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</si>
  <si>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</si>
  <si>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</si>
  <si>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</si>
  <si>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</si>
  <si>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</si>
  <si>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</si>
  <si>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</si>
  <si>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</si>
  <si>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</si>
  <si>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</si>
  <si>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</si>
  <si>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</si>
  <si>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</si>
  <si>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</si>
  <si>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</si>
  <si>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</si>
  <si>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</si>
  <si>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</si>
  <si>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</si>
  <si>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</si>
  <si>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</si>
  <si>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</si>
  <si>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</si>
  <si>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</si>
  <si>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</si>
  <si>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</si>
  <si>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</si>
  <si>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</si>
  <si>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</si>
  <si>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</si>
  <si>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</si>
  <si>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</si>
  <si>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</si>
  <si>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</si>
  <si>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</si>
  <si>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</si>
  <si>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</si>
  <si>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</si>
  <si>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</si>
  <si>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</si>
  <si>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</si>
  <si>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</si>
  <si>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</si>
  <si>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</si>
  <si>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</si>
  <si>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</si>
  <si>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</si>
  <si>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</si>
  <si>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</si>
  <si>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</si>
  <si>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</si>
  <si>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</si>
  <si>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</si>
  <si>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</si>
  <si>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</si>
  <si>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</si>
  <si>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</si>
  <si>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</si>
  <si>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</si>
  <si>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</si>
  <si>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</si>
  <si>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</si>
  <si>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</si>
  <si>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</si>
  <si>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</si>
  <si>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</si>
  <si>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</si>
  <si>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</si>
  <si>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</si>
  <si>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</si>
  <si>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</si>
  <si>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</si>
  <si>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</si>
  <si>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</si>
  <si>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</si>
  <si>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</si>
  <si>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</si>
  <si>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</si>
  <si>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</si>
  <si>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</si>
  <si>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</si>
  <si>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</si>
  <si>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</si>
  <si>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</si>
  <si>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</si>
  <si>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</si>
  <si>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</si>
  <si>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</si>
  <si>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</si>
  <si>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</si>
  <si>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</si>
  <si>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</si>
  <si>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</si>
  <si>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</si>
  <si>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</si>
  <si>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</si>
  <si>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</si>
  <si>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</si>
  <si>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</si>
  <si>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</si>
  <si>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</si>
  <si>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</si>
  <si>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</si>
  <si>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</si>
  <si>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</si>
  <si>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</si>
  <si>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</si>
  <si>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</si>
  <si>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</si>
  <si>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</si>
  <si>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</si>
  <si>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</si>
  <si>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</si>
  <si>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</si>
  <si>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</si>
  <si>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</si>
  <si>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</si>
  <si>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</si>
  <si>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</si>
  <si>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</si>
  <si>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</si>
  <si>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</si>
  <si>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</si>
  <si>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</si>
  <si>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</si>
  <si>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</si>
  <si>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</si>
  <si>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</si>
  <si>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</si>
  <si>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</si>
  <si>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</si>
  <si>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</si>
  <si>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</si>
  <si>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</si>
  <si>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</si>
  <si>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</si>
  <si>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</si>
  <si>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</si>
  <si>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</si>
  <si>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</si>
  <si>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</si>
  <si>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</si>
  <si>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</si>
  <si>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</si>
  <si>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</si>
  <si>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</si>
  <si>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</si>
  <si>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</si>
  <si>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</si>
  <si>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</si>
  <si>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</si>
  <si>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</si>
  <si>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</si>
  <si>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</si>
  <si>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</si>
  <si>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</si>
  <si>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</si>
  <si>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</si>
  <si>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</si>
  <si>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</si>
  <si>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</si>
  <si>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</si>
  <si>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</si>
  <si>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</si>
  <si>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</si>
  <si>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</si>
  <si>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</si>
  <si>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</si>
  <si>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</si>
  <si>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</si>
  <si>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</si>
  <si>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</si>
  <si>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</si>
  <si>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</si>
  <si>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</si>
  <si>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</si>
  <si>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</si>
  <si>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</si>
  <si>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</si>
  <si>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</si>
  <si>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</si>
  <si>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</si>
  <si>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</si>
  <si>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</si>
  <si>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</si>
  <si>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</si>
  <si>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</si>
  <si>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</si>
  <si>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</si>
  <si>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</si>
  <si>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</si>
  <si>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</si>
  <si>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</si>
  <si>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</si>
  <si>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</si>
  <si>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</si>
  <si>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</si>
  <si>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</si>
  <si>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</si>
  <si>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</si>
  <si>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</si>
  <si>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</si>
  <si>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</si>
  <si>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</si>
  <si>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</si>
  <si>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</si>
  <si>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</si>
  <si>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</si>
  <si>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</si>
  <si>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</si>
  <si>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</si>
  <si>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</si>
  <si>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</si>
  <si>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</si>
  <si>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</si>
  <si>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</si>
  <si>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</si>
  <si>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</si>
  <si>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</si>
  <si>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</si>
  <si>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</si>
  <si>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</si>
  <si>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</si>
  <si>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</si>
  <si>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</si>
  <si>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</si>
  <si>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</si>
  <si>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</si>
  <si>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</si>
  <si>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</si>
  <si>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</si>
  <si>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</si>
  <si>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</si>
  <si>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</si>
  <si>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</si>
  <si>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</si>
  <si>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</si>
  <si>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</si>
  <si>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</si>
  <si>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</si>
  <si>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</si>
  <si>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</si>
  <si>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</si>
  <si>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</si>
  <si>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</si>
  <si>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</si>
  <si>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</si>
  <si>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</si>
  <si>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</si>
  <si>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</si>
  <si>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</si>
  <si>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</si>
  <si>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</si>
  <si>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</si>
  <si>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</si>
  <si>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</si>
  <si>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</si>
  <si>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</si>
  <si>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</si>
  <si>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</si>
  <si>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</si>
  <si>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</si>
  <si>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</si>
  <si>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</si>
  <si>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</si>
  <si>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</si>
  <si>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</si>
  <si>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</si>
  <si>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</si>
  <si>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</si>
  <si>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</si>
  <si>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</si>
  <si>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</si>
  <si>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</si>
  <si>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</si>
  <si>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</si>
  <si>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</si>
  <si>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</si>
  <si>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</si>
  <si>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</si>
  <si>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</si>
  <si>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</si>
  <si>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</si>
  <si>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</si>
  <si>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</si>
  <si>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</si>
  <si>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</si>
  <si>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</si>
  <si>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</si>
  <si>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</si>
  <si>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</si>
  <si>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</si>
  <si>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</si>
  <si>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</si>
  <si>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</si>
  <si>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</si>
  <si>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</si>
  <si>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</si>
  <si>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</si>
  <si>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</si>
  <si>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</si>
  <si>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</si>
  <si>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</si>
  <si>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</si>
  <si>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</si>
  <si>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</si>
  <si>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</si>
  <si>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</si>
  <si>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</si>
  <si>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</si>
  <si>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</si>
  <si>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</si>
  <si>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</si>
  <si>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</si>
  <si>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</si>
  <si>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</si>
  <si>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</si>
  <si>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</si>
  <si>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</si>
  <si>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</si>
  <si>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</si>
  <si>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</si>
  <si>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</si>
  <si>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</si>
  <si>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</si>
  <si>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</si>
  <si>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</si>
  <si>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</si>
  <si>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</si>
  <si>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</si>
  <si>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</si>
  <si>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</si>
  <si>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</si>
  <si>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</si>
  <si>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</si>
  <si>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</si>
  <si>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</si>
  <si>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</si>
  <si>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</si>
  <si>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</si>
  <si>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</si>
  <si>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</si>
  <si>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</si>
  <si>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</si>
  <si>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</si>
  <si>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</si>
  <si>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</si>
  <si>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</si>
  <si>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</si>
  <si>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</si>
  <si>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</si>
  <si>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</si>
  <si>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</si>
  <si>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</si>
  <si>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</si>
  <si>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</si>
  <si>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</si>
  <si>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</si>
  <si>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</si>
  <si>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</si>
  <si>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</si>
  <si>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</si>
  <si>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</si>
  <si>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</si>
  <si>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</si>
  <si>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</si>
  <si>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</si>
  <si>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</si>
  <si>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</si>
  <si>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</si>
  <si>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</si>
  <si>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</si>
  <si>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</si>
  <si>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</si>
  <si>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</si>
  <si>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</si>
  <si>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</si>
  <si>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</si>
  <si>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</si>
  <si>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</si>
  <si>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</si>
  <si>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</si>
  <si>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</si>
  <si>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</si>
  <si>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</si>
  <si>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</si>
  <si>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</si>
  <si>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</si>
  <si>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</si>
  <si>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</si>
  <si>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</si>
  <si>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</si>
  <si>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</si>
  <si>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</si>
  <si>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</si>
  <si>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</si>
  <si>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</si>
  <si>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</si>
  <si>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</si>
  <si>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</si>
  <si>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</si>
  <si>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</si>
  <si>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</si>
  <si>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</si>
  <si>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</si>
  <si>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</si>
  <si>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</si>
  <si>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</si>
  <si>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</si>
  <si>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</si>
  <si>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</si>
  <si>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</si>
  <si>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</si>
  <si>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</si>
  <si>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</si>
  <si>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</si>
  <si>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</si>
  <si>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</si>
  <si>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</si>
  <si>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</si>
  <si>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</si>
  <si>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</si>
  <si>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</si>
  <si>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</si>
  <si>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</si>
  <si>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</si>
  <si>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</si>
  <si>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</si>
  <si>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</si>
  <si>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</si>
  <si>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</si>
  <si>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</si>
  <si>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</si>
  <si>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</si>
  <si>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</si>
  <si>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</si>
  <si>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</si>
  <si>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</si>
  <si>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</si>
  <si>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</si>
  <si>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</si>
  <si>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</si>
  <si>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</si>
  <si>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</si>
  <si>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</si>
  <si>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</si>
  <si>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</si>
  <si>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</si>
  <si>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</si>
  <si>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</si>
  <si>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</si>
  <si>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</si>
  <si>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</si>
  <si>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</si>
  <si>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</si>
  <si>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</si>
  <si>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</si>
  <si>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</si>
  <si>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</si>
  <si>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</si>
  <si>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</si>
  <si>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</si>
  <si>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</si>
  <si>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</si>
  <si>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</si>
  <si>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</si>
  <si>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</si>
  <si>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</si>
  <si>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</si>
  <si>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</si>
  <si>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</si>
  <si>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</si>
  <si>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</si>
  <si>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</si>
  <si>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</si>
  <si>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</si>
  <si>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</si>
  <si>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</si>
  <si>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</si>
  <si>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</si>
  <si>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</si>
  <si>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</si>
  <si>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</si>
  <si>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</si>
  <si>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</si>
  <si>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</si>
  <si>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</si>
  <si>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</si>
  <si>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</si>
  <si>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</si>
  <si>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</si>
  <si>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</si>
  <si>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</si>
  <si>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</si>
  <si>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</si>
  <si>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</si>
  <si>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</si>
  <si>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</si>
  <si>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</si>
  <si>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</si>
  <si>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</si>
  <si>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</si>
  <si>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</si>
  <si>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</si>
  <si>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</si>
  <si>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</si>
  <si>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</si>
  <si>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</si>
  <si>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</si>
  <si>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</si>
  <si>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</si>
  <si>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</si>
  <si>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</si>
  <si>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</si>
  <si>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</si>
  <si>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</si>
  <si>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</si>
  <si>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</si>
  <si>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</si>
  <si>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</si>
  <si>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</si>
  <si>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</si>
  <si>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</si>
  <si>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</si>
  <si>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</si>
  <si>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</si>
  <si>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</si>
  <si>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</si>
  <si>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</si>
  <si>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</si>
  <si>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</si>
  <si>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</si>
  <si>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</si>
  <si>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</si>
  <si>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</si>
  <si>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</si>
  <si>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</si>
  <si>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</si>
  <si>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</si>
  <si>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</si>
  <si>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</si>
  <si>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</si>
  <si>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</si>
  <si>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</si>
  <si>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</si>
  <si>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</si>
  <si>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</si>
  <si>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</si>
  <si>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</si>
  <si>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</si>
  <si>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</si>
  <si>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</si>
  <si>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</si>
  <si>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</si>
  <si>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</si>
  <si>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</si>
  <si>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</si>
  <si>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</si>
  <si>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</si>
  <si>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</si>
  <si>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</si>
  <si>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</si>
  <si>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</si>
  <si>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</si>
  <si>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</si>
  <si>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</si>
  <si>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</si>
  <si>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</si>
  <si>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</si>
  <si>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</si>
  <si>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</si>
  <si>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</si>
  <si>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</si>
  <si>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</si>
  <si>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</si>
  <si>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</si>
  <si>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</si>
  <si>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</si>
  <si>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</si>
  <si>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</si>
  <si>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</si>
  <si>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</si>
  <si>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</si>
  <si>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</si>
  <si>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</si>
  <si>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</si>
  <si>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</si>
  <si>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</si>
  <si>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</si>
  <si>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</si>
  <si>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</si>
  <si>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</si>
  <si>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</si>
  <si>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</si>
  <si>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</si>
  <si>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</si>
  <si>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</si>
  <si>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</si>
  <si>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</si>
  <si>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</si>
  <si>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</si>
  <si>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</si>
  <si>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</si>
  <si>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</si>
  <si>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</si>
  <si>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</si>
  <si>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</si>
  <si>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</si>
  <si>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</si>
  <si>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</si>
  <si>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</si>
  <si>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</si>
  <si>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</si>
  <si>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</si>
  <si>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</si>
  <si>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</si>
  <si>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</si>
  <si>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</si>
  <si>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</si>
  <si>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</si>
  <si>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</si>
  <si>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</si>
  <si>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</si>
  <si>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</si>
  <si>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</si>
  <si>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</si>
  <si>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</si>
  <si>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</si>
  <si>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</si>
  <si>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</si>
  <si>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</si>
  <si>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</si>
  <si>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</si>
  <si>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</si>
  <si>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</si>
  <si>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</si>
  <si>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</si>
  <si>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</si>
  <si>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</si>
  <si>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</si>
  <si>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</si>
  <si>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</si>
  <si>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</si>
  <si>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</si>
  <si>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</si>
  <si>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</si>
  <si>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</si>
  <si>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</si>
  <si>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</si>
  <si>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</si>
  <si>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</si>
  <si>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</si>
  <si>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</si>
  <si>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</si>
  <si>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</si>
  <si>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</si>
  <si>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</si>
  <si>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</si>
  <si>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</si>
  <si>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</si>
  <si>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</si>
  <si>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</si>
  <si>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</si>
  <si>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</si>
  <si>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</si>
  <si>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</si>
  <si>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</si>
  <si>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</si>
  <si>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</si>
  <si>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</si>
  <si>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</si>
  <si>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</si>
  <si>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</si>
  <si>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</si>
  <si>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</si>
  <si>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</si>
  <si>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</si>
  <si>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</si>
  <si>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</si>
  <si>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</si>
  <si>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</si>
  <si>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</si>
  <si>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</si>
  <si>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</si>
  <si>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</si>
  <si>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</si>
  <si>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</si>
  <si>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</si>
  <si>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</si>
  <si>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</si>
  <si>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</si>
  <si>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</si>
  <si>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</si>
  <si>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</si>
  <si>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</si>
  <si>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</si>
  <si>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</si>
  <si>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</si>
  <si>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</si>
  <si>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</si>
  <si>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</si>
  <si>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</si>
  <si>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</si>
  <si>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</si>
  <si>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</si>
  <si>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</si>
  <si>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</si>
  <si>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</si>
  <si>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</si>
  <si>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</si>
  <si>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</si>
  <si>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</si>
  <si>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</si>
  <si>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</si>
  <si>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</si>
  <si>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</si>
  <si>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</si>
  <si>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</si>
  <si>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</si>
  <si>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</si>
  <si>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</si>
  <si>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</si>
  <si>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</si>
  <si>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</si>
  <si>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</si>
  <si>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</si>
  <si>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</si>
  <si>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</si>
  <si>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</si>
  <si>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</si>
  <si>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</si>
  <si>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</si>
  <si>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</si>
  <si>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</si>
  <si>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</si>
  <si>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</si>
  <si>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</si>
  <si>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</si>
  <si>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</si>
  <si>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</si>
  <si>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</si>
  <si>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</si>
  <si>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</si>
  <si>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</si>
  <si>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</si>
  <si>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</si>
  <si>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</si>
  <si>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</si>
  <si>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</si>
  <si>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</si>
  <si>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</si>
  <si>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</si>
  <si>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</si>
  <si>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</si>
  <si>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</si>
  <si>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</si>
  <si>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</si>
  <si>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</si>
  <si>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</si>
  <si>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</si>
  <si>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</si>
  <si>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</si>
  <si>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</si>
  <si>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</si>
  <si>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</si>
  <si>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</si>
  <si>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</si>
  <si>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</si>
  <si>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</si>
  <si>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</si>
  <si>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</si>
  <si>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</si>
  <si>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</si>
  <si>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</si>
  <si>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</si>
  <si>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</si>
  <si>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</si>
  <si>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</si>
  <si>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</si>
  <si>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</si>
  <si>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</si>
  <si>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</si>
  <si>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</si>
  <si>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</si>
  <si>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</si>
  <si>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</si>
  <si>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</si>
  <si>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</si>
  <si>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</si>
  <si>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</si>
  <si>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</si>
  <si>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</si>
  <si>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</si>
  <si>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</si>
  <si>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</si>
  <si>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</si>
  <si>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</si>
  <si>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</si>
  <si>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</si>
  <si>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</si>
  <si>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</si>
  <si>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</si>
  <si>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</si>
  <si>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</si>
  <si>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</si>
  <si>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</si>
  <si>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</si>
  <si>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</si>
  <si>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</si>
  <si>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</si>
  <si>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</si>
  <si>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</si>
  <si>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</si>
  <si>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</si>
  <si>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</si>
  <si>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</si>
  <si>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</si>
  <si>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</si>
  <si>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</si>
  <si>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</si>
  <si>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</si>
  <si>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</si>
  <si>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</si>
  <si>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</si>
  <si>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</si>
  <si>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</si>
  <si>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</si>
  <si>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</si>
  <si>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</si>
  <si>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</si>
  <si>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</si>
  <si>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</si>
  <si>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</si>
  <si>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</si>
  <si>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</si>
  <si>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</si>
  <si>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</si>
  <si>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</si>
  <si>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</si>
  <si>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</si>
  <si>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</si>
  <si>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</si>
  <si>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</si>
  <si>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</si>
  <si>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</si>
  <si>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</si>
  <si>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</si>
  <si>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</si>
  <si>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</si>
  <si>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</si>
  <si>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</si>
  <si>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</si>
  <si>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</si>
  <si>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</si>
  <si>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</si>
  <si>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</si>
  <si>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</si>
  <si>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</si>
  <si>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</si>
  <si>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</si>
  <si>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</si>
  <si>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</si>
  <si>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</si>
  <si>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</si>
  <si>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</si>
  <si>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</si>
  <si>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</si>
  <si>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</si>
  <si>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</si>
  <si>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</si>
  <si>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</si>
  <si>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</si>
  <si>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</si>
  <si>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</si>
  <si>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</si>
  <si>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</si>
  <si>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</si>
  <si>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</si>
  <si>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</si>
  <si>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</si>
  <si>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</si>
  <si>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</si>
  <si>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</si>
  <si>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</si>
  <si>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</si>
  <si>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</si>
  <si>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</si>
  <si>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</si>
  <si>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</si>
  <si>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</si>
  <si>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</si>
  <si>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</si>
  <si>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</si>
  <si>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</si>
  <si>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</si>
  <si>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</si>
  <si>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</si>
  <si>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</si>
  <si>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</si>
  <si>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</si>
  <si>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</si>
  <si>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</si>
  <si>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</si>
  <si>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</si>
  <si>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</si>
  <si>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</si>
  <si>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</si>
  <si>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</si>
  <si>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</si>
  <si>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</si>
  <si>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</si>
  <si>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</si>
  <si>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</si>
  <si>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</si>
  <si>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</si>
  <si>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</si>
  <si>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</si>
  <si>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</si>
  <si>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</si>
  <si>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</si>
  <si>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</si>
  <si>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</si>
  <si>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</si>
  <si>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</si>
  <si>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</si>
  <si>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</si>
  <si>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</si>
  <si>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</si>
  <si>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</si>
  <si>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</si>
  <si>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23101</t>
  </si>
  <si>
    <t>SINT-GENESIUS-RODE</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</si>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</sst>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23101</v>
      </c>
      <c r="B6" s="397"/>
      <c r="C6" s="398"/>
    </row>
    <row r="7" spans="1:7" s="395" customFormat="1" ht="15.75" customHeight="1">
      <c r="A7" s="399" t="str">
        <f>txtMunicipality</f>
        <v>SINT-GENESIUS-RODE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0.21714185841101508</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0.21714185841101508</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23101</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6798</v>
      </c>
      <c r="C9" s="338">
        <v>7165</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422</v>
      </c>
    </row>
    <row r="15" spans="1:6">
      <c r="A15" s="1286" t="s">
        <v>184</v>
      </c>
      <c r="B15" s="335">
        <v>1</v>
      </c>
    </row>
    <row r="16" spans="1:6">
      <c r="A16" s="1286" t="s">
        <v>6</v>
      </c>
      <c r="B16" s="335">
        <v>73</v>
      </c>
    </row>
    <row r="17" spans="1:6">
      <c r="A17" s="1286" t="s">
        <v>7</v>
      </c>
      <c r="B17" s="335">
        <v>154</v>
      </c>
    </row>
    <row r="18" spans="1:6">
      <c r="A18" s="1286" t="s">
        <v>8</v>
      </c>
      <c r="B18" s="335">
        <v>174</v>
      </c>
    </row>
    <row r="19" spans="1:6">
      <c r="A19" s="1286" t="s">
        <v>9</v>
      </c>
      <c r="B19" s="335">
        <v>135</v>
      </c>
    </row>
    <row r="20" spans="1:6">
      <c r="A20" s="1286" t="s">
        <v>10</v>
      </c>
      <c r="B20" s="335">
        <v>150</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0</v>
      </c>
    </row>
    <row r="27" spans="1:6">
      <c r="A27" s="1286" t="s">
        <v>17</v>
      </c>
      <c r="B27" s="335">
        <v>0</v>
      </c>
    </row>
    <row r="28" spans="1:6" s="341" customFormat="1">
      <c r="A28" s="1287" t="s">
        <v>18</v>
      </c>
      <c r="B28" s="1287">
        <v>20</v>
      </c>
    </row>
    <row r="29" spans="1:6">
      <c r="A29" s="1287" t="s">
        <v>944</v>
      </c>
      <c r="B29" s="1287">
        <v>200</v>
      </c>
      <c r="C29" s="341"/>
      <c r="D29" s="341"/>
      <c r="E29" s="341"/>
      <c r="F29" s="341"/>
    </row>
    <row r="30" spans="1:6">
      <c r="A30" s="1282" t="s">
        <v>945</v>
      </c>
      <c r="B30" s="1282">
        <v>99</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1</v>
      </c>
      <c r="D38" s="335">
        <v>13629.669157139801</v>
      </c>
      <c r="E38" s="335">
        <v>2</v>
      </c>
      <c r="F38" s="335">
        <v>6762</v>
      </c>
    </row>
    <row r="39" spans="1:6">
      <c r="A39" s="1286" t="s">
        <v>30</v>
      </c>
      <c r="B39" s="1286" t="s">
        <v>31</v>
      </c>
      <c r="C39" s="335">
        <v>5287</v>
      </c>
      <c r="D39" s="335">
        <v>155491541.573327</v>
      </c>
      <c r="E39" s="335">
        <v>6808</v>
      </c>
      <c r="F39" s="335">
        <v>35521129.879568003</v>
      </c>
    </row>
    <row r="40" spans="1:6">
      <c r="A40" s="1286" t="s">
        <v>30</v>
      </c>
      <c r="B40" s="1286" t="s">
        <v>29</v>
      </c>
      <c r="C40" s="335">
        <v>0</v>
      </c>
      <c r="D40" s="335">
        <v>0</v>
      </c>
      <c r="E40" s="335">
        <v>1</v>
      </c>
      <c r="F40" s="335">
        <v>9018</v>
      </c>
    </row>
    <row r="41" spans="1:6">
      <c r="A41" s="1286" t="s">
        <v>32</v>
      </c>
      <c r="B41" s="1286" t="s">
        <v>33</v>
      </c>
      <c r="C41" s="335">
        <v>56</v>
      </c>
      <c r="D41" s="335">
        <v>2020185.3785296399</v>
      </c>
      <c r="E41" s="335">
        <v>91</v>
      </c>
      <c r="F41" s="335">
        <v>649478.53004932997</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6</v>
      </c>
      <c r="F44" s="335">
        <v>43834</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6</v>
      </c>
      <c r="D47" s="335">
        <v>232514.953225356</v>
      </c>
      <c r="E47" s="335">
        <v>5</v>
      </c>
      <c r="F47" s="335">
        <v>38394</v>
      </c>
    </row>
    <row r="48" spans="1:6">
      <c r="A48" s="1286" t="s">
        <v>32</v>
      </c>
      <c r="B48" s="1286" t="s">
        <v>29</v>
      </c>
      <c r="C48" s="335">
        <v>14</v>
      </c>
      <c r="D48" s="335">
        <v>335226.26273010299</v>
      </c>
      <c r="E48" s="335">
        <v>17</v>
      </c>
      <c r="F48" s="335">
        <v>764047.74784258194</v>
      </c>
    </row>
    <row r="49" spans="1:6">
      <c r="A49" s="1286" t="s">
        <v>32</v>
      </c>
      <c r="B49" s="1286" t="s">
        <v>40</v>
      </c>
      <c r="C49" s="335">
        <v>0</v>
      </c>
      <c r="D49" s="335">
        <v>0</v>
      </c>
      <c r="E49" s="335">
        <v>0</v>
      </c>
      <c r="F49" s="335">
        <v>0</v>
      </c>
    </row>
    <row r="50" spans="1:6">
      <c r="A50" s="1286" t="s">
        <v>32</v>
      </c>
      <c r="B50" s="1286" t="s">
        <v>41</v>
      </c>
      <c r="C50" s="335">
        <v>4</v>
      </c>
      <c r="D50" s="335">
        <v>234027.662682833</v>
      </c>
      <c r="E50" s="335">
        <v>5</v>
      </c>
      <c r="F50" s="335">
        <v>97642.849066292794</v>
      </c>
    </row>
    <row r="51" spans="1:6">
      <c r="A51" s="1286" t="s">
        <v>42</v>
      </c>
      <c r="B51" s="1286" t="s">
        <v>43</v>
      </c>
      <c r="C51" s="335">
        <v>0</v>
      </c>
      <c r="D51" s="335">
        <v>0</v>
      </c>
      <c r="E51" s="335">
        <v>0</v>
      </c>
      <c r="F51" s="335">
        <v>0</v>
      </c>
    </row>
    <row r="52" spans="1:6">
      <c r="A52" s="1286" t="s">
        <v>42</v>
      </c>
      <c r="B52" s="1286" t="s">
        <v>29</v>
      </c>
      <c r="C52" s="335">
        <v>2</v>
      </c>
      <c r="D52" s="335">
        <v>25577.3454541625</v>
      </c>
      <c r="E52" s="335">
        <v>4</v>
      </c>
      <c r="F52" s="335">
        <v>65637.694777754397</v>
      </c>
    </row>
    <row r="53" spans="1:6">
      <c r="A53" s="1286" t="s">
        <v>44</v>
      </c>
      <c r="B53" s="1286" t="s">
        <v>45</v>
      </c>
      <c r="C53" s="335">
        <v>136</v>
      </c>
      <c r="D53" s="335">
        <v>6062802.2705085799</v>
      </c>
      <c r="E53" s="335">
        <v>198</v>
      </c>
      <c r="F53" s="335">
        <v>1660573.04905034</v>
      </c>
    </row>
    <row r="54" spans="1:6">
      <c r="A54" s="1286" t="s">
        <v>46</v>
      </c>
      <c r="B54" s="1286" t="s">
        <v>47</v>
      </c>
      <c r="C54" s="335">
        <v>0</v>
      </c>
      <c r="D54" s="335">
        <v>0</v>
      </c>
      <c r="E54" s="335">
        <v>1</v>
      </c>
      <c r="F54" s="335">
        <v>1214542</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21</v>
      </c>
      <c r="D57" s="335">
        <v>1113943.6757912601</v>
      </c>
      <c r="E57" s="335">
        <v>96</v>
      </c>
      <c r="F57" s="335">
        <v>1633112.3763836599</v>
      </c>
    </row>
    <row r="58" spans="1:6">
      <c r="A58" s="1286" t="s">
        <v>49</v>
      </c>
      <c r="B58" s="1286" t="s">
        <v>51</v>
      </c>
      <c r="C58" s="335">
        <v>29</v>
      </c>
      <c r="D58" s="335">
        <v>1805804.89140608</v>
      </c>
      <c r="E58" s="335">
        <v>34</v>
      </c>
      <c r="F58" s="335">
        <v>352874.900301138</v>
      </c>
    </row>
    <row r="59" spans="1:6">
      <c r="A59" s="1286" t="s">
        <v>49</v>
      </c>
      <c r="B59" s="1286" t="s">
        <v>52</v>
      </c>
      <c r="C59" s="335">
        <v>98</v>
      </c>
      <c r="D59" s="335">
        <v>4105859.0127071901</v>
      </c>
      <c r="E59" s="335">
        <v>180</v>
      </c>
      <c r="F59" s="335">
        <v>3899730.1723445901</v>
      </c>
    </row>
    <row r="60" spans="1:6">
      <c r="A60" s="1286" t="s">
        <v>49</v>
      </c>
      <c r="B60" s="1286" t="s">
        <v>53</v>
      </c>
      <c r="C60" s="335">
        <v>17</v>
      </c>
      <c r="D60" s="335">
        <v>718484.17775582103</v>
      </c>
      <c r="E60" s="335">
        <v>23</v>
      </c>
      <c r="F60" s="335">
        <v>446253.02415905998</v>
      </c>
    </row>
    <row r="61" spans="1:6">
      <c r="A61" s="1286" t="s">
        <v>49</v>
      </c>
      <c r="B61" s="1286" t="s">
        <v>54</v>
      </c>
      <c r="C61" s="335">
        <v>294</v>
      </c>
      <c r="D61" s="335">
        <v>20093549.2657695</v>
      </c>
      <c r="E61" s="335">
        <v>446</v>
      </c>
      <c r="F61" s="335">
        <v>7358852.6850189399</v>
      </c>
    </row>
    <row r="62" spans="1:6">
      <c r="A62" s="1286" t="s">
        <v>49</v>
      </c>
      <c r="B62" s="1286" t="s">
        <v>55</v>
      </c>
      <c r="C62" s="335">
        <v>12</v>
      </c>
      <c r="D62" s="335">
        <v>2042363.0531353301</v>
      </c>
      <c r="E62" s="335">
        <v>11</v>
      </c>
      <c r="F62" s="335">
        <v>457376.10868883203</v>
      </c>
    </row>
    <row r="63" spans="1:6">
      <c r="A63" s="1286" t="s">
        <v>49</v>
      </c>
      <c r="B63" s="1286" t="s">
        <v>29</v>
      </c>
      <c r="C63" s="335">
        <v>84</v>
      </c>
      <c r="D63" s="335">
        <v>5198140.1424810998</v>
      </c>
      <c r="E63" s="335">
        <v>80</v>
      </c>
      <c r="F63" s="335">
        <v>2431381.1529797302</v>
      </c>
    </row>
    <row r="64" spans="1:6">
      <c r="A64" s="1286" t="s">
        <v>56</v>
      </c>
      <c r="B64" s="1286" t="s">
        <v>57</v>
      </c>
      <c r="C64" s="335">
        <v>0</v>
      </c>
      <c r="D64" s="335">
        <v>0</v>
      </c>
      <c r="E64" s="335">
        <v>0</v>
      </c>
      <c r="F64" s="335">
        <v>0</v>
      </c>
    </row>
    <row r="65" spans="1:6">
      <c r="A65" s="1286" t="s">
        <v>56</v>
      </c>
      <c r="B65" s="1286" t="s">
        <v>29</v>
      </c>
      <c r="C65" s="335">
        <v>2</v>
      </c>
      <c r="D65" s="335">
        <v>31977.820125979899</v>
      </c>
      <c r="E65" s="335">
        <v>3</v>
      </c>
      <c r="F65" s="335">
        <v>16068.613858922599</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0</v>
      </c>
      <c r="F68" s="335">
        <v>0</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42703420</v>
      </c>
      <c r="E73" s="335">
        <v>43765817.854659125</v>
      </c>
    </row>
    <row r="74" spans="1:6">
      <c r="A74" s="1286" t="s">
        <v>64</v>
      </c>
      <c r="B74" s="1286" t="s">
        <v>772</v>
      </c>
      <c r="C74" s="1297" t="s">
        <v>766</v>
      </c>
      <c r="D74" s="335">
        <v>287242.18879687181</v>
      </c>
      <c r="E74" s="335">
        <v>306408.12029838748</v>
      </c>
    </row>
    <row r="75" spans="1:6">
      <c r="A75" s="1286" t="s">
        <v>65</v>
      </c>
      <c r="B75" s="1286" t="s">
        <v>771</v>
      </c>
      <c r="C75" s="1297" t="s">
        <v>767</v>
      </c>
      <c r="D75" s="335">
        <v>63288172</v>
      </c>
      <c r="E75" s="335">
        <v>63801533.070832357</v>
      </c>
    </row>
    <row r="76" spans="1:6">
      <c r="A76" s="1286" t="s">
        <v>65</v>
      </c>
      <c r="B76" s="1286" t="s">
        <v>772</v>
      </c>
      <c r="C76" s="1297" t="s">
        <v>768</v>
      </c>
      <c r="D76" s="335">
        <v>1081583.1887968718</v>
      </c>
      <c r="E76" s="335">
        <v>1070800.2338129107</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503711.62240625633</v>
      </c>
      <c r="C83" s="335">
        <v>488215.52488168475</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788.26335274705491</v>
      </c>
    </row>
    <row r="92" spans="1:6">
      <c r="A92" s="1282" t="s">
        <v>69</v>
      </c>
      <c r="B92" s="338">
        <v>214.40604845279665</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3717</v>
      </c>
    </row>
    <row r="98" spans="1:6">
      <c r="A98" s="1286" t="s">
        <v>72</v>
      </c>
      <c r="B98" s="335">
        <v>2</v>
      </c>
    </row>
    <row r="99" spans="1:6">
      <c r="A99" s="1286" t="s">
        <v>73</v>
      </c>
      <c r="B99" s="335">
        <v>15</v>
      </c>
    </row>
    <row r="100" spans="1:6">
      <c r="A100" s="1286" t="s">
        <v>74</v>
      </c>
      <c r="B100" s="335">
        <v>320</v>
      </c>
    </row>
    <row r="101" spans="1:6">
      <c r="A101" s="1286" t="s">
        <v>75</v>
      </c>
      <c r="B101" s="335">
        <v>35</v>
      </c>
    </row>
    <row r="102" spans="1:6">
      <c r="A102" s="1286" t="s">
        <v>76</v>
      </c>
      <c r="B102" s="335">
        <v>97</v>
      </c>
    </row>
    <row r="103" spans="1:6">
      <c r="A103" s="1286" t="s">
        <v>77</v>
      </c>
      <c r="B103" s="335">
        <v>46</v>
      </c>
    </row>
    <row r="104" spans="1:6">
      <c r="A104" s="1286" t="s">
        <v>78</v>
      </c>
      <c r="B104" s="335">
        <v>1914</v>
      </c>
    </row>
    <row r="105" spans="1:6">
      <c r="A105" s="1282" t="s">
        <v>79</v>
      </c>
      <c r="B105" s="1282">
        <v>3</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2</v>
      </c>
      <c r="C123" s="335">
        <v>1</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36</v>
      </c>
    </row>
    <row r="130" spans="1:6">
      <c r="A130" s="1286" t="s">
        <v>295</v>
      </c>
      <c r="B130" s="335">
        <v>0</v>
      </c>
    </row>
    <row r="131" spans="1:6">
      <c r="A131" s="1286" t="s">
        <v>296</v>
      </c>
      <c r="B131" s="335">
        <v>0</v>
      </c>
    </row>
    <row r="132" spans="1:6">
      <c r="A132" s="1282" t="s">
        <v>297</v>
      </c>
      <c r="B132" s="338">
        <v>2</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57434.371589111572</v>
      </c>
      <c r="C3" s="44" t="s">
        <v>170</v>
      </c>
      <c r="D3" s="44"/>
      <c r="E3" s="157"/>
      <c r="F3" s="44"/>
      <c r="G3" s="44"/>
      <c r="H3" s="44"/>
      <c r="I3" s="44"/>
      <c r="J3" s="44"/>
      <c r="K3" s="97"/>
    </row>
    <row r="4" spans="1:11">
      <c r="A4" s="365" t="s">
        <v>171</v>
      </c>
      <c r="B4" s="50">
        <f>IF(ISERROR('SEAP template'!B78+'SEAP template'!C78),0,'SEAP template'!B78+'SEAP template'!C78)</f>
        <v>1002.6694011998516</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0.21714185841101508</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1214.5419999999999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1214.5419999999999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0.21714185841101508</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263.72790699823105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35530.147879568001</v>
      </c>
      <c r="C5" s="18">
        <f>IF(ISERROR('Eigen informatie GS &amp; warmtenet'!B57),0,'Eigen informatie GS &amp; warmtenet'!B57)</f>
        <v>0</v>
      </c>
      <c r="D5" s="31">
        <f>(SUM(HH_hh_gas_kWh,HH_rest_gas_kWh)/1000)*0.902</f>
        <v>140253.37049914096</v>
      </c>
      <c r="E5" s="18">
        <f>B46*B57</f>
        <v>898.72899673356096</v>
      </c>
      <c r="F5" s="18">
        <f>B51*B62</f>
        <v>9889.6820291081785</v>
      </c>
      <c r="G5" s="19"/>
      <c r="H5" s="18"/>
      <c r="I5" s="18"/>
      <c r="J5" s="18">
        <f>B50*B61+C50*C61</f>
        <v>0</v>
      </c>
      <c r="K5" s="18"/>
      <c r="L5" s="18"/>
      <c r="M5" s="18"/>
      <c r="N5" s="18">
        <f>B48*B59+C48*C59</f>
        <v>6810.2079585185784</v>
      </c>
      <c r="O5" s="18">
        <f>B69*B70*B71</f>
        <v>57.843333333333334</v>
      </c>
      <c r="P5" s="18">
        <f>B77*B78*B79/1000-B77*B78*B79/1000/B80</f>
        <v>76.266666666666666</v>
      </c>
    </row>
    <row r="6" spans="1:16">
      <c r="A6" s="17" t="s">
        <v>639</v>
      </c>
      <c r="B6" s="780">
        <f>kWh_PV_kleiner_dan_10kW</f>
        <v>788.26335274705491</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36318.411232315055</v>
      </c>
      <c r="C8" s="22">
        <f>C5</f>
        <v>0</v>
      </c>
      <c r="D8" s="22">
        <f>D5</f>
        <v>140253.37049914096</v>
      </c>
      <c r="E8" s="22">
        <f>E5</f>
        <v>898.72899673356096</v>
      </c>
      <c r="F8" s="22">
        <f>F5</f>
        <v>9889.6820291081785</v>
      </c>
      <c r="G8" s="22"/>
      <c r="H8" s="22"/>
      <c r="I8" s="22"/>
      <c r="J8" s="22">
        <f>J5</f>
        <v>0</v>
      </c>
      <c r="K8" s="22"/>
      <c r="L8" s="22">
        <f>L5</f>
        <v>0</v>
      </c>
      <c r="M8" s="22">
        <f>M5</f>
        <v>0</v>
      </c>
      <c r="N8" s="22">
        <f>N5</f>
        <v>6810.2079585185784</v>
      </c>
      <c r="O8" s="22">
        <f>O5</f>
        <v>57.843333333333334</v>
      </c>
      <c r="P8" s="22">
        <f>P5</f>
        <v>76.266666666666666</v>
      </c>
    </row>
    <row r="9" spans="1:16">
      <c r="B9" s="20"/>
      <c r="C9" s="20"/>
      <c r="D9" s="262"/>
      <c r="E9" s="20"/>
      <c r="F9" s="20"/>
      <c r="G9" s="20"/>
      <c r="H9" s="20"/>
      <c r="I9" s="20"/>
      <c r="J9" s="20"/>
      <c r="K9" s="20"/>
      <c r="L9" s="20"/>
      <c r="M9" s="20"/>
      <c r="N9" s="20"/>
      <c r="O9" s="20"/>
      <c r="P9" s="20"/>
    </row>
    <row r="10" spans="1:16">
      <c r="A10" s="25" t="s">
        <v>214</v>
      </c>
      <c r="B10" s="26">
        <f ca="1">'EF ele_warmte'!B12</f>
        <v>0.21714185841101508</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7886.247309520375</v>
      </c>
      <c r="C12" s="24">
        <f ca="1">C10*C8</f>
        <v>0</v>
      </c>
      <c r="D12" s="24">
        <f>D8*D10</f>
        <v>28331.180840826477</v>
      </c>
      <c r="E12" s="24">
        <f>E10*E8</f>
        <v>204.01148225851836</v>
      </c>
      <c r="F12" s="24">
        <f>F10*F8</f>
        <v>2640.5451017718838</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3717</v>
      </c>
      <c r="C18" s="169" t="s">
        <v>111</v>
      </c>
      <c r="D18" s="231"/>
      <c r="E18" s="16"/>
    </row>
    <row r="19" spans="1:7">
      <c r="A19" s="174" t="s">
        <v>72</v>
      </c>
      <c r="B19" s="38">
        <f>aantalw2001_ander</f>
        <v>2</v>
      </c>
      <c r="C19" s="169" t="s">
        <v>111</v>
      </c>
      <c r="D19" s="232"/>
      <c r="E19" s="16"/>
    </row>
    <row r="20" spans="1:7">
      <c r="A20" s="174" t="s">
        <v>73</v>
      </c>
      <c r="B20" s="38">
        <f>aantalw2001_propaan</f>
        <v>15</v>
      </c>
      <c r="C20" s="170">
        <f>IF(ISERROR(B20/SUM($B$20,$B$21,$B$22)*100),0,B20/SUM($B$20,$B$21,$B$22)*100)</f>
        <v>4.0540540540540544</v>
      </c>
      <c r="D20" s="232"/>
      <c r="E20" s="16"/>
    </row>
    <row r="21" spans="1:7">
      <c r="A21" s="174" t="s">
        <v>74</v>
      </c>
      <c r="B21" s="38">
        <f>aantalw2001_elektriciteit</f>
        <v>320</v>
      </c>
      <c r="C21" s="170">
        <f>IF(ISERROR(B21/SUM($B$20,$B$21,$B$22)*100),0,B21/SUM($B$20,$B$21,$B$22)*100)</f>
        <v>86.486486486486484</v>
      </c>
      <c r="D21" s="232"/>
      <c r="E21" s="16"/>
    </row>
    <row r="22" spans="1:7">
      <c r="A22" s="174" t="s">
        <v>75</v>
      </c>
      <c r="B22" s="38">
        <f>aantalw2001_hout</f>
        <v>35</v>
      </c>
      <c r="C22" s="170">
        <f>IF(ISERROR(B22/SUM($B$20,$B$21,$B$22)*100),0,B22/SUM($B$20,$B$21,$B$22)*100)</f>
        <v>9.4594594594594597</v>
      </c>
      <c r="D22" s="232"/>
      <c r="E22" s="16"/>
    </row>
    <row r="23" spans="1:7">
      <c r="A23" s="174" t="s">
        <v>76</v>
      </c>
      <c r="B23" s="38">
        <f>aantalw2001_niet_gespec</f>
        <v>97</v>
      </c>
      <c r="C23" s="169" t="s">
        <v>111</v>
      </c>
      <c r="D23" s="231"/>
      <c r="E23" s="16"/>
    </row>
    <row r="24" spans="1:7">
      <c r="A24" s="174" t="s">
        <v>77</v>
      </c>
      <c r="B24" s="38">
        <f>aantalw2001_steenkool</f>
        <v>46</v>
      </c>
      <c r="C24" s="169" t="s">
        <v>111</v>
      </c>
      <c r="D24" s="232"/>
      <c r="E24" s="16"/>
    </row>
    <row r="25" spans="1:7">
      <c r="A25" s="174" t="s">
        <v>78</v>
      </c>
      <c r="B25" s="38">
        <f>aantalw2001_stookolie</f>
        <v>1914</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6798</v>
      </c>
      <c r="C28" s="37"/>
      <c r="D28" s="231"/>
    </row>
    <row r="29" spans="1:7" s="16" customFormat="1">
      <c r="A29" s="233" t="s">
        <v>666</v>
      </c>
      <c r="B29" s="38">
        <f>SUM(HH_hh_gas_aantal,HH_rest_gas_aantal)</f>
        <v>5287</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5287</v>
      </c>
      <c r="C32" s="170">
        <f>IF(ISERROR(B32/SUM($B$32,$B$34,$B$35,$B$36,$B$38,$B$39)*100),0,B32/SUM($B$32,$B$34,$B$35,$B$36,$B$38,$B$39)*100)</f>
        <v>77.818663526641146</v>
      </c>
      <c r="D32" s="236"/>
      <c r="G32" s="16"/>
    </row>
    <row r="33" spans="1:7">
      <c r="A33" s="174" t="s">
        <v>72</v>
      </c>
      <c r="B33" s="35" t="s">
        <v>111</v>
      </c>
      <c r="C33" s="170"/>
      <c r="D33" s="236"/>
      <c r="G33" s="16"/>
    </row>
    <row r="34" spans="1:7">
      <c r="A34" s="174" t="s">
        <v>73</v>
      </c>
      <c r="B34" s="34">
        <f>IF((($B$28-$B$32-$B$39-$B$77-$B$38)*C20/100)&lt;0,0,($B$28-$B$32-$B$39-$B$77-$B$38)*C20/100)</f>
        <v>40.78378378378379</v>
      </c>
      <c r="C34" s="170">
        <f>IF(ISERROR(B34/SUM($B$32,$B$34,$B$35,$B$36,$B$38,$B$39)*100),0,B34/SUM($B$32,$B$34,$B$35,$B$36,$B$38,$B$39)*100)</f>
        <v>0.60029119493352634</v>
      </c>
      <c r="D34" s="236"/>
      <c r="G34" s="16"/>
    </row>
    <row r="35" spans="1:7">
      <c r="A35" s="174" t="s">
        <v>74</v>
      </c>
      <c r="B35" s="34">
        <f>IF((($B$28-$B$32-$B$39-$B$77-$B$38)*C21/100)&lt;0,0,($B$28-$B$32-$B$39-$B$77-$B$38)*C21/100)</f>
        <v>870.05405405405395</v>
      </c>
      <c r="C35" s="170">
        <f>IF(ISERROR(B35/SUM($B$32,$B$34,$B$35,$B$36,$B$38,$B$39)*100),0,B35/SUM($B$32,$B$34,$B$35,$B$36,$B$38,$B$39)*100)</f>
        <v>12.806212158581893</v>
      </c>
      <c r="D35" s="236"/>
      <c r="G35" s="16"/>
    </row>
    <row r="36" spans="1:7">
      <c r="A36" s="174" t="s">
        <v>75</v>
      </c>
      <c r="B36" s="34">
        <f>IF((($B$28-$B$32-$B$39-$B$77-$B$38)*C22/100)&lt;0,0,($B$28-$B$32-$B$39-$B$77-$B$38)*C22/100)</f>
        <v>95.162162162162161</v>
      </c>
      <c r="C36" s="170">
        <f>IF(ISERROR(B36/SUM($B$32,$B$34,$B$35,$B$36,$B$38,$B$39)*100),0,B36/SUM($B$32,$B$34,$B$35,$B$36,$B$38,$B$39)*100)</f>
        <v>1.4006794548448946</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501</v>
      </c>
      <c r="C39" s="170">
        <f>IF(ISERROR(B39/SUM($B$32,$B$34,$B$35,$B$36,$B$38,$B$39)*100),0,B39/SUM($B$32,$B$34,$B$35,$B$36,$B$38,$B$39)*100)</f>
        <v>7.3741536649985271</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5287</v>
      </c>
      <c r="C44" s="35" t="s">
        <v>111</v>
      </c>
      <c r="D44" s="177"/>
    </row>
    <row r="45" spans="1:7">
      <c r="A45" s="174" t="s">
        <v>72</v>
      </c>
      <c r="B45" s="34" t="str">
        <f t="shared" si="0"/>
        <v>-</v>
      </c>
      <c r="C45" s="35" t="s">
        <v>111</v>
      </c>
      <c r="D45" s="177"/>
    </row>
    <row r="46" spans="1:7">
      <c r="A46" s="174" t="s">
        <v>73</v>
      </c>
      <c r="B46" s="34">
        <f t="shared" si="0"/>
        <v>40.78378378378379</v>
      </c>
      <c r="C46" s="35" t="s">
        <v>111</v>
      </c>
      <c r="D46" s="177"/>
    </row>
    <row r="47" spans="1:7">
      <c r="A47" s="174" t="s">
        <v>74</v>
      </c>
      <c r="B47" s="34">
        <f t="shared" si="0"/>
        <v>870.05405405405395</v>
      </c>
      <c r="C47" s="35" t="s">
        <v>111</v>
      </c>
      <c r="D47" s="177"/>
    </row>
    <row r="48" spans="1:7">
      <c r="A48" s="174" t="s">
        <v>75</v>
      </c>
      <c r="B48" s="34">
        <f t="shared" si="0"/>
        <v>95.162162162162161</v>
      </c>
      <c r="C48" s="34">
        <f>B48*10</f>
        <v>951.62162162162167</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501</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37</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4</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16579.580419875951</v>
      </c>
      <c r="C5" s="18">
        <f>IF(ISERROR('Eigen informatie GS &amp; warmtenet'!B58),0,'Eigen informatie GS &amp; warmtenet'!B58)</f>
        <v>0</v>
      </c>
      <c r="D5" s="31">
        <f>SUM(D6:D12)</f>
        <v>31640.486085579749</v>
      </c>
      <c r="E5" s="18">
        <f>SUM(E6:E12)</f>
        <v>91.235261012255648</v>
      </c>
      <c r="F5" s="18">
        <f>SUM(F6:F12)</f>
        <v>3025.5641312930993</v>
      </c>
      <c r="G5" s="19"/>
      <c r="H5" s="18"/>
      <c r="I5" s="18"/>
      <c r="J5" s="18">
        <f>SUM(J6:J12)</f>
        <v>0</v>
      </c>
      <c r="K5" s="18"/>
      <c r="L5" s="18"/>
      <c r="M5" s="18"/>
      <c r="N5" s="18">
        <f>SUM(N6:N12)</f>
        <v>1127.4642212452645</v>
      </c>
      <c r="O5" s="18">
        <f>B38*B39*B40</f>
        <v>0</v>
      </c>
      <c r="P5" s="18">
        <f>B46*B47*B48/1000-B46*B47*B48/1000/B49</f>
        <v>0</v>
      </c>
      <c r="R5" s="33"/>
    </row>
    <row r="6" spans="1:18">
      <c r="A6" s="33" t="s">
        <v>54</v>
      </c>
      <c r="B6" s="38">
        <f>B26</f>
        <v>7358.8526850189401</v>
      </c>
      <c r="C6" s="34"/>
      <c r="D6" s="38">
        <f>IF(ISERROR(TER_kantoor_gas_kWh/1000),0,TER_kantoor_gas_kWh/1000)*0.902</f>
        <v>18124.381437724089</v>
      </c>
      <c r="E6" s="34">
        <f>$C$26*'E Balans VL '!I12/100/3.6*1000000</f>
        <v>12.077368717831531</v>
      </c>
      <c r="F6" s="34">
        <f>$C$26*('E Balans VL '!L12+'E Balans VL '!N12)/100/3.6*1000000</f>
        <v>867.43558716258224</v>
      </c>
      <c r="G6" s="35"/>
      <c r="H6" s="34"/>
      <c r="I6" s="34"/>
      <c r="J6" s="34">
        <f>$C$26*('E Balans VL '!D12+'E Balans VL '!E12)/100/3.6*1000000</f>
        <v>0</v>
      </c>
      <c r="K6" s="34"/>
      <c r="L6" s="34"/>
      <c r="M6" s="34"/>
      <c r="N6" s="34">
        <f>$C$26*'E Balans VL '!Y12/100/3.6*1000000</f>
        <v>1.4868213379877784</v>
      </c>
      <c r="O6" s="34"/>
      <c r="P6" s="34"/>
      <c r="R6" s="33"/>
    </row>
    <row r="7" spans="1:18">
      <c r="A7" s="33" t="s">
        <v>53</v>
      </c>
      <c r="B7" s="38">
        <f t="shared" ref="B7:B12" si="0">B27</f>
        <v>446.25302415905998</v>
      </c>
      <c r="C7" s="34"/>
      <c r="D7" s="38">
        <f>IF(ISERROR(TER_horeca_gas_kWh/1000),0,TER_horeca_gas_kWh/1000)*0.902</f>
        <v>648.07272833575064</v>
      </c>
      <c r="E7" s="34">
        <f>$C$27*'E Balans VL '!I9/100/3.6*1000000</f>
        <v>23.157302797871033</v>
      </c>
      <c r="F7" s="34">
        <f>$C$27*('E Balans VL '!L9+'E Balans VL '!N9)/100/3.6*1000000</f>
        <v>101.83526391589665</v>
      </c>
      <c r="G7" s="35"/>
      <c r="H7" s="34"/>
      <c r="I7" s="34"/>
      <c r="J7" s="34">
        <f>$C$27*('E Balans VL '!D9+'E Balans VL '!E9)/100/3.6*1000000</f>
        <v>0</v>
      </c>
      <c r="K7" s="34"/>
      <c r="L7" s="34"/>
      <c r="M7" s="34"/>
      <c r="N7" s="34">
        <f>$C$27*'E Balans VL '!Y9/100/3.6*1000000</f>
        <v>4.7124114846826416E-2</v>
      </c>
      <c r="O7" s="34"/>
      <c r="P7" s="34"/>
      <c r="R7" s="33"/>
    </row>
    <row r="8" spans="1:18">
      <c r="A8" s="6" t="s">
        <v>52</v>
      </c>
      <c r="B8" s="38">
        <f t="shared" si="0"/>
        <v>3899.7301723445898</v>
      </c>
      <c r="C8" s="34"/>
      <c r="D8" s="38">
        <f>IF(ISERROR(TER_handel_gas_kWh/1000),0,TER_handel_gas_kWh/1000)*0.902</f>
        <v>3703.4848294618855</v>
      </c>
      <c r="E8" s="34">
        <f>$C$28*'E Balans VL '!I13/100/3.6*1000000</f>
        <v>21.000526191221226</v>
      </c>
      <c r="F8" s="34">
        <f>$C$28*('E Balans VL '!L13+'E Balans VL '!N13)/100/3.6*1000000</f>
        <v>795.27087168398805</v>
      </c>
      <c r="G8" s="35"/>
      <c r="H8" s="34"/>
      <c r="I8" s="34"/>
      <c r="J8" s="34">
        <f>$C$28*('E Balans VL '!D13+'E Balans VL '!E13)/100/3.6*1000000</f>
        <v>0</v>
      </c>
      <c r="K8" s="34"/>
      <c r="L8" s="34"/>
      <c r="M8" s="34"/>
      <c r="N8" s="34">
        <f>$C$28*'E Balans VL '!Y13/100/3.6*1000000</f>
        <v>19.391298758568311</v>
      </c>
      <c r="O8" s="34"/>
      <c r="P8" s="34"/>
      <c r="R8" s="33"/>
    </row>
    <row r="9" spans="1:18">
      <c r="A9" s="33" t="s">
        <v>51</v>
      </c>
      <c r="B9" s="38">
        <f t="shared" si="0"/>
        <v>352.87490030113798</v>
      </c>
      <c r="C9" s="34"/>
      <c r="D9" s="38">
        <f>IF(ISERROR(TER_gezond_gas_kWh/1000),0,TER_gezond_gas_kWh/1000)*0.902</f>
        <v>1628.8360120482841</v>
      </c>
      <c r="E9" s="34">
        <f>$C$29*'E Balans VL '!I10/100/3.6*1000000</f>
        <v>0.34970303907518624</v>
      </c>
      <c r="F9" s="34">
        <f>$C$29*('E Balans VL '!L10+'E Balans VL '!N10)/100/3.6*1000000</f>
        <v>122.43741917570631</v>
      </c>
      <c r="G9" s="35"/>
      <c r="H9" s="34"/>
      <c r="I9" s="34"/>
      <c r="J9" s="34">
        <f>$C$29*('E Balans VL '!D10+'E Balans VL '!E10)/100/3.6*1000000</f>
        <v>0</v>
      </c>
      <c r="K9" s="34"/>
      <c r="L9" s="34"/>
      <c r="M9" s="34"/>
      <c r="N9" s="34">
        <f>$C$29*'E Balans VL '!Y10/100/3.6*1000000</f>
        <v>3.0406924464888516</v>
      </c>
      <c r="O9" s="34"/>
      <c r="P9" s="34"/>
      <c r="R9" s="33"/>
    </row>
    <row r="10" spans="1:18">
      <c r="A10" s="33" t="s">
        <v>50</v>
      </c>
      <c r="B10" s="38">
        <f t="shared" si="0"/>
        <v>1633.1123763836599</v>
      </c>
      <c r="C10" s="34"/>
      <c r="D10" s="38">
        <f>IF(ISERROR(TER_ander_gas_kWh/1000),0,TER_ander_gas_kWh/1000)*0.902</f>
        <v>1004.7771955637166</v>
      </c>
      <c r="E10" s="34">
        <f>$C$30*'E Balans VL '!I14/100/3.6*1000000</f>
        <v>13.36049141839823</v>
      </c>
      <c r="F10" s="34">
        <f>$C$30*('E Balans VL '!L14+'E Balans VL '!N14)/100/3.6*1000000</f>
        <v>477.45557209609069</v>
      </c>
      <c r="G10" s="35"/>
      <c r="H10" s="34"/>
      <c r="I10" s="34"/>
      <c r="J10" s="34">
        <f>$C$30*('E Balans VL '!D14+'E Balans VL '!E14)/100/3.6*1000000</f>
        <v>0</v>
      </c>
      <c r="K10" s="34"/>
      <c r="L10" s="34"/>
      <c r="M10" s="34"/>
      <c r="N10" s="34">
        <f>$C$30*'E Balans VL '!Y14/100/3.6*1000000</f>
        <v>942.09155872391682</v>
      </c>
      <c r="O10" s="34"/>
      <c r="P10" s="34"/>
      <c r="R10" s="33"/>
    </row>
    <row r="11" spans="1:18">
      <c r="A11" s="33" t="s">
        <v>55</v>
      </c>
      <c r="B11" s="38">
        <f t="shared" si="0"/>
        <v>457.37610868883201</v>
      </c>
      <c r="C11" s="34"/>
      <c r="D11" s="38">
        <f>IF(ISERROR(TER_onderwijs_gas_kWh/1000),0,TER_onderwijs_gas_kWh/1000)*0.902</f>
        <v>1842.2114739280678</v>
      </c>
      <c r="E11" s="34">
        <f>$C$31*'E Balans VL '!I11/100/3.6*1000000</f>
        <v>0.28190733478176899</v>
      </c>
      <c r="F11" s="34">
        <f>$C$31*('E Balans VL '!L11+'E Balans VL '!N11)/100/3.6*1000000</f>
        <v>176.82901067393516</v>
      </c>
      <c r="G11" s="35"/>
      <c r="H11" s="34"/>
      <c r="I11" s="34"/>
      <c r="J11" s="34">
        <f>$C$31*('E Balans VL '!D11+'E Balans VL '!E11)/100/3.6*1000000</f>
        <v>0</v>
      </c>
      <c r="K11" s="34"/>
      <c r="L11" s="34"/>
      <c r="M11" s="34"/>
      <c r="N11" s="34">
        <f>$C$31*'E Balans VL '!Y11/100/3.6*1000000</f>
        <v>1.4877464679574104</v>
      </c>
      <c r="O11" s="34"/>
      <c r="P11" s="34"/>
      <c r="R11" s="33"/>
    </row>
    <row r="12" spans="1:18">
      <c r="A12" s="33" t="s">
        <v>260</v>
      </c>
      <c r="B12" s="38">
        <f t="shared" si="0"/>
        <v>2431.3811529797304</v>
      </c>
      <c r="C12" s="34"/>
      <c r="D12" s="38">
        <f>IF(ISERROR(TER_rest_gas_kWh/1000),0,TER_rest_gas_kWh/1000)*0.902</f>
        <v>4688.7224085179523</v>
      </c>
      <c r="E12" s="34">
        <f>$C$32*'E Balans VL '!I8/100/3.6*1000000</f>
        <v>21.007961513076683</v>
      </c>
      <c r="F12" s="34">
        <f>$C$32*('E Balans VL '!L8+'E Balans VL '!N8)/100/3.6*1000000</f>
        <v>484.30040658490014</v>
      </c>
      <c r="G12" s="35"/>
      <c r="H12" s="34"/>
      <c r="I12" s="34"/>
      <c r="J12" s="34">
        <f>$C$32*('E Balans VL '!D8+'E Balans VL '!E8)/100/3.6*1000000</f>
        <v>0</v>
      </c>
      <c r="K12" s="34"/>
      <c r="L12" s="34"/>
      <c r="M12" s="34"/>
      <c r="N12" s="34">
        <f>$C$32*'E Balans VL '!Y8/100/3.6*1000000</f>
        <v>159.91897939549835</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16579.580419875951</v>
      </c>
      <c r="C16" s="22">
        <f t="shared" ca="1" si="1"/>
        <v>0</v>
      </c>
      <c r="D16" s="22">
        <f t="shared" ca="1" si="1"/>
        <v>31640.486085579749</v>
      </c>
      <c r="E16" s="22">
        <f t="shared" si="1"/>
        <v>91.235261012255648</v>
      </c>
      <c r="F16" s="22">
        <f t="shared" ca="1" si="1"/>
        <v>3025.5641312930993</v>
      </c>
      <c r="G16" s="22">
        <f t="shared" si="1"/>
        <v>0</v>
      </c>
      <c r="H16" s="22">
        <f t="shared" si="1"/>
        <v>0</v>
      </c>
      <c r="I16" s="22">
        <f t="shared" si="1"/>
        <v>0</v>
      </c>
      <c r="J16" s="22">
        <f t="shared" si="1"/>
        <v>0</v>
      </c>
      <c r="K16" s="22">
        <f t="shared" si="1"/>
        <v>0</v>
      </c>
      <c r="L16" s="22">
        <f t="shared" ca="1" si="1"/>
        <v>0</v>
      </c>
      <c r="M16" s="22">
        <f t="shared" si="1"/>
        <v>0</v>
      </c>
      <c r="N16" s="22">
        <f t="shared" ca="1" si="1"/>
        <v>1127.4642212452645</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0.21714185841101508</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3600.1209040467415</v>
      </c>
      <c r="C20" s="24">
        <f t="shared" ref="C20:P20" ca="1" si="2">C16*C18</f>
        <v>0</v>
      </c>
      <c r="D20" s="24">
        <f t="shared" ca="1" si="2"/>
        <v>6391.3781892871093</v>
      </c>
      <c r="E20" s="24">
        <f t="shared" si="2"/>
        <v>20.710404249782034</v>
      </c>
      <c r="F20" s="24">
        <f t="shared" ca="1" si="2"/>
        <v>807.82562305525755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7358.8526850189401</v>
      </c>
      <c r="C26" s="40">
        <f>IF(ISERROR(B26*3.6/1000000/'E Balans VL '!Z12*100),0,B26*3.6/1000000/'E Balans VL '!Z12*100)</f>
        <v>0.15637034229494604</v>
      </c>
      <c r="D26" s="240" t="s">
        <v>707</v>
      </c>
      <c r="F26" s="6"/>
    </row>
    <row r="27" spans="1:18">
      <c r="A27" s="234" t="s">
        <v>53</v>
      </c>
      <c r="B27" s="34">
        <f>IF(ISERROR(TER_horeca_ele_kWh/1000),0,TER_horeca_ele_kWh/1000)</f>
        <v>446.25302415905998</v>
      </c>
      <c r="C27" s="40">
        <f>IF(ISERROR(B27*3.6/1000000/'E Balans VL '!Z9*100),0,B27*3.6/1000000/'E Balans VL '!Z9*100)</f>
        <v>3.5123563860988638E-2</v>
      </c>
      <c r="D27" s="240" t="s">
        <v>707</v>
      </c>
      <c r="F27" s="6"/>
    </row>
    <row r="28" spans="1:18">
      <c r="A28" s="174" t="s">
        <v>52</v>
      </c>
      <c r="B28" s="34">
        <f>IF(ISERROR(TER_handel_ele_kWh/1000),0,TER_handel_ele_kWh/1000)</f>
        <v>3899.7301723445898</v>
      </c>
      <c r="C28" s="40">
        <f>IF(ISERROR(B28*3.6/1000000/'E Balans VL '!Z13*100),0,B28*3.6/1000000/'E Balans VL '!Z13*100)</f>
        <v>0.10923352918056396</v>
      </c>
      <c r="D28" s="240" t="s">
        <v>707</v>
      </c>
      <c r="F28" s="6"/>
    </row>
    <row r="29" spans="1:18">
      <c r="A29" s="234" t="s">
        <v>51</v>
      </c>
      <c r="B29" s="34">
        <f>IF(ISERROR(TER_gezond_ele_kWh/1000),0,TER_gezond_ele_kWh/1000)</f>
        <v>352.87490030113798</v>
      </c>
      <c r="C29" s="40">
        <f>IF(ISERROR(B29*3.6/1000000/'E Balans VL '!Z10*100),0,B29*3.6/1000000/'E Balans VL '!Z10*100)</f>
        <v>4.5143370255752463E-2</v>
      </c>
      <c r="D29" s="240" t="s">
        <v>707</v>
      </c>
      <c r="F29" s="6"/>
    </row>
    <row r="30" spans="1:18">
      <c r="A30" s="234" t="s">
        <v>50</v>
      </c>
      <c r="B30" s="34">
        <f>IF(ISERROR(TER_ander_ele_kWh/1000),0,TER_ander_ele_kWh/1000)</f>
        <v>1633.1123763836599</v>
      </c>
      <c r="C30" s="40">
        <f>IF(ISERROR(B30*3.6/1000000/'E Balans VL '!Z14*100),0,B30*3.6/1000000/'E Balans VL '!Z14*100)</f>
        <v>0.1221430449082275</v>
      </c>
      <c r="D30" s="240" t="s">
        <v>707</v>
      </c>
      <c r="F30" s="6"/>
    </row>
    <row r="31" spans="1:18">
      <c r="A31" s="234" t="s">
        <v>55</v>
      </c>
      <c r="B31" s="34">
        <f>IF(ISERROR(TER_onderwijs_ele_kWh/1000),0,TER_onderwijs_ele_kWh/1000)</f>
        <v>457.37610868883201</v>
      </c>
      <c r="C31" s="40">
        <f>IF(ISERROR(B31*3.6/1000000/'E Balans VL '!Z11*100),0,B31*3.6/1000000/'E Balans VL '!Z11*100)</f>
        <v>9.6575557803142517E-2</v>
      </c>
      <c r="D31" s="240" t="s">
        <v>707</v>
      </c>
    </row>
    <row r="32" spans="1:18">
      <c r="A32" s="234" t="s">
        <v>260</v>
      </c>
      <c r="B32" s="34">
        <f>IF(ISERROR(TER_rest_ele_kWh/1000),0,TER_rest_ele_kWh/1000)</f>
        <v>2431.3811529797304</v>
      </c>
      <c r="C32" s="40">
        <f>IF(ISERROR(B32*3.6/1000000/'E Balans VL '!Z8*100),0,B32*3.6/1000000/'E Balans VL '!Z8*100)</f>
        <v>2.0029552763437385E-2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1593.3971269582048</v>
      </c>
      <c r="C5" s="18">
        <f>IF(ISERROR('Eigen informatie GS &amp; warmtenet'!B59),0,'Eigen informatie GS &amp; warmtenet'!B59)</f>
        <v>0</v>
      </c>
      <c r="D5" s="31">
        <f>SUM(D6:D15)</f>
        <v>2545.4027399654747</v>
      </c>
      <c r="E5" s="18">
        <f>SUM(E6:E15)</f>
        <v>13.286608191204021</v>
      </c>
      <c r="F5" s="18">
        <f>SUM(F6:F15)</f>
        <v>690.11573658593045</v>
      </c>
      <c r="G5" s="19"/>
      <c r="H5" s="18"/>
      <c r="I5" s="18"/>
      <c r="J5" s="18">
        <f>SUM(J6:J15)</f>
        <v>4.6228529657696527</v>
      </c>
      <c r="K5" s="18"/>
      <c r="L5" s="18"/>
      <c r="M5" s="18"/>
      <c r="N5" s="18">
        <f>SUM(N6:N15)</f>
        <v>88.386543725792535</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43.834000000000003</v>
      </c>
      <c r="C8" s="34"/>
      <c r="D8" s="38">
        <f>IF( ISERROR(IND_metaal_Gas_kWH/1000),0,IND_metaal_Gas_kWH/1000)*0.902</f>
        <v>0</v>
      </c>
      <c r="E8" s="34">
        <f>C30*'E Balans VL '!I18/100/3.6*1000000</f>
        <v>0.39918833857165581</v>
      </c>
      <c r="F8" s="34">
        <f>C30*'E Balans VL '!L18/100/3.6*1000000+C30*'E Balans VL '!N18/100/3.6*1000000</f>
        <v>5.7813717188865876</v>
      </c>
      <c r="G8" s="35"/>
      <c r="H8" s="34"/>
      <c r="I8" s="34"/>
      <c r="J8" s="41">
        <f>C30*'E Balans VL '!D18/100/3.6*1000000+C30*'E Balans VL '!E18/100/3.6*1000000</f>
        <v>0.71881395532377623</v>
      </c>
      <c r="K8" s="34"/>
      <c r="L8" s="34"/>
      <c r="M8" s="34"/>
      <c r="N8" s="34">
        <f>C30*'E Balans VL '!Y18/100/3.6*1000000</f>
        <v>0.15064004498816774</v>
      </c>
      <c r="O8" s="34"/>
      <c r="P8" s="34"/>
      <c r="R8" s="33"/>
    </row>
    <row r="9" spans="1:18">
      <c r="A9" s="6" t="s">
        <v>33</v>
      </c>
      <c r="B9" s="38">
        <f t="shared" si="0"/>
        <v>649.47853004932995</v>
      </c>
      <c r="C9" s="34"/>
      <c r="D9" s="38">
        <f>IF( ISERROR(IND_andere_gas_kWh/1000),0,IND_andere_gas_kWh/1000)*0.902</f>
        <v>1822.2072114337352</v>
      </c>
      <c r="E9" s="34">
        <f>C31*'E Balans VL '!I19/100/3.6*1000000</f>
        <v>3.7540829602236077</v>
      </c>
      <c r="F9" s="34">
        <f>C31*'E Balans VL '!L19/100/3.6*1000000+C31*'E Balans VL '!N19/100/3.6*1000000</f>
        <v>516.69142232443392</v>
      </c>
      <c r="G9" s="35"/>
      <c r="H9" s="34"/>
      <c r="I9" s="34"/>
      <c r="J9" s="41">
        <f>C31*'E Balans VL '!D19/100/3.6*1000000+C31*'E Balans VL '!E19/100/3.6*1000000</f>
        <v>6.1433454739488455E-2</v>
      </c>
      <c r="K9" s="34"/>
      <c r="L9" s="34"/>
      <c r="M9" s="34"/>
      <c r="N9" s="34">
        <f>C31*'E Balans VL '!Y19/100/3.6*1000000</f>
        <v>49.207827409384578</v>
      </c>
      <c r="O9" s="34"/>
      <c r="P9" s="34"/>
      <c r="R9" s="33"/>
    </row>
    <row r="10" spans="1:18">
      <c r="A10" s="6" t="s">
        <v>41</v>
      </c>
      <c r="B10" s="38">
        <f t="shared" si="0"/>
        <v>97.642849066292797</v>
      </c>
      <c r="C10" s="34"/>
      <c r="D10" s="38">
        <f>IF( ISERROR(IND_voed_gas_kWh/1000),0,IND_voed_gas_kWh/1000)*0.902</f>
        <v>211.09295173991538</v>
      </c>
      <c r="E10" s="34">
        <f>C32*'E Balans VL '!I20/100/3.6*1000000</f>
        <v>0.96008465478961502</v>
      </c>
      <c r="F10" s="34">
        <f>C32*'E Balans VL '!L20/100/3.6*1000000+C32*'E Balans VL '!N20/100/3.6*1000000</f>
        <v>10.844512886198061</v>
      </c>
      <c r="G10" s="35"/>
      <c r="H10" s="34"/>
      <c r="I10" s="34"/>
      <c r="J10" s="41">
        <f>C32*'E Balans VL '!D20/100/3.6*1000000+C32*'E Balans VL '!E20/100/3.6*1000000</f>
        <v>3.8485479535646717E-4</v>
      </c>
      <c r="K10" s="34"/>
      <c r="L10" s="34"/>
      <c r="M10" s="34"/>
      <c r="N10" s="34">
        <f>C32*'E Balans VL '!Y20/100/3.6*1000000</f>
        <v>1.4458609144807255</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38.393999999999998</v>
      </c>
      <c r="C13" s="34"/>
      <c r="D13" s="38">
        <f>IF( ISERROR(IND_papier_gas_kWh/1000),0,IND_papier_gas_kWh/1000)*0.902</f>
        <v>209.72848780927112</v>
      </c>
      <c r="E13" s="34">
        <f>C35*'E Balans VL '!I23/100/3.6*1000000</f>
        <v>1.3077553077009438</v>
      </c>
      <c r="F13" s="34">
        <f>C35*'E Balans VL '!L23/100/3.6*1000000+C35*'E Balans VL '!N23/100/3.6*1000000</f>
        <v>6.3417877122164263</v>
      </c>
      <c r="G13" s="35"/>
      <c r="H13" s="34"/>
      <c r="I13" s="34"/>
      <c r="J13" s="41">
        <f>C35*'E Balans VL '!D23/100/3.6*1000000+C35*'E Balans VL '!E23/100/3.6*1000000</f>
        <v>0</v>
      </c>
      <c r="K13" s="34"/>
      <c r="L13" s="34"/>
      <c r="M13" s="34"/>
      <c r="N13" s="34">
        <f>C35*'E Balans VL '!Y23/100/3.6*1000000</f>
        <v>14.12796235273831</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764.047747842582</v>
      </c>
      <c r="C15" s="34"/>
      <c r="D15" s="38">
        <f>IF( ISERROR(IND_rest_gas_kWh/1000),0,IND_rest_gas_kWh/1000)*0.902</f>
        <v>302.37408898255291</v>
      </c>
      <c r="E15" s="34">
        <f>C37*'E Balans VL '!I15/100/3.6*1000000</f>
        <v>6.8654969299181987</v>
      </c>
      <c r="F15" s="34">
        <f>C37*'E Balans VL '!L15/100/3.6*1000000+C37*'E Balans VL '!N15/100/3.6*1000000</f>
        <v>150.45664194419555</v>
      </c>
      <c r="G15" s="35"/>
      <c r="H15" s="34"/>
      <c r="I15" s="34"/>
      <c r="J15" s="41">
        <f>C37*'E Balans VL '!D15/100/3.6*1000000+C37*'E Balans VL '!E15/100/3.6*1000000</f>
        <v>3.8422207009110316</v>
      </c>
      <c r="K15" s="34"/>
      <c r="L15" s="34"/>
      <c r="M15" s="34"/>
      <c r="N15" s="34">
        <f>C37*'E Balans VL '!Y15/100/3.6*1000000</f>
        <v>23.454253004200744</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1593.3971269582048</v>
      </c>
      <c r="C18" s="22">
        <f>C5+C16</f>
        <v>0</v>
      </c>
      <c r="D18" s="22">
        <f>MAX((D5+D16),0)</f>
        <v>2545.4027399654747</v>
      </c>
      <c r="E18" s="22">
        <f>MAX((E5+E16),0)</f>
        <v>13.286608191204021</v>
      </c>
      <c r="F18" s="22">
        <f>MAX((F5+F16),0)</f>
        <v>690.11573658593045</v>
      </c>
      <c r="G18" s="22"/>
      <c r="H18" s="22"/>
      <c r="I18" s="22"/>
      <c r="J18" s="22">
        <f>MAX((J5+J16),0)</f>
        <v>4.6228529657696527</v>
      </c>
      <c r="K18" s="22"/>
      <c r="L18" s="22">
        <f>MAX((L5+L16),0)</f>
        <v>0</v>
      </c>
      <c r="M18" s="22"/>
      <c r="N18" s="22">
        <f>MAX((N5+N16),0)</f>
        <v>88.386543725792535</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0.21714185841101508</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345.99321333447671</v>
      </c>
      <c r="C22" s="24">
        <f ca="1">C18*C20</f>
        <v>0</v>
      </c>
      <c r="D22" s="24">
        <f>D18*D20</f>
        <v>514.17135347302587</v>
      </c>
      <c r="E22" s="24">
        <f>E18*E20</f>
        <v>3.0160600594033129</v>
      </c>
      <c r="F22" s="24">
        <f>F18*F20</f>
        <v>184.26090166844344</v>
      </c>
      <c r="G22" s="24"/>
      <c r="H22" s="24"/>
      <c r="I22" s="24"/>
      <c r="J22" s="24">
        <f>J18*J20</f>
        <v>1.636489949882457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43.834000000000003</v>
      </c>
      <c r="C30" s="40">
        <f>IF(ISERROR(B30*3.6/1000000/'E Balans VL '!Z18*100),0,B30*3.6/1000000/'E Balans VL '!Z18*100)</f>
        <v>2.4390689845568544E-3</v>
      </c>
      <c r="D30" s="240" t="s">
        <v>707</v>
      </c>
    </row>
    <row r="31" spans="1:18">
      <c r="A31" s="6" t="s">
        <v>33</v>
      </c>
      <c r="B31" s="38">
        <f>IF( ISERROR(IND_ander_ele_kWh/1000),0,IND_ander_ele_kWh/1000)</f>
        <v>649.47853004932995</v>
      </c>
      <c r="C31" s="40">
        <f>IF(ISERROR(B31*3.6/1000000/'E Balans VL '!Z19*100),0,B31*3.6/1000000/'E Balans VL '!Z19*100)</f>
        <v>3.0192551134765662E-2</v>
      </c>
      <c r="D31" s="240" t="s">
        <v>707</v>
      </c>
    </row>
    <row r="32" spans="1:18">
      <c r="A32" s="174" t="s">
        <v>41</v>
      </c>
      <c r="B32" s="38">
        <f>IF( ISERROR(IND_voed_ele_kWh/1000),0,IND_voed_ele_kWh/1000)</f>
        <v>97.642849066292797</v>
      </c>
      <c r="C32" s="40">
        <f>IF(ISERROR(B32*3.6/1000000/'E Balans VL '!Z20*100),0,B32*3.6/1000000/'E Balans VL '!Z20*100)</f>
        <v>3.4514775164083363E-3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38.393999999999998</v>
      </c>
      <c r="C35" s="40">
        <f>IF(ISERROR(B35*3.6/1000000/'E Balans VL '!Z22*100),0,B35*3.6/1000000/'E Balans VL '!Z22*100)</f>
        <v>7.7161113257771747E-3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764.047747842582</v>
      </c>
      <c r="C37" s="40">
        <f>IF(ISERROR(B37*3.6/1000000/'E Balans VL '!Z15*100),0,B37*3.6/1000000/'E Balans VL '!Z15*100)</f>
        <v>5.769689165406734E-3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65.63769477775439</v>
      </c>
      <c r="C5" s="18">
        <f>'Eigen informatie GS &amp; warmtenet'!B60</f>
        <v>0</v>
      </c>
      <c r="D5" s="31">
        <f>IF(ISERROR(SUM(LB_lb_gas_kWh,LB_rest_gas_kWh)/1000),0,SUM(LB_lb_gas_kWh,LB_rest_gas_kWh)/1000)*0.902</f>
        <v>23.070765599654575</v>
      </c>
      <c r="E5" s="18">
        <f>B17*'E Balans VL '!I25/3.6*1000000/100</f>
        <v>0.61835106350458513</v>
      </c>
      <c r="F5" s="18">
        <f>B17*('E Balans VL '!L25/3.6*1000000+'E Balans VL '!N25/3.6*1000000)/100</f>
        <v>214.19758129763434</v>
      </c>
      <c r="G5" s="19"/>
      <c r="H5" s="18"/>
      <c r="I5" s="18"/>
      <c r="J5" s="18">
        <f>('E Balans VL '!D25+'E Balans VL '!E25)/3.6*1000000*landbouw!B17/100</f>
        <v>8.1197021056942909</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65.63769477775439</v>
      </c>
      <c r="C8" s="22">
        <f>C5+C6</f>
        <v>0</v>
      </c>
      <c r="D8" s="22">
        <f>MAX((D5+D6),0)</f>
        <v>23.070765599654575</v>
      </c>
      <c r="E8" s="22">
        <f>MAX((E5+E6),0)</f>
        <v>0.61835106350458513</v>
      </c>
      <c r="F8" s="22">
        <f>MAX((F5+F6),0)</f>
        <v>214.19758129763434</v>
      </c>
      <c r="G8" s="22"/>
      <c r="H8" s="22"/>
      <c r="I8" s="22"/>
      <c r="J8" s="22">
        <f>MAX((J5+J6),0)</f>
        <v>8.1197021056942909</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0.21714185841101508</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14.252691025856567</v>
      </c>
      <c r="C12" s="24">
        <f ca="1">C8*C10</f>
        <v>0</v>
      </c>
      <c r="D12" s="24">
        <f>D8*D10</f>
        <v>4.6602946511302248</v>
      </c>
      <c r="E12" s="24">
        <f>E8*E10</f>
        <v>0.14036569141554084</v>
      </c>
      <c r="F12" s="24">
        <f>F8*F10</f>
        <v>57.19075420646837</v>
      </c>
      <c r="G12" s="24"/>
      <c r="H12" s="24"/>
      <c r="I12" s="24"/>
      <c r="J12" s="24">
        <f>J8*J10</f>
        <v>2.8743745454157787</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8.8862950160741722E-3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48.336982738277563</v>
      </c>
      <c r="C26" s="250">
        <f>B26*'GWP N2O_CH4'!B5</f>
        <v>1015.0766375038288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5.5555877150537736</v>
      </c>
      <c r="C27" s="250">
        <f>B27*'GWP N2O_CH4'!B5</f>
        <v>116.66734201612924</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0.65775471395976248</v>
      </c>
      <c r="C28" s="250">
        <f>B28*'GWP N2O_CH4'!B4</f>
        <v>203.90396132752636</v>
      </c>
      <c r="D28" s="51"/>
    </row>
    <row r="29" spans="1:4">
      <c r="A29" s="42" t="s">
        <v>277</v>
      </c>
      <c r="B29" s="250">
        <f>B34*'ha_N2O bodem landbouw'!B4</f>
        <v>2.327483968447277</v>
      </c>
      <c r="C29" s="250">
        <f>B29*'GWP N2O_CH4'!B4</f>
        <v>721.52003021865585</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6.2834740166437615E-4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8.0282380833686531E-6</v>
      </c>
      <c r="C5" s="447" t="s">
        <v>211</v>
      </c>
      <c r="D5" s="432">
        <f>SUM(D6:D11)</f>
        <v>2.8901890841974413E-5</v>
      </c>
      <c r="E5" s="432">
        <f>SUM(E6:E11)</f>
        <v>1.6103210337172489E-3</v>
      </c>
      <c r="F5" s="445" t="s">
        <v>211</v>
      </c>
      <c r="G5" s="432">
        <f>SUM(G6:G11)</f>
        <v>0.2402701857730645</v>
      </c>
      <c r="H5" s="432">
        <f>SUM(H6:H11)</f>
        <v>6.2909711040344513E-2</v>
      </c>
      <c r="I5" s="447" t="s">
        <v>211</v>
      </c>
      <c r="J5" s="447" t="s">
        <v>211</v>
      </c>
      <c r="K5" s="447" t="s">
        <v>211</v>
      </c>
      <c r="L5" s="447" t="s">
        <v>211</v>
      </c>
      <c r="M5" s="432">
        <f>SUM(M6:M11)</f>
        <v>1.3576898464088681E-2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3.2345322517099905E-6</v>
      </c>
      <c r="C6" s="433"/>
      <c r="D6" s="433">
        <f>vkm_2011_GW_PW*SUMIFS(TableVerdeelsleutelVkm[CNG],TableVerdeelsleutelVkm[Voertuigtype],"Lichte voertuigen")*SUMIFS(TableECFTransport[EnergieConsumptieFactor (PJ per km)],TableECFTransport[Index],CONCATENATE($A6,"_CNG_CNG"))</f>
        <v>7.8987819277317254E-6</v>
      </c>
      <c r="E6" s="435">
        <f>vkm_2011_GW_PW*SUMIFS(TableVerdeelsleutelVkm[LPG],TableVerdeelsleutelVkm[Voertuigtype],"Lichte voertuigen")*SUMIFS(TableECFTransport[EnergieConsumptieFactor (PJ per km)],TableECFTransport[Index],CONCATENATE($A6,"_LPG_LPG"))</f>
        <v>4.6819897286869009E-4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6.7683669175731168E-2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1.7737945175163847E-2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3.8253372041845788E-3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2.6706458705407538E-3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1.0775014890323967E-6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1.1897644724054392E-4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4.793705831658663E-6</v>
      </c>
      <c r="C8" s="433"/>
      <c r="D8" s="435">
        <f>vkm_2011_NGW_PW*SUMIFS(TableVerdeelsleutelVkm[CNG],TableVerdeelsleutelVkm[Voertuigtype],"Lichte voertuigen")*SUMIFS(TableECFTransport[EnergieConsumptieFactor (PJ per km)],TableECFTransport[Index],CONCATENATE($A8,"_CNG_CNG"))</f>
        <v>2.1003108914242688E-5</v>
      </c>
      <c r="E8" s="435">
        <f>vkm_2011_NGW_PW*SUMIFS(TableVerdeelsleutelVkm[LPG],TableVerdeelsleutelVkm[Voertuigtype],"Lichte voertuigen")*SUMIFS(TableECFTransport[EnergieConsumptieFactor (PJ per km)],TableECFTransport[Index],CONCATENATE($A8,"_LPG_LPG"))</f>
        <v>1.1421220608485588E-3</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0.15597426868514869</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4.5165790794218827E-2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9.0115240215916468E-3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1.3941602041643885E-2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4.8975694728087552E-6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6.2106079107191326E-4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2.2300661342690704</v>
      </c>
      <c r="C14" s="22"/>
      <c r="D14" s="22">
        <f t="shared" ref="D14:M14" si="0">((D5)*10^9/3600)+D12</f>
        <v>8.0283030116595597</v>
      </c>
      <c r="E14" s="22">
        <f t="shared" si="0"/>
        <v>447.31139825479136</v>
      </c>
      <c r="F14" s="22"/>
      <c r="G14" s="22">
        <f t="shared" si="0"/>
        <v>66741.718270295692</v>
      </c>
      <c r="H14" s="22">
        <f t="shared" si="0"/>
        <v>17474.919733429033</v>
      </c>
      <c r="I14" s="22"/>
      <c r="J14" s="22"/>
      <c r="K14" s="22"/>
      <c r="L14" s="22"/>
      <c r="M14" s="22">
        <f t="shared" si="0"/>
        <v>3771.360684469078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0.21714185841101508</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0.4842407047746542</v>
      </c>
      <c r="C18" s="24"/>
      <c r="D18" s="24">
        <f t="shared" ref="D18:M18" si="1">D14*D16</f>
        <v>1.6217172083552311</v>
      </c>
      <c r="E18" s="24">
        <f t="shared" si="1"/>
        <v>101.53968740383765</v>
      </c>
      <c r="F18" s="24"/>
      <c r="G18" s="24">
        <f t="shared" si="1"/>
        <v>17820.03877816895</v>
      </c>
      <c r="H18" s="24">
        <f t="shared" si="1"/>
        <v>4351.2550136238287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6.6022834262636065E-3</v>
      </c>
      <c r="H50" s="323">
        <f t="shared" si="2"/>
        <v>0</v>
      </c>
      <c r="I50" s="323">
        <f t="shared" si="2"/>
        <v>0</v>
      </c>
      <c r="J50" s="323">
        <f t="shared" si="2"/>
        <v>0</v>
      </c>
      <c r="K50" s="323">
        <f t="shared" si="2"/>
        <v>0</v>
      </c>
      <c r="L50" s="323">
        <f t="shared" si="2"/>
        <v>0</v>
      </c>
      <c r="M50" s="323">
        <f t="shared" si="2"/>
        <v>2.8991715639499976E-4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6.6022834262636065E-3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2.8991715639499976E-4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1833.9676184065572</v>
      </c>
      <c r="H54" s="22">
        <f t="shared" si="3"/>
        <v>0</v>
      </c>
      <c r="I54" s="22">
        <f t="shared" si="3"/>
        <v>0</v>
      </c>
      <c r="J54" s="22">
        <f t="shared" si="3"/>
        <v>0</v>
      </c>
      <c r="K54" s="22">
        <f t="shared" si="3"/>
        <v>0</v>
      </c>
      <c r="L54" s="22">
        <f t="shared" si="3"/>
        <v>0</v>
      </c>
      <c r="M54" s="22">
        <f t="shared" si="3"/>
        <v>80.532543443055488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0.21714185841101508</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489.6693541145508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17794.122419875952</v>
      </c>
      <c r="D10" s="688">
        <f ca="1">tertiair!C16</f>
        <v>0</v>
      </c>
      <c r="E10" s="688">
        <f ca="1">tertiair!D16</f>
        <v>31640.486085579749</v>
      </c>
      <c r="F10" s="688">
        <f>tertiair!E16</f>
        <v>91.235261012255648</v>
      </c>
      <c r="G10" s="688">
        <f ca="1">tertiair!F16</f>
        <v>3025.5641312930993</v>
      </c>
      <c r="H10" s="688">
        <f>tertiair!G16</f>
        <v>0</v>
      </c>
      <c r="I10" s="688">
        <f>tertiair!H16</f>
        <v>0</v>
      </c>
      <c r="J10" s="688">
        <f>tertiair!I16</f>
        <v>0</v>
      </c>
      <c r="K10" s="688">
        <f>tertiair!J16</f>
        <v>0</v>
      </c>
      <c r="L10" s="688">
        <f>tertiair!K16</f>
        <v>0</v>
      </c>
      <c r="M10" s="688">
        <f ca="1">tertiair!L16</f>
        <v>0</v>
      </c>
      <c r="N10" s="688">
        <f>tertiair!M16</f>
        <v>0</v>
      </c>
      <c r="O10" s="688">
        <f ca="1">tertiair!N16</f>
        <v>1127.4642212452645</v>
      </c>
      <c r="P10" s="688">
        <f>tertiair!O16</f>
        <v>0</v>
      </c>
      <c r="Q10" s="689">
        <f>tertiair!P16</f>
        <v>0</v>
      </c>
      <c r="R10" s="691">
        <f ca="1">SUM(C10:Q10)</f>
        <v>53678.872119006322</v>
      </c>
      <c r="S10" s="68"/>
    </row>
    <row r="11" spans="1:19" s="457" customFormat="1">
      <c r="A11" s="803" t="s">
        <v>225</v>
      </c>
      <c r="B11" s="808"/>
      <c r="C11" s="688">
        <f>huishoudens!B8</f>
        <v>36318.411232315055</v>
      </c>
      <c r="D11" s="688">
        <f>huishoudens!C8</f>
        <v>0</v>
      </c>
      <c r="E11" s="688">
        <f>huishoudens!D8</f>
        <v>140253.37049914096</v>
      </c>
      <c r="F11" s="688">
        <f>huishoudens!E8</f>
        <v>898.72899673356096</v>
      </c>
      <c r="G11" s="688">
        <f>huishoudens!F8</f>
        <v>9889.6820291081785</v>
      </c>
      <c r="H11" s="688">
        <f>huishoudens!G8</f>
        <v>0</v>
      </c>
      <c r="I11" s="688">
        <f>huishoudens!H8</f>
        <v>0</v>
      </c>
      <c r="J11" s="688">
        <f>huishoudens!I8</f>
        <v>0</v>
      </c>
      <c r="K11" s="688">
        <f>huishoudens!J8</f>
        <v>0</v>
      </c>
      <c r="L11" s="688">
        <f>huishoudens!K8</f>
        <v>0</v>
      </c>
      <c r="M11" s="688">
        <f>huishoudens!L8</f>
        <v>0</v>
      </c>
      <c r="N11" s="688">
        <f>huishoudens!M8</f>
        <v>0</v>
      </c>
      <c r="O11" s="688">
        <f>huishoudens!N8</f>
        <v>6810.2079585185784</v>
      </c>
      <c r="P11" s="688">
        <f>huishoudens!O8</f>
        <v>57.843333333333334</v>
      </c>
      <c r="Q11" s="689">
        <f>huishoudens!P8</f>
        <v>76.266666666666666</v>
      </c>
      <c r="R11" s="691">
        <f>SUM(C11:Q11)</f>
        <v>194304.51071581632</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1593.3971269582048</v>
      </c>
      <c r="D13" s="688">
        <f>industrie!C18</f>
        <v>0</v>
      </c>
      <c r="E13" s="688">
        <f>industrie!D18</f>
        <v>2545.4027399654747</v>
      </c>
      <c r="F13" s="688">
        <f>industrie!E18</f>
        <v>13.286608191204021</v>
      </c>
      <c r="G13" s="688">
        <f>industrie!F18</f>
        <v>690.11573658593045</v>
      </c>
      <c r="H13" s="688">
        <f>industrie!G18</f>
        <v>0</v>
      </c>
      <c r="I13" s="688">
        <f>industrie!H18</f>
        <v>0</v>
      </c>
      <c r="J13" s="688">
        <f>industrie!I18</f>
        <v>0</v>
      </c>
      <c r="K13" s="688">
        <f>industrie!J18</f>
        <v>4.6228529657696527</v>
      </c>
      <c r="L13" s="688">
        <f>industrie!K18</f>
        <v>0</v>
      </c>
      <c r="M13" s="688">
        <f>industrie!L18</f>
        <v>0</v>
      </c>
      <c r="N13" s="688">
        <f>industrie!M18</f>
        <v>0</v>
      </c>
      <c r="O13" s="688">
        <f>industrie!N18</f>
        <v>88.386543725792535</v>
      </c>
      <c r="P13" s="688">
        <f>industrie!O18</f>
        <v>0</v>
      </c>
      <c r="Q13" s="689">
        <f>industrie!P18</f>
        <v>0</v>
      </c>
      <c r="R13" s="691">
        <f>SUM(C13:Q13)</f>
        <v>4935.2116083923765</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55705.93077914921</v>
      </c>
      <c r="D16" s="721">
        <f t="shared" ref="D16:R16" ca="1" si="0">SUM(D9:D15)</f>
        <v>0</v>
      </c>
      <c r="E16" s="721">
        <f t="shared" ca="1" si="0"/>
        <v>174439.25932468619</v>
      </c>
      <c r="F16" s="721">
        <f t="shared" si="0"/>
        <v>1003.2508659370206</v>
      </c>
      <c r="G16" s="721">
        <f t="shared" ca="1" si="0"/>
        <v>13605.36189698721</v>
      </c>
      <c r="H16" s="721">
        <f t="shared" si="0"/>
        <v>0</v>
      </c>
      <c r="I16" s="721">
        <f t="shared" si="0"/>
        <v>0</v>
      </c>
      <c r="J16" s="721">
        <f t="shared" si="0"/>
        <v>0</v>
      </c>
      <c r="K16" s="721">
        <f t="shared" si="0"/>
        <v>4.6228529657696527</v>
      </c>
      <c r="L16" s="721">
        <f t="shared" si="0"/>
        <v>0</v>
      </c>
      <c r="M16" s="721">
        <f t="shared" ca="1" si="0"/>
        <v>0</v>
      </c>
      <c r="N16" s="721">
        <f t="shared" si="0"/>
        <v>0</v>
      </c>
      <c r="O16" s="721">
        <f t="shared" ca="1" si="0"/>
        <v>8026.0587234896357</v>
      </c>
      <c r="P16" s="721">
        <f t="shared" si="0"/>
        <v>57.843333333333334</v>
      </c>
      <c r="Q16" s="721">
        <f t="shared" si="0"/>
        <v>76.266666666666666</v>
      </c>
      <c r="R16" s="721">
        <f t="shared" ca="1" si="0"/>
        <v>252918.59444321503</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1833.9676184065572</v>
      </c>
      <c r="I19" s="688">
        <f>transport!H54</f>
        <v>0</v>
      </c>
      <c r="J19" s="688">
        <f>transport!I54</f>
        <v>0</v>
      </c>
      <c r="K19" s="688">
        <f>transport!J54</f>
        <v>0</v>
      </c>
      <c r="L19" s="688">
        <f>transport!K54</f>
        <v>0</v>
      </c>
      <c r="M19" s="688">
        <f>transport!L54</f>
        <v>0</v>
      </c>
      <c r="N19" s="688">
        <f>transport!M54</f>
        <v>80.532543443055488</v>
      </c>
      <c r="O19" s="688">
        <f>transport!N54</f>
        <v>0</v>
      </c>
      <c r="P19" s="688">
        <f>transport!O54</f>
        <v>0</v>
      </c>
      <c r="Q19" s="689">
        <f>transport!P54</f>
        <v>0</v>
      </c>
      <c r="R19" s="691">
        <f>SUM(C19:Q19)</f>
        <v>1914.5001618496126</v>
      </c>
      <c r="S19" s="68"/>
    </row>
    <row r="20" spans="1:19" s="457" customFormat="1">
      <c r="A20" s="803" t="s">
        <v>307</v>
      </c>
      <c r="B20" s="808"/>
      <c r="C20" s="688">
        <f>transport!B14</f>
        <v>2.2300661342690704</v>
      </c>
      <c r="D20" s="688">
        <f>transport!C14</f>
        <v>0</v>
      </c>
      <c r="E20" s="688">
        <f>transport!D14</f>
        <v>8.0283030116595597</v>
      </c>
      <c r="F20" s="688">
        <f>transport!E14</f>
        <v>447.31139825479136</v>
      </c>
      <c r="G20" s="688">
        <f>transport!F14</f>
        <v>0</v>
      </c>
      <c r="H20" s="688">
        <f>transport!G14</f>
        <v>66741.718270295692</v>
      </c>
      <c r="I20" s="688">
        <f>transport!H14</f>
        <v>17474.919733429033</v>
      </c>
      <c r="J20" s="688">
        <f>transport!I14</f>
        <v>0</v>
      </c>
      <c r="K20" s="688">
        <f>transport!J14</f>
        <v>0</v>
      </c>
      <c r="L20" s="688">
        <f>transport!K14</f>
        <v>0</v>
      </c>
      <c r="M20" s="688">
        <f>transport!L14</f>
        <v>0</v>
      </c>
      <c r="N20" s="688">
        <f>transport!M14</f>
        <v>3771.360684469078</v>
      </c>
      <c r="O20" s="688">
        <f>transport!N14</f>
        <v>0</v>
      </c>
      <c r="P20" s="688">
        <f>transport!O14</f>
        <v>0</v>
      </c>
      <c r="Q20" s="689">
        <f>transport!P14</f>
        <v>0</v>
      </c>
      <c r="R20" s="691">
        <f>SUM(C20:Q20)</f>
        <v>88445.568455594534</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2.2300661342690704</v>
      </c>
      <c r="D22" s="806">
        <f t="shared" ref="D22:R22" si="1">SUM(D18:D21)</f>
        <v>0</v>
      </c>
      <c r="E22" s="806">
        <f t="shared" si="1"/>
        <v>8.0283030116595597</v>
      </c>
      <c r="F22" s="806">
        <f t="shared" si="1"/>
        <v>447.31139825479136</v>
      </c>
      <c r="G22" s="806">
        <f t="shared" si="1"/>
        <v>0</v>
      </c>
      <c r="H22" s="806">
        <f t="shared" si="1"/>
        <v>68575.685888702254</v>
      </c>
      <c r="I22" s="806">
        <f t="shared" si="1"/>
        <v>17474.919733429033</v>
      </c>
      <c r="J22" s="806">
        <f t="shared" si="1"/>
        <v>0</v>
      </c>
      <c r="K22" s="806">
        <f t="shared" si="1"/>
        <v>0</v>
      </c>
      <c r="L22" s="806">
        <f t="shared" si="1"/>
        <v>0</v>
      </c>
      <c r="M22" s="806">
        <f t="shared" si="1"/>
        <v>0</v>
      </c>
      <c r="N22" s="806">
        <f t="shared" si="1"/>
        <v>3851.8932279121336</v>
      </c>
      <c r="O22" s="806">
        <f t="shared" si="1"/>
        <v>0</v>
      </c>
      <c r="P22" s="806">
        <f t="shared" si="1"/>
        <v>0</v>
      </c>
      <c r="Q22" s="806">
        <f t="shared" si="1"/>
        <v>0</v>
      </c>
      <c r="R22" s="806">
        <f t="shared" si="1"/>
        <v>90360.068617444151</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65.63769477775439</v>
      </c>
      <c r="D24" s="688">
        <f>+landbouw!C8</f>
        <v>0</v>
      </c>
      <c r="E24" s="688">
        <f>+landbouw!D8</f>
        <v>23.070765599654575</v>
      </c>
      <c r="F24" s="688">
        <f>+landbouw!E8</f>
        <v>0.61835106350458513</v>
      </c>
      <c r="G24" s="688">
        <f>+landbouw!F8</f>
        <v>214.19758129763434</v>
      </c>
      <c r="H24" s="688">
        <f>+landbouw!G8</f>
        <v>0</v>
      </c>
      <c r="I24" s="688">
        <f>+landbouw!H8</f>
        <v>0</v>
      </c>
      <c r="J24" s="688">
        <f>+landbouw!I8</f>
        <v>0</v>
      </c>
      <c r="K24" s="688">
        <f>+landbouw!J8</f>
        <v>8.1197021056942909</v>
      </c>
      <c r="L24" s="688">
        <f>+landbouw!K8</f>
        <v>0</v>
      </c>
      <c r="M24" s="688">
        <f>+landbouw!L8</f>
        <v>0</v>
      </c>
      <c r="N24" s="688">
        <f>+landbouw!M8</f>
        <v>0</v>
      </c>
      <c r="O24" s="688">
        <f>+landbouw!N8</f>
        <v>0</v>
      </c>
      <c r="P24" s="688">
        <f>+landbouw!O8</f>
        <v>0</v>
      </c>
      <c r="Q24" s="689">
        <f>+landbouw!P8</f>
        <v>0</v>
      </c>
      <c r="R24" s="691">
        <f>SUM(C24:Q24)</f>
        <v>311.6440948442422</v>
      </c>
      <c r="S24" s="68"/>
    </row>
    <row r="25" spans="1:19" s="457" customFormat="1" ht="15" thickBot="1">
      <c r="A25" s="825" t="s">
        <v>912</v>
      </c>
      <c r="B25" s="1001"/>
      <c r="C25" s="1002">
        <f>IF(Onbekend_ele_kWh="---",0,Onbekend_ele_kWh)/1000+IF(REST_rest_ele_kWh="---",0,REST_rest_ele_kWh)/1000</f>
        <v>1660.5730490503399</v>
      </c>
      <c r="D25" s="1002"/>
      <c r="E25" s="1002">
        <f>IF(onbekend_gas_kWh="---",0,onbekend_gas_kWh)/1000+IF(REST_rest_gas_kWh="---",0,REST_rest_gas_kWh)/1000</f>
        <v>6062.8022705085796</v>
      </c>
      <c r="F25" s="1002"/>
      <c r="G25" s="1002"/>
      <c r="H25" s="1002"/>
      <c r="I25" s="1002"/>
      <c r="J25" s="1002"/>
      <c r="K25" s="1002"/>
      <c r="L25" s="1002"/>
      <c r="M25" s="1002"/>
      <c r="N25" s="1002"/>
      <c r="O25" s="1002"/>
      <c r="P25" s="1002"/>
      <c r="Q25" s="1003"/>
      <c r="R25" s="691">
        <f>SUM(C25:Q25)</f>
        <v>7723.3753195589197</v>
      </c>
      <c r="S25" s="68"/>
    </row>
    <row r="26" spans="1:19" s="457" customFormat="1" ht="15.75" thickBot="1">
      <c r="A26" s="694" t="s">
        <v>913</v>
      </c>
      <c r="B26" s="811"/>
      <c r="C26" s="806">
        <f>SUM(C24:C25)</f>
        <v>1726.2107438280943</v>
      </c>
      <c r="D26" s="806">
        <f t="shared" ref="D26:R26" si="2">SUM(D24:D25)</f>
        <v>0</v>
      </c>
      <c r="E26" s="806">
        <f t="shared" si="2"/>
        <v>6085.8730361082344</v>
      </c>
      <c r="F26" s="806">
        <f t="shared" si="2"/>
        <v>0.61835106350458513</v>
      </c>
      <c r="G26" s="806">
        <f t="shared" si="2"/>
        <v>214.19758129763434</v>
      </c>
      <c r="H26" s="806">
        <f t="shared" si="2"/>
        <v>0</v>
      </c>
      <c r="I26" s="806">
        <f t="shared" si="2"/>
        <v>0</v>
      </c>
      <c r="J26" s="806">
        <f t="shared" si="2"/>
        <v>0</v>
      </c>
      <c r="K26" s="806">
        <f t="shared" si="2"/>
        <v>8.1197021056942909</v>
      </c>
      <c r="L26" s="806">
        <f t="shared" si="2"/>
        <v>0</v>
      </c>
      <c r="M26" s="806">
        <f t="shared" si="2"/>
        <v>0</v>
      </c>
      <c r="N26" s="806">
        <f t="shared" si="2"/>
        <v>0</v>
      </c>
      <c r="O26" s="806">
        <f t="shared" si="2"/>
        <v>0</v>
      </c>
      <c r="P26" s="806">
        <f t="shared" si="2"/>
        <v>0</v>
      </c>
      <c r="Q26" s="806">
        <f t="shared" si="2"/>
        <v>0</v>
      </c>
      <c r="R26" s="806">
        <f t="shared" si="2"/>
        <v>8035.019414403162</v>
      </c>
      <c r="S26" s="68"/>
    </row>
    <row r="27" spans="1:19" s="457" customFormat="1" ht="17.25" thickTop="1" thickBot="1">
      <c r="A27" s="695" t="s">
        <v>116</v>
      </c>
      <c r="B27" s="798"/>
      <c r="C27" s="696">
        <f ca="1">C22+C16+C26</f>
        <v>57434.371589111572</v>
      </c>
      <c r="D27" s="696">
        <f t="shared" ref="D27:R27" ca="1" si="3">D22+D16+D26</f>
        <v>0</v>
      </c>
      <c r="E27" s="696">
        <f t="shared" ca="1" si="3"/>
        <v>180533.16066380611</v>
      </c>
      <c r="F27" s="696">
        <f t="shared" si="3"/>
        <v>1451.1806152553168</v>
      </c>
      <c r="G27" s="696">
        <f t="shared" ca="1" si="3"/>
        <v>13819.559478284844</v>
      </c>
      <c r="H27" s="696">
        <f t="shared" si="3"/>
        <v>68575.685888702254</v>
      </c>
      <c r="I27" s="696">
        <f t="shared" si="3"/>
        <v>17474.919733429033</v>
      </c>
      <c r="J27" s="696">
        <f t="shared" si="3"/>
        <v>0</v>
      </c>
      <c r="K27" s="696">
        <f t="shared" si="3"/>
        <v>12.742555071463944</v>
      </c>
      <c r="L27" s="696">
        <f t="shared" si="3"/>
        <v>0</v>
      </c>
      <c r="M27" s="696">
        <f t="shared" ca="1" si="3"/>
        <v>0</v>
      </c>
      <c r="N27" s="696">
        <f t="shared" si="3"/>
        <v>3851.8932279121336</v>
      </c>
      <c r="O27" s="696">
        <f t="shared" ca="1" si="3"/>
        <v>8026.0587234896357</v>
      </c>
      <c r="P27" s="696">
        <f t="shared" si="3"/>
        <v>57.843333333333334</v>
      </c>
      <c r="Q27" s="696">
        <f t="shared" si="3"/>
        <v>76.266666666666666</v>
      </c>
      <c r="R27" s="696">
        <f t="shared" ca="1" si="3"/>
        <v>351313.68247506238</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3863.8488110449725</v>
      </c>
      <c r="D40" s="688">
        <f ca="1">tertiair!C20</f>
        <v>0</v>
      </c>
      <c r="E40" s="688">
        <f ca="1">tertiair!D20</f>
        <v>6391.3781892871093</v>
      </c>
      <c r="F40" s="688">
        <f>tertiair!E20</f>
        <v>20.710404249782034</v>
      </c>
      <c r="G40" s="688">
        <f ca="1">tertiair!F20</f>
        <v>807.82562305525755</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11083.76302763712</v>
      </c>
    </row>
    <row r="41" spans="1:18">
      <c r="A41" s="816" t="s">
        <v>225</v>
      </c>
      <c r="B41" s="823"/>
      <c r="C41" s="688">
        <f ca="1">huishoudens!B12</f>
        <v>7886.247309520375</v>
      </c>
      <c r="D41" s="688">
        <f ca="1">huishoudens!C12</f>
        <v>0</v>
      </c>
      <c r="E41" s="688">
        <f>huishoudens!D12</f>
        <v>28331.180840826477</v>
      </c>
      <c r="F41" s="688">
        <f>huishoudens!E12</f>
        <v>204.01148225851836</v>
      </c>
      <c r="G41" s="688">
        <f>huishoudens!F12</f>
        <v>2640.5451017718838</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39061.984734377249</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345.99321333447671</v>
      </c>
      <c r="D43" s="688">
        <f ca="1">industrie!C22</f>
        <v>0</v>
      </c>
      <c r="E43" s="688">
        <f>industrie!D22</f>
        <v>514.17135347302587</v>
      </c>
      <c r="F43" s="688">
        <f>industrie!E22</f>
        <v>3.0160600594033129</v>
      </c>
      <c r="G43" s="688">
        <f>industrie!F22</f>
        <v>184.26090166844344</v>
      </c>
      <c r="H43" s="688">
        <f>industrie!G22</f>
        <v>0</v>
      </c>
      <c r="I43" s="688">
        <f>industrie!H22</f>
        <v>0</v>
      </c>
      <c r="J43" s="688">
        <f>industrie!I22</f>
        <v>0</v>
      </c>
      <c r="K43" s="688">
        <f>industrie!J22</f>
        <v>1.636489949882457</v>
      </c>
      <c r="L43" s="688">
        <f>industrie!K22</f>
        <v>0</v>
      </c>
      <c r="M43" s="688">
        <f>industrie!L22</f>
        <v>0</v>
      </c>
      <c r="N43" s="688">
        <f>industrie!M22</f>
        <v>0</v>
      </c>
      <c r="O43" s="688">
        <f>industrie!N22</f>
        <v>0</v>
      </c>
      <c r="P43" s="688">
        <f>industrie!O22</f>
        <v>0</v>
      </c>
      <c r="Q43" s="763">
        <f>industrie!P22</f>
        <v>0</v>
      </c>
      <c r="R43" s="843">
        <f t="shared" ca="1" si="4"/>
        <v>1049.0780184852317</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12096.089333899825</v>
      </c>
      <c r="D46" s="721">
        <f t="shared" ref="D46:Q46" ca="1" si="5">SUM(D39:D45)</f>
        <v>0</v>
      </c>
      <c r="E46" s="721">
        <f t="shared" ca="1" si="5"/>
        <v>35236.730383586611</v>
      </c>
      <c r="F46" s="721">
        <f t="shared" si="5"/>
        <v>227.73794656770372</v>
      </c>
      <c r="G46" s="721">
        <f t="shared" ca="1" si="5"/>
        <v>3632.6316264955844</v>
      </c>
      <c r="H46" s="721">
        <f t="shared" si="5"/>
        <v>0</v>
      </c>
      <c r="I46" s="721">
        <f t="shared" si="5"/>
        <v>0</v>
      </c>
      <c r="J46" s="721">
        <f t="shared" si="5"/>
        <v>0</v>
      </c>
      <c r="K46" s="721">
        <f t="shared" si="5"/>
        <v>1.636489949882457</v>
      </c>
      <c r="L46" s="721">
        <f t="shared" si="5"/>
        <v>0</v>
      </c>
      <c r="M46" s="721">
        <f t="shared" ca="1" si="5"/>
        <v>0</v>
      </c>
      <c r="N46" s="721">
        <f t="shared" si="5"/>
        <v>0</v>
      </c>
      <c r="O46" s="721">
        <f t="shared" ca="1" si="5"/>
        <v>0</v>
      </c>
      <c r="P46" s="721">
        <f t="shared" si="5"/>
        <v>0</v>
      </c>
      <c r="Q46" s="721">
        <f t="shared" si="5"/>
        <v>0</v>
      </c>
      <c r="R46" s="721">
        <f ca="1">SUM(R39:R45)</f>
        <v>51194.825780499603</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489.6693541145508</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489.6693541145508</v>
      </c>
    </row>
    <row r="50" spans="1:18">
      <c r="A50" s="819" t="s">
        <v>307</v>
      </c>
      <c r="B50" s="829"/>
      <c r="C50" s="1008">
        <f ca="1">transport!B18</f>
        <v>0.4842407047746542</v>
      </c>
      <c r="D50" s="1008">
        <f>transport!C18</f>
        <v>0</v>
      </c>
      <c r="E50" s="1008">
        <f>transport!D18</f>
        <v>1.6217172083552311</v>
      </c>
      <c r="F50" s="1008">
        <f>transport!E18</f>
        <v>101.53968740383765</v>
      </c>
      <c r="G50" s="1008">
        <f>transport!F18</f>
        <v>0</v>
      </c>
      <c r="H50" s="1008">
        <f>transport!G18</f>
        <v>17820.03877816895</v>
      </c>
      <c r="I50" s="1008">
        <f>transport!H18</f>
        <v>4351.2550136238287</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22274.939437109744</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0.4842407047746542</v>
      </c>
      <c r="D52" s="721">
        <f t="shared" ref="D52:Q52" ca="1" si="6">SUM(D48:D51)</f>
        <v>0</v>
      </c>
      <c r="E52" s="721">
        <f t="shared" si="6"/>
        <v>1.6217172083552311</v>
      </c>
      <c r="F52" s="721">
        <f t="shared" si="6"/>
        <v>101.53968740383765</v>
      </c>
      <c r="G52" s="721">
        <f t="shared" si="6"/>
        <v>0</v>
      </c>
      <c r="H52" s="721">
        <f t="shared" si="6"/>
        <v>18309.7081322835</v>
      </c>
      <c r="I52" s="721">
        <f t="shared" si="6"/>
        <v>4351.2550136238287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22764.608791224295</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14.252691025856567</v>
      </c>
      <c r="D54" s="1008">
        <f ca="1">+landbouw!C12</f>
        <v>0</v>
      </c>
      <c r="E54" s="1008">
        <f>+landbouw!D12</f>
        <v>4.6602946511302248</v>
      </c>
      <c r="F54" s="1008">
        <f>+landbouw!E12</f>
        <v>0.14036569141554084</v>
      </c>
      <c r="G54" s="1008">
        <f>+landbouw!F12</f>
        <v>57.19075420646837</v>
      </c>
      <c r="H54" s="1008">
        <f>+landbouw!G12</f>
        <v>0</v>
      </c>
      <c r="I54" s="1008">
        <f>+landbouw!H12</f>
        <v>0</v>
      </c>
      <c r="J54" s="1008">
        <f>+landbouw!I12</f>
        <v>0</v>
      </c>
      <c r="K54" s="1008">
        <f>+landbouw!J12</f>
        <v>2.8743745454157787</v>
      </c>
      <c r="L54" s="1008">
        <f>+landbouw!K12</f>
        <v>0</v>
      </c>
      <c r="M54" s="1008">
        <f>+landbouw!L12</f>
        <v>0</v>
      </c>
      <c r="N54" s="1008">
        <f>+landbouw!M12</f>
        <v>0</v>
      </c>
      <c r="O54" s="1008">
        <f>+landbouw!N12</f>
        <v>0</v>
      </c>
      <c r="P54" s="1008">
        <f>+landbouw!O12</f>
        <v>0</v>
      </c>
      <c r="Q54" s="1009">
        <f>+landbouw!P12</f>
        <v>0</v>
      </c>
      <c r="R54" s="720">
        <f ca="1">SUM(C54:Q54)</f>
        <v>79.118480120286478</v>
      </c>
    </row>
    <row r="55" spans="1:18" ht="15" thickBot="1">
      <c r="A55" s="819" t="s">
        <v>912</v>
      </c>
      <c r="B55" s="829"/>
      <c r="C55" s="1008">
        <f ca="1">C25*'EF ele_warmte'!B12</f>
        <v>360.57991789803651</v>
      </c>
      <c r="D55" s="1008"/>
      <c r="E55" s="1008">
        <f>E25*EF_CO2_aardgas</f>
        <v>1224.6860586427331</v>
      </c>
      <c r="F55" s="1008"/>
      <c r="G55" s="1008"/>
      <c r="H55" s="1008"/>
      <c r="I55" s="1008"/>
      <c r="J55" s="1008"/>
      <c r="K55" s="1008"/>
      <c r="L55" s="1008"/>
      <c r="M55" s="1008"/>
      <c r="N55" s="1008"/>
      <c r="O55" s="1008"/>
      <c r="P55" s="1008"/>
      <c r="Q55" s="1009"/>
      <c r="R55" s="720">
        <f ca="1">SUM(C55:Q55)</f>
        <v>1585.2659765407695</v>
      </c>
    </row>
    <row r="56" spans="1:18" ht="15.75" thickBot="1">
      <c r="A56" s="817" t="s">
        <v>913</v>
      </c>
      <c r="B56" s="830"/>
      <c r="C56" s="721">
        <f ca="1">SUM(C54:C55)</f>
        <v>374.83260892389308</v>
      </c>
      <c r="D56" s="721">
        <f t="shared" ref="D56:Q56" ca="1" si="7">SUM(D54:D55)</f>
        <v>0</v>
      </c>
      <c r="E56" s="721">
        <f t="shared" si="7"/>
        <v>1229.3463532938633</v>
      </c>
      <c r="F56" s="721">
        <f t="shared" si="7"/>
        <v>0.14036569141554084</v>
      </c>
      <c r="G56" s="721">
        <f t="shared" si="7"/>
        <v>57.19075420646837</v>
      </c>
      <c r="H56" s="721">
        <f t="shared" si="7"/>
        <v>0</v>
      </c>
      <c r="I56" s="721">
        <f t="shared" si="7"/>
        <v>0</v>
      </c>
      <c r="J56" s="721">
        <f t="shared" si="7"/>
        <v>0</v>
      </c>
      <c r="K56" s="721">
        <f t="shared" si="7"/>
        <v>2.8743745454157787</v>
      </c>
      <c r="L56" s="721">
        <f t="shared" si="7"/>
        <v>0</v>
      </c>
      <c r="M56" s="721">
        <f t="shared" si="7"/>
        <v>0</v>
      </c>
      <c r="N56" s="721">
        <f t="shared" si="7"/>
        <v>0</v>
      </c>
      <c r="O56" s="721">
        <f t="shared" si="7"/>
        <v>0</v>
      </c>
      <c r="P56" s="721">
        <f t="shared" si="7"/>
        <v>0</v>
      </c>
      <c r="Q56" s="722">
        <f t="shared" si="7"/>
        <v>0</v>
      </c>
      <c r="R56" s="723">
        <f ca="1">SUM(R54:R55)</f>
        <v>1664.384456661056</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12471.406183528492</v>
      </c>
      <c r="D61" s="729">
        <f t="shared" ref="D61:Q61" ca="1" si="8">D46+D52+D56</f>
        <v>0</v>
      </c>
      <c r="E61" s="729">
        <f t="shared" ca="1" si="8"/>
        <v>36467.69845408883</v>
      </c>
      <c r="F61" s="729">
        <f t="shared" si="8"/>
        <v>329.4179996629569</v>
      </c>
      <c r="G61" s="729">
        <f t="shared" ca="1" si="8"/>
        <v>3689.8223807020527</v>
      </c>
      <c r="H61" s="729">
        <f t="shared" si="8"/>
        <v>18309.7081322835</v>
      </c>
      <c r="I61" s="729">
        <f t="shared" si="8"/>
        <v>4351.2550136238287</v>
      </c>
      <c r="J61" s="729">
        <f t="shared" si="8"/>
        <v>0</v>
      </c>
      <c r="K61" s="729">
        <f t="shared" si="8"/>
        <v>4.510864495298236</v>
      </c>
      <c r="L61" s="729">
        <f t="shared" si="8"/>
        <v>0</v>
      </c>
      <c r="M61" s="729">
        <f t="shared" ca="1" si="8"/>
        <v>0</v>
      </c>
      <c r="N61" s="729">
        <f t="shared" si="8"/>
        <v>0</v>
      </c>
      <c r="O61" s="729">
        <f t="shared" ca="1" si="8"/>
        <v>0</v>
      </c>
      <c r="P61" s="729">
        <f t="shared" si="8"/>
        <v>0</v>
      </c>
      <c r="Q61" s="729">
        <f t="shared" si="8"/>
        <v>0</v>
      </c>
      <c r="R61" s="729">
        <f ca="1">R46+R52+R56</f>
        <v>75623.81902838494</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0.21714185841101508</v>
      </c>
      <c r="D63" s="773">
        <f t="shared" ca="1" si="9"/>
        <v>0</v>
      </c>
      <c r="E63" s="1010">
        <f t="shared" ca="1" si="9"/>
        <v>0.20199999999999999</v>
      </c>
      <c r="F63" s="773">
        <f t="shared" si="9"/>
        <v>0.22700000000000001</v>
      </c>
      <c r="G63" s="773">
        <f t="shared" ca="1" si="9"/>
        <v>0.26699999999999996</v>
      </c>
      <c r="H63" s="773">
        <f t="shared" si="9"/>
        <v>0.26699999999999996</v>
      </c>
      <c r="I63" s="773">
        <f t="shared" si="9"/>
        <v>0.24899999999999997</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1002.6694011998516</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1002.6694011998516</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1002.6694011998516</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1002.6694011998516</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36318.411232315055</v>
      </c>
      <c r="C4" s="461">
        <f>huishoudens!C8</f>
        <v>0</v>
      </c>
      <c r="D4" s="461">
        <f>huishoudens!D8</f>
        <v>140253.37049914096</v>
      </c>
      <c r="E4" s="461">
        <f>huishoudens!E8</f>
        <v>898.72899673356096</v>
      </c>
      <c r="F4" s="461">
        <f>huishoudens!F8</f>
        <v>9889.6820291081785</v>
      </c>
      <c r="G4" s="461">
        <f>huishoudens!G8</f>
        <v>0</v>
      </c>
      <c r="H4" s="461">
        <f>huishoudens!H8</f>
        <v>0</v>
      </c>
      <c r="I4" s="461">
        <f>huishoudens!I8</f>
        <v>0</v>
      </c>
      <c r="J4" s="461">
        <f>huishoudens!J8</f>
        <v>0</v>
      </c>
      <c r="K4" s="461">
        <f>huishoudens!K8</f>
        <v>0</v>
      </c>
      <c r="L4" s="461">
        <f>huishoudens!L8</f>
        <v>0</v>
      </c>
      <c r="M4" s="461">
        <f>huishoudens!M8</f>
        <v>0</v>
      </c>
      <c r="N4" s="461">
        <f>huishoudens!N8</f>
        <v>6810.2079585185784</v>
      </c>
      <c r="O4" s="461">
        <f>huishoudens!O8</f>
        <v>57.843333333333334</v>
      </c>
      <c r="P4" s="462">
        <f>huishoudens!P8</f>
        <v>76.266666666666666</v>
      </c>
      <c r="Q4" s="463">
        <f>SUM(B4:P4)</f>
        <v>194304.51071581632</v>
      </c>
    </row>
    <row r="5" spans="1:17">
      <c r="A5" s="460" t="s">
        <v>156</v>
      </c>
      <c r="B5" s="461">
        <f ca="1">tertiair!B16</f>
        <v>16579.580419875951</v>
      </c>
      <c r="C5" s="461">
        <f ca="1">tertiair!C16</f>
        <v>0</v>
      </c>
      <c r="D5" s="461">
        <f ca="1">tertiair!D16</f>
        <v>31640.486085579749</v>
      </c>
      <c r="E5" s="461">
        <f>tertiair!E16</f>
        <v>91.235261012255648</v>
      </c>
      <c r="F5" s="461">
        <f ca="1">tertiair!F16</f>
        <v>3025.5641312930993</v>
      </c>
      <c r="G5" s="461">
        <f>tertiair!G16</f>
        <v>0</v>
      </c>
      <c r="H5" s="461">
        <f>tertiair!H16</f>
        <v>0</v>
      </c>
      <c r="I5" s="461">
        <f>tertiair!I16</f>
        <v>0</v>
      </c>
      <c r="J5" s="461">
        <f>tertiair!J16</f>
        <v>0</v>
      </c>
      <c r="K5" s="461">
        <f>tertiair!K16</f>
        <v>0</v>
      </c>
      <c r="L5" s="461">
        <f ca="1">tertiair!L16</f>
        <v>0</v>
      </c>
      <c r="M5" s="461">
        <f>tertiair!M16</f>
        <v>0</v>
      </c>
      <c r="N5" s="461">
        <f ca="1">tertiair!N16</f>
        <v>1127.4642212452645</v>
      </c>
      <c r="O5" s="461">
        <f>tertiair!O16</f>
        <v>0</v>
      </c>
      <c r="P5" s="462">
        <f>tertiair!P16</f>
        <v>0</v>
      </c>
      <c r="Q5" s="460">
        <f t="shared" ref="Q5:Q14" ca="1" si="0">SUM(B5:P5)</f>
        <v>52464.330119006321</v>
      </c>
    </row>
    <row r="6" spans="1:17">
      <c r="A6" s="460" t="s">
        <v>194</v>
      </c>
      <c r="B6" s="461">
        <f>'openbare verlichting'!B8</f>
        <v>1214.5419999999999</v>
      </c>
      <c r="C6" s="461"/>
      <c r="D6" s="461"/>
      <c r="E6" s="461"/>
      <c r="F6" s="461"/>
      <c r="G6" s="461"/>
      <c r="H6" s="461"/>
      <c r="I6" s="461"/>
      <c r="J6" s="461"/>
      <c r="K6" s="461"/>
      <c r="L6" s="461"/>
      <c r="M6" s="461"/>
      <c r="N6" s="461"/>
      <c r="O6" s="461"/>
      <c r="P6" s="462"/>
      <c r="Q6" s="460">
        <f t="shared" si="0"/>
        <v>1214.5419999999999</v>
      </c>
    </row>
    <row r="7" spans="1:17">
      <c r="A7" s="460" t="s">
        <v>112</v>
      </c>
      <c r="B7" s="461">
        <f>landbouw!B8</f>
        <v>65.63769477775439</v>
      </c>
      <c r="C7" s="461">
        <f>landbouw!C8</f>
        <v>0</v>
      </c>
      <c r="D7" s="461">
        <f>landbouw!D8</f>
        <v>23.070765599654575</v>
      </c>
      <c r="E7" s="461">
        <f>landbouw!E8</f>
        <v>0.61835106350458513</v>
      </c>
      <c r="F7" s="461">
        <f>landbouw!F8</f>
        <v>214.19758129763434</v>
      </c>
      <c r="G7" s="461">
        <f>landbouw!G8</f>
        <v>0</v>
      </c>
      <c r="H7" s="461">
        <f>landbouw!H8</f>
        <v>0</v>
      </c>
      <c r="I7" s="461">
        <f>landbouw!I8</f>
        <v>0</v>
      </c>
      <c r="J7" s="461">
        <f>landbouw!J8</f>
        <v>8.1197021056942909</v>
      </c>
      <c r="K7" s="461">
        <f>landbouw!K8</f>
        <v>0</v>
      </c>
      <c r="L7" s="461">
        <f>landbouw!L8</f>
        <v>0</v>
      </c>
      <c r="M7" s="461">
        <f>landbouw!M8</f>
        <v>0</v>
      </c>
      <c r="N7" s="461">
        <f>landbouw!N8</f>
        <v>0</v>
      </c>
      <c r="O7" s="461">
        <f>landbouw!O8</f>
        <v>0</v>
      </c>
      <c r="P7" s="462">
        <f>landbouw!P8</f>
        <v>0</v>
      </c>
      <c r="Q7" s="460">
        <f t="shared" si="0"/>
        <v>311.6440948442422</v>
      </c>
    </row>
    <row r="8" spans="1:17">
      <c r="A8" s="460" t="s">
        <v>685</v>
      </c>
      <c r="B8" s="461">
        <f>industrie!B18</f>
        <v>1593.3971269582048</v>
      </c>
      <c r="C8" s="461">
        <f>industrie!C18</f>
        <v>0</v>
      </c>
      <c r="D8" s="461">
        <f>industrie!D18</f>
        <v>2545.4027399654747</v>
      </c>
      <c r="E8" s="461">
        <f>industrie!E18</f>
        <v>13.286608191204021</v>
      </c>
      <c r="F8" s="461">
        <f>industrie!F18</f>
        <v>690.11573658593045</v>
      </c>
      <c r="G8" s="461">
        <f>industrie!G18</f>
        <v>0</v>
      </c>
      <c r="H8" s="461">
        <f>industrie!H18</f>
        <v>0</v>
      </c>
      <c r="I8" s="461">
        <f>industrie!I18</f>
        <v>0</v>
      </c>
      <c r="J8" s="461">
        <f>industrie!J18</f>
        <v>4.6228529657696527</v>
      </c>
      <c r="K8" s="461">
        <f>industrie!K18</f>
        <v>0</v>
      </c>
      <c r="L8" s="461">
        <f>industrie!L18</f>
        <v>0</v>
      </c>
      <c r="M8" s="461">
        <f>industrie!M18</f>
        <v>0</v>
      </c>
      <c r="N8" s="461">
        <f>industrie!N18</f>
        <v>88.386543725792535</v>
      </c>
      <c r="O8" s="461">
        <f>industrie!O18</f>
        <v>0</v>
      </c>
      <c r="P8" s="462">
        <f>industrie!P18</f>
        <v>0</v>
      </c>
      <c r="Q8" s="460">
        <f t="shared" si="0"/>
        <v>4935.2116083923765</v>
      </c>
    </row>
    <row r="9" spans="1:17" s="466" customFormat="1">
      <c r="A9" s="464" t="s">
        <v>579</v>
      </c>
      <c r="B9" s="465">
        <f>transport!B14</f>
        <v>2.2300661342690704</v>
      </c>
      <c r="C9" s="465">
        <f>transport!C14</f>
        <v>0</v>
      </c>
      <c r="D9" s="465">
        <f>transport!D14</f>
        <v>8.0283030116595597</v>
      </c>
      <c r="E9" s="465">
        <f>transport!E14</f>
        <v>447.31139825479136</v>
      </c>
      <c r="F9" s="465">
        <f>transport!F14</f>
        <v>0</v>
      </c>
      <c r="G9" s="465">
        <f>transport!G14</f>
        <v>66741.718270295692</v>
      </c>
      <c r="H9" s="465">
        <f>transport!H14</f>
        <v>17474.919733429033</v>
      </c>
      <c r="I9" s="465">
        <f>transport!I14</f>
        <v>0</v>
      </c>
      <c r="J9" s="465">
        <f>transport!J14</f>
        <v>0</v>
      </c>
      <c r="K9" s="465">
        <f>transport!K14</f>
        <v>0</v>
      </c>
      <c r="L9" s="465">
        <f>transport!L14</f>
        <v>0</v>
      </c>
      <c r="M9" s="465">
        <f>transport!M14</f>
        <v>3771.360684469078</v>
      </c>
      <c r="N9" s="465">
        <f>transport!N14</f>
        <v>0</v>
      </c>
      <c r="O9" s="465">
        <f>transport!O14</f>
        <v>0</v>
      </c>
      <c r="P9" s="465">
        <f>transport!P14</f>
        <v>0</v>
      </c>
      <c r="Q9" s="464">
        <f>SUM(B9:P9)</f>
        <v>88445.568455594534</v>
      </c>
    </row>
    <row r="10" spans="1:17">
      <c r="A10" s="460" t="s">
        <v>569</v>
      </c>
      <c r="B10" s="461">
        <f>transport!B54</f>
        <v>0</v>
      </c>
      <c r="C10" s="461">
        <f>transport!C54</f>
        <v>0</v>
      </c>
      <c r="D10" s="461">
        <f>transport!D54</f>
        <v>0</v>
      </c>
      <c r="E10" s="461">
        <f>transport!E54</f>
        <v>0</v>
      </c>
      <c r="F10" s="461">
        <f>transport!F54</f>
        <v>0</v>
      </c>
      <c r="G10" s="461">
        <f>transport!G54</f>
        <v>1833.9676184065572</v>
      </c>
      <c r="H10" s="461">
        <f>transport!H54</f>
        <v>0</v>
      </c>
      <c r="I10" s="461">
        <f>transport!I54</f>
        <v>0</v>
      </c>
      <c r="J10" s="461">
        <f>transport!J54</f>
        <v>0</v>
      </c>
      <c r="K10" s="461">
        <f>transport!K54</f>
        <v>0</v>
      </c>
      <c r="L10" s="461">
        <f>transport!L54</f>
        <v>0</v>
      </c>
      <c r="M10" s="461">
        <f>transport!M54</f>
        <v>80.532543443055488</v>
      </c>
      <c r="N10" s="461">
        <f>transport!N54</f>
        <v>0</v>
      </c>
      <c r="O10" s="461">
        <f>transport!O54</f>
        <v>0</v>
      </c>
      <c r="P10" s="462">
        <f>transport!P54</f>
        <v>0</v>
      </c>
      <c r="Q10" s="460">
        <f t="shared" si="0"/>
        <v>1914.5001618496126</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1660.5730490503399</v>
      </c>
      <c r="C14" s="468"/>
      <c r="D14" s="468">
        <f>'SEAP template'!E25</f>
        <v>6062.8022705085796</v>
      </c>
      <c r="E14" s="468"/>
      <c r="F14" s="468"/>
      <c r="G14" s="468"/>
      <c r="H14" s="468"/>
      <c r="I14" s="468"/>
      <c r="J14" s="468"/>
      <c r="K14" s="468"/>
      <c r="L14" s="468"/>
      <c r="M14" s="468"/>
      <c r="N14" s="468"/>
      <c r="O14" s="468"/>
      <c r="P14" s="469"/>
      <c r="Q14" s="460">
        <f t="shared" si="0"/>
        <v>7723.3753195589197</v>
      </c>
    </row>
    <row r="15" spans="1:17" s="473" customFormat="1">
      <c r="A15" s="470" t="s">
        <v>573</v>
      </c>
      <c r="B15" s="471">
        <f ca="1">SUM(B4:B14)</f>
        <v>57434.371589111572</v>
      </c>
      <c r="C15" s="471">
        <f t="shared" ref="C15:Q15" ca="1" si="1">SUM(C4:C14)</f>
        <v>0</v>
      </c>
      <c r="D15" s="471">
        <f t="shared" ca="1" si="1"/>
        <v>180533.16066380611</v>
      </c>
      <c r="E15" s="471">
        <f t="shared" si="1"/>
        <v>1451.1806152553168</v>
      </c>
      <c r="F15" s="471">
        <f t="shared" ca="1" si="1"/>
        <v>13819.559478284844</v>
      </c>
      <c r="G15" s="471">
        <f t="shared" si="1"/>
        <v>68575.685888702254</v>
      </c>
      <c r="H15" s="471">
        <f t="shared" si="1"/>
        <v>17474.919733429033</v>
      </c>
      <c r="I15" s="471">
        <f t="shared" si="1"/>
        <v>0</v>
      </c>
      <c r="J15" s="471">
        <f t="shared" si="1"/>
        <v>12.742555071463944</v>
      </c>
      <c r="K15" s="471">
        <f t="shared" si="1"/>
        <v>0</v>
      </c>
      <c r="L15" s="471">
        <f t="shared" ca="1" si="1"/>
        <v>0</v>
      </c>
      <c r="M15" s="471">
        <f t="shared" si="1"/>
        <v>3851.8932279121336</v>
      </c>
      <c r="N15" s="471">
        <f t="shared" ca="1" si="1"/>
        <v>8026.0587234896357</v>
      </c>
      <c r="O15" s="471">
        <f t="shared" si="1"/>
        <v>57.843333333333334</v>
      </c>
      <c r="P15" s="471">
        <f t="shared" si="1"/>
        <v>76.266666666666666</v>
      </c>
      <c r="Q15" s="471">
        <f t="shared" ca="1" si="1"/>
        <v>351313.68247506226</v>
      </c>
    </row>
    <row r="17" spans="1:17">
      <c r="A17" s="474" t="s">
        <v>574</v>
      </c>
      <c r="B17" s="778">
        <f ca="1">huishoudens!B10</f>
        <v>0.21714185841101508</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7886.247309520375</v>
      </c>
      <c r="C22" s="461">
        <f t="shared" ref="C22:C32" ca="1" si="3">C4*$C$17</f>
        <v>0</v>
      </c>
      <c r="D22" s="461">
        <f t="shared" ref="D22:D32" si="4">D4*$D$17</f>
        <v>28331.180840826477</v>
      </c>
      <c r="E22" s="461">
        <f t="shared" ref="E22:E32" si="5">E4*$E$17</f>
        <v>204.01148225851836</v>
      </c>
      <c r="F22" s="461">
        <f t="shared" ref="F22:F32" si="6">F4*$F$17</f>
        <v>2640.5451017718838</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39061.984734377249</v>
      </c>
    </row>
    <row r="23" spans="1:17">
      <c r="A23" s="460" t="s">
        <v>156</v>
      </c>
      <c r="B23" s="461">
        <f t="shared" ca="1" si="2"/>
        <v>3600.1209040467415</v>
      </c>
      <c r="C23" s="461">
        <f t="shared" ca="1" si="3"/>
        <v>0</v>
      </c>
      <c r="D23" s="461">
        <f t="shared" ca="1" si="4"/>
        <v>6391.3781892871093</v>
      </c>
      <c r="E23" s="461">
        <f t="shared" si="5"/>
        <v>20.710404249782034</v>
      </c>
      <c r="F23" s="461">
        <f t="shared" ca="1" si="6"/>
        <v>807.82562305525755</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10820.03512063889</v>
      </c>
    </row>
    <row r="24" spans="1:17">
      <c r="A24" s="460" t="s">
        <v>194</v>
      </c>
      <c r="B24" s="461">
        <f t="shared" ca="1" si="2"/>
        <v>263.72790699823105</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263.72790699823105</v>
      </c>
    </row>
    <row r="25" spans="1:17">
      <c r="A25" s="460" t="s">
        <v>112</v>
      </c>
      <c r="B25" s="461">
        <f t="shared" ca="1" si="2"/>
        <v>14.252691025856567</v>
      </c>
      <c r="C25" s="461">
        <f t="shared" ca="1" si="3"/>
        <v>0</v>
      </c>
      <c r="D25" s="461">
        <f t="shared" si="4"/>
        <v>4.6602946511302248</v>
      </c>
      <c r="E25" s="461">
        <f t="shared" si="5"/>
        <v>0.14036569141554084</v>
      </c>
      <c r="F25" s="461">
        <f t="shared" si="6"/>
        <v>57.19075420646837</v>
      </c>
      <c r="G25" s="461">
        <f t="shared" si="7"/>
        <v>0</v>
      </c>
      <c r="H25" s="461">
        <f t="shared" si="8"/>
        <v>0</v>
      </c>
      <c r="I25" s="461">
        <f t="shared" si="9"/>
        <v>0</v>
      </c>
      <c r="J25" s="461">
        <f t="shared" si="10"/>
        <v>2.8743745454157787</v>
      </c>
      <c r="K25" s="461">
        <f t="shared" si="11"/>
        <v>0</v>
      </c>
      <c r="L25" s="461">
        <f t="shared" si="12"/>
        <v>0</v>
      </c>
      <c r="M25" s="461">
        <f t="shared" si="13"/>
        <v>0</v>
      </c>
      <c r="N25" s="461">
        <f t="shared" si="14"/>
        <v>0</v>
      </c>
      <c r="O25" s="461">
        <f t="shared" si="15"/>
        <v>0</v>
      </c>
      <c r="P25" s="462">
        <f t="shared" si="16"/>
        <v>0</v>
      </c>
      <c r="Q25" s="460">
        <f t="shared" ca="1" si="17"/>
        <v>79.118480120286478</v>
      </c>
    </row>
    <row r="26" spans="1:17">
      <c r="A26" s="460" t="s">
        <v>685</v>
      </c>
      <c r="B26" s="461">
        <f t="shared" ca="1" si="2"/>
        <v>345.99321333447671</v>
      </c>
      <c r="C26" s="461">
        <f t="shared" ca="1" si="3"/>
        <v>0</v>
      </c>
      <c r="D26" s="461">
        <f t="shared" si="4"/>
        <v>514.17135347302587</v>
      </c>
      <c r="E26" s="461">
        <f t="shared" si="5"/>
        <v>3.0160600594033129</v>
      </c>
      <c r="F26" s="461">
        <f t="shared" si="6"/>
        <v>184.26090166844344</v>
      </c>
      <c r="G26" s="461">
        <f t="shared" si="7"/>
        <v>0</v>
      </c>
      <c r="H26" s="461">
        <f t="shared" si="8"/>
        <v>0</v>
      </c>
      <c r="I26" s="461">
        <f t="shared" si="9"/>
        <v>0</v>
      </c>
      <c r="J26" s="461">
        <f t="shared" si="10"/>
        <v>1.636489949882457</v>
      </c>
      <c r="K26" s="461">
        <f t="shared" si="11"/>
        <v>0</v>
      </c>
      <c r="L26" s="461">
        <f t="shared" si="12"/>
        <v>0</v>
      </c>
      <c r="M26" s="461">
        <f t="shared" si="13"/>
        <v>0</v>
      </c>
      <c r="N26" s="461">
        <f t="shared" si="14"/>
        <v>0</v>
      </c>
      <c r="O26" s="461">
        <f t="shared" si="15"/>
        <v>0</v>
      </c>
      <c r="P26" s="462">
        <f t="shared" si="16"/>
        <v>0</v>
      </c>
      <c r="Q26" s="460">
        <f t="shared" ca="1" si="17"/>
        <v>1049.0780184852317</v>
      </c>
    </row>
    <row r="27" spans="1:17" s="466" customFormat="1">
      <c r="A27" s="464" t="s">
        <v>579</v>
      </c>
      <c r="B27" s="772">
        <f t="shared" ca="1" si="2"/>
        <v>0.4842407047746542</v>
      </c>
      <c r="C27" s="465">
        <f t="shared" ca="1" si="3"/>
        <v>0</v>
      </c>
      <c r="D27" s="465">
        <f t="shared" si="4"/>
        <v>1.6217172083552311</v>
      </c>
      <c r="E27" s="465">
        <f t="shared" si="5"/>
        <v>101.53968740383765</v>
      </c>
      <c r="F27" s="465">
        <f t="shared" si="6"/>
        <v>0</v>
      </c>
      <c r="G27" s="465">
        <f t="shared" si="7"/>
        <v>17820.03877816895</v>
      </c>
      <c r="H27" s="465">
        <f t="shared" si="8"/>
        <v>4351.2550136238287</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22274.939437109744</v>
      </c>
    </row>
    <row r="28" spans="1:17">
      <c r="A28" s="460" t="s">
        <v>569</v>
      </c>
      <c r="B28" s="461">
        <f t="shared" ca="1" si="2"/>
        <v>0</v>
      </c>
      <c r="C28" s="461">
        <f t="shared" ca="1" si="3"/>
        <v>0</v>
      </c>
      <c r="D28" s="461">
        <f t="shared" si="4"/>
        <v>0</v>
      </c>
      <c r="E28" s="461">
        <f t="shared" si="5"/>
        <v>0</v>
      </c>
      <c r="F28" s="461">
        <f t="shared" si="6"/>
        <v>0</v>
      </c>
      <c r="G28" s="461">
        <f t="shared" si="7"/>
        <v>489.6693541145508</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489.6693541145508</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360.57991789803651</v>
      </c>
      <c r="C32" s="461">
        <f t="shared" ca="1" si="3"/>
        <v>0</v>
      </c>
      <c r="D32" s="461">
        <f t="shared" si="4"/>
        <v>1224.6860586427331</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1585.2659765407695</v>
      </c>
    </row>
    <row r="33" spans="1:17" s="473" customFormat="1">
      <c r="A33" s="470" t="s">
        <v>573</v>
      </c>
      <c r="B33" s="471">
        <f ca="1">SUM(B22:B32)</f>
        <v>12471.406183528492</v>
      </c>
      <c r="C33" s="471">
        <f t="shared" ref="C33:Q33" ca="1" si="18">SUM(C22:C32)</f>
        <v>0</v>
      </c>
      <c r="D33" s="471">
        <f t="shared" ca="1" si="18"/>
        <v>36467.69845408883</v>
      </c>
      <c r="E33" s="471">
        <f t="shared" si="18"/>
        <v>329.4179996629569</v>
      </c>
      <c r="F33" s="471">
        <f t="shared" ca="1" si="18"/>
        <v>3689.8223807020527</v>
      </c>
      <c r="G33" s="471">
        <f t="shared" si="18"/>
        <v>18309.7081322835</v>
      </c>
      <c r="H33" s="471">
        <f t="shared" si="18"/>
        <v>4351.2550136238287</v>
      </c>
      <c r="I33" s="471">
        <f t="shared" si="18"/>
        <v>0</v>
      </c>
      <c r="J33" s="471">
        <f t="shared" si="18"/>
        <v>4.510864495298236</v>
      </c>
      <c r="K33" s="471">
        <f t="shared" si="18"/>
        <v>0</v>
      </c>
      <c r="L33" s="471">
        <f t="shared" ca="1" si="18"/>
        <v>0</v>
      </c>
      <c r="M33" s="471">
        <f t="shared" si="18"/>
        <v>0</v>
      </c>
      <c r="N33" s="471">
        <f t="shared" ca="1" si="18"/>
        <v>0</v>
      </c>
      <c r="O33" s="471">
        <f t="shared" si="18"/>
        <v>0</v>
      </c>
      <c r="P33" s="471">
        <f t="shared" si="18"/>
        <v>0</v>
      </c>
      <c r="Q33" s="471">
        <f t="shared" ca="1" si="18"/>
        <v>75623.819028384954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1002.6694011998516</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1002.6694011998516</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0.21714185841101508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0.21714185841101508</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2019-08-12T07:53:38Z</dcterms:modified>
</cp:coreProperties>
</file>