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C19"/>
  <c r="B19"/>
  <c r="N18"/>
  <c r="M18"/>
  <c r="L18"/>
  <c r="K18"/>
  <c r="J18"/>
  <c r="I18"/>
  <c r="H18"/>
  <c r="G18"/>
  <c r="F18"/>
  <c r="F20" s="1"/>
  <c r="E18"/>
  <c r="D18"/>
  <c r="C18"/>
  <c r="B18"/>
  <c r="L9"/>
  <c r="K9"/>
  <c r="K10" s="1"/>
  <c r="I9"/>
  <c r="G9"/>
  <c r="G10" s="1"/>
  <c r="F9"/>
  <c r="D9"/>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N58"/>
  <c r="C98" s="1"/>
  <c r="M58"/>
  <c r="G22"/>
  <c r="F22"/>
  <c r="E22"/>
  <c r="D22"/>
  <c r="C22"/>
  <c r="L20"/>
  <c r="K20"/>
  <c r="G20"/>
  <c r="D20"/>
  <c r="G12"/>
  <c r="F12"/>
  <c r="E12"/>
  <c r="D12"/>
  <c r="C12"/>
  <c r="L10"/>
  <c r="F10"/>
  <c r="D10"/>
  <c r="B6"/>
  <c r="B5"/>
  <c r="B4"/>
  <c r="O9" l="1"/>
  <c r="B98"/>
  <c r="I102" s="1"/>
  <c r="H17" s="1"/>
  <c r="H20" s="1"/>
  <c r="B10"/>
  <c r="O18"/>
  <c r="B17"/>
  <c r="B20" s="1"/>
  <c r="B8"/>
  <c r="O19"/>
  <c r="I101"/>
  <c r="H8" s="1"/>
  <c r="H10" s="1"/>
  <c r="E101"/>
  <c r="E8" s="1"/>
  <c r="E10" s="1"/>
  <c r="G101"/>
  <c r="C101"/>
  <c r="H101"/>
  <c r="D101"/>
  <c r="F101"/>
  <c r="B101"/>
  <c r="C8" s="1"/>
  <c r="N6" i="17"/>
  <c r="L6"/>
  <c r="F6"/>
  <c r="D6"/>
  <c r="C6"/>
  <c r="N16" i="16"/>
  <c r="L16"/>
  <c r="F16"/>
  <c r="D16"/>
  <c r="C16"/>
  <c r="B16"/>
  <c r="B13" i="15"/>
  <c r="E102" i="18" l="1"/>
  <c r="E17" s="1"/>
  <c r="E20" s="1"/>
  <c r="G102"/>
  <c r="I17" s="1"/>
  <c r="C102"/>
  <c r="B102"/>
  <c r="C17" s="1"/>
  <c r="C20" s="1"/>
  <c r="H102"/>
  <c r="D102"/>
  <c r="J17" s="1"/>
  <c r="J20" s="1"/>
  <c r="F102"/>
  <c r="C10"/>
  <c r="I8"/>
  <c r="I10" s="1"/>
  <c r="J8"/>
  <c r="J10" s="1"/>
  <c r="B19" i="6"/>
  <c r="B18"/>
  <c r="B5"/>
  <c r="C29" i="14" s="1"/>
  <c r="B6" i="6"/>
  <c r="C64" i="14" s="1"/>
  <c r="D14" i="48"/>
  <c r="P7"/>
  <c r="P25" s="1"/>
  <c r="O7"/>
  <c r="M7"/>
  <c r="K7"/>
  <c r="I7"/>
  <c r="H7"/>
  <c r="G7"/>
  <c r="P10"/>
  <c r="O10"/>
  <c r="N10"/>
  <c r="L10"/>
  <c r="K10"/>
  <c r="J10"/>
  <c r="I10"/>
  <c r="H10"/>
  <c r="F10"/>
  <c r="E10"/>
  <c r="D10"/>
  <c r="C10"/>
  <c r="P9"/>
  <c r="O9"/>
  <c r="N9"/>
  <c r="L9"/>
  <c r="K9"/>
  <c r="J9"/>
  <c r="I9"/>
  <c r="F9"/>
  <c r="C9"/>
  <c r="P13"/>
  <c r="P31" s="1"/>
  <c r="O13"/>
  <c r="N13"/>
  <c r="L13"/>
  <c r="K13"/>
  <c r="J13"/>
  <c r="I13"/>
  <c r="F13"/>
  <c r="E13"/>
  <c r="D13"/>
  <c r="C13"/>
  <c r="B13"/>
  <c r="M8"/>
  <c r="K8"/>
  <c r="I8"/>
  <c r="H8"/>
  <c r="G8"/>
  <c r="B12"/>
  <c r="P17"/>
  <c r="O17"/>
  <c r="O25" s="1"/>
  <c r="M4"/>
  <c r="L4"/>
  <c r="K4"/>
  <c r="I4"/>
  <c r="H4"/>
  <c r="G4"/>
  <c r="P11"/>
  <c r="P29" s="1"/>
  <c r="O11"/>
  <c r="O29" s="1"/>
  <c r="N11"/>
  <c r="M11"/>
  <c r="L11"/>
  <c r="K11"/>
  <c r="J11"/>
  <c r="I11"/>
  <c r="H11"/>
  <c r="G11"/>
  <c r="F11"/>
  <c r="E11"/>
  <c r="D11"/>
  <c r="C11"/>
  <c r="B11"/>
  <c r="P32"/>
  <c r="O32"/>
  <c r="O31"/>
  <c r="Q12"/>
  <c r="Q11"/>
  <c r="P28"/>
  <c r="O28"/>
  <c r="P27"/>
  <c r="O27"/>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C88" s="1"/>
  <c r="C18" i="56" s="1"/>
  <c r="O87" i="14"/>
  <c r="O17" i="56" s="1"/>
  <c r="N87" i="14"/>
  <c r="N17" i="56" s="1"/>
  <c r="M87" i="14"/>
  <c r="M17" i="56" s="1"/>
  <c r="M20" s="1"/>
  <c r="L87" i="14"/>
  <c r="K87"/>
  <c r="K17" i="56" s="1"/>
  <c r="H87" i="14"/>
  <c r="H17" i="56" s="1"/>
  <c r="H20" s="1"/>
  <c r="G87" i="14"/>
  <c r="G17" i="56" s="1"/>
  <c r="F87" i="14"/>
  <c r="F17" i="56" s="1"/>
  <c r="F20" s="1"/>
  <c r="E87" i="14"/>
  <c r="E17" i="56" s="1"/>
  <c r="E20" s="1"/>
  <c r="D87" i="14"/>
  <c r="O77"/>
  <c r="N77"/>
  <c r="N9" i="56" s="1"/>
  <c r="M77" i="14"/>
  <c r="M9" i="56" s="1"/>
  <c r="L77" i="14"/>
  <c r="L9" i="56" s="1"/>
  <c r="L10" s="1"/>
  <c r="K77" i="14"/>
  <c r="K9" i="56" s="1"/>
  <c r="J77" i="14"/>
  <c r="J9" i="56" s="1"/>
  <c r="I77" i="14"/>
  <c r="I9" i="56" s="1"/>
  <c r="H77" i="14"/>
  <c r="G77"/>
  <c r="G9" i="56" s="1"/>
  <c r="F77" i="14"/>
  <c r="F9" i="56" s="1"/>
  <c r="E77" i="14"/>
  <c r="E9" i="56" s="1"/>
  <c r="D77" i="14"/>
  <c r="O76"/>
  <c r="O8" i="56" s="1"/>
  <c r="N76" i="14"/>
  <c r="M76"/>
  <c r="L76"/>
  <c r="L8" i="56" s="1"/>
  <c r="K76" i="14"/>
  <c r="H76"/>
  <c r="H8" i="56" s="1"/>
  <c r="G76" i="14"/>
  <c r="G8" i="56" s="1"/>
  <c r="G10" s="1"/>
  <c r="F76" i="14"/>
  <c r="F8" i="56" s="1"/>
  <c r="F10" s="1"/>
  <c r="E76" i="14"/>
  <c r="D76"/>
  <c r="D8" i="56" s="1"/>
  <c r="B75" i="14"/>
  <c r="B7" i="56" s="1"/>
  <c r="B74" i="14"/>
  <c r="B6" i="56" s="1"/>
  <c r="B73" i="14"/>
  <c r="B5" i="56" s="1"/>
  <c r="B72" i="14"/>
  <c r="B4" i="56" s="1"/>
  <c r="Q54" i="14"/>
  <c r="P54"/>
  <c r="L54"/>
  <c r="J54"/>
  <c r="I54"/>
  <c r="H54"/>
  <c r="H56" s="1"/>
  <c r="Q24"/>
  <c r="P24"/>
  <c r="N24"/>
  <c r="N26" s="1"/>
  <c r="L24"/>
  <c r="J24"/>
  <c r="I24"/>
  <c r="I26" s="1"/>
  <c r="H24"/>
  <c r="H26" s="1"/>
  <c r="Q50"/>
  <c r="P50"/>
  <c r="O50"/>
  <c r="M50"/>
  <c r="L50"/>
  <c r="K50"/>
  <c r="J50"/>
  <c r="G50"/>
  <c r="D50"/>
  <c r="Q49"/>
  <c r="Q52" s="1"/>
  <c r="P49"/>
  <c r="Q20"/>
  <c r="P20"/>
  <c r="P22" s="1"/>
  <c r="O20"/>
  <c r="M20"/>
  <c r="L20"/>
  <c r="K20"/>
  <c r="J20"/>
  <c r="G20"/>
  <c r="D20"/>
  <c r="Q19"/>
  <c r="P19"/>
  <c r="O19"/>
  <c r="O22" s="1"/>
  <c r="M19"/>
  <c r="M22" s="1"/>
  <c r="L19"/>
  <c r="K19"/>
  <c r="J19"/>
  <c r="I19"/>
  <c r="G19"/>
  <c r="G22" s="1"/>
  <c r="F19"/>
  <c r="E19"/>
  <c r="D19"/>
  <c r="Q48"/>
  <c r="P48"/>
  <c r="O48"/>
  <c r="M48"/>
  <c r="L48"/>
  <c r="K48"/>
  <c r="J48"/>
  <c r="G48"/>
  <c r="D48"/>
  <c r="Q18"/>
  <c r="P18"/>
  <c r="O18"/>
  <c r="M18"/>
  <c r="L18"/>
  <c r="L22" s="1"/>
  <c r="K18"/>
  <c r="K22" s="1"/>
  <c r="J18"/>
  <c r="J22" s="1"/>
  <c r="G18"/>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Q76"/>
  <c r="P8" i="56" s="1"/>
  <c r="R90" i="14"/>
  <c r="N90"/>
  <c r="R78"/>
  <c r="F78"/>
  <c r="P56"/>
  <c r="L56"/>
  <c r="J56"/>
  <c r="Q56"/>
  <c r="I56"/>
  <c r="P52"/>
  <c r="R44"/>
  <c r="Q26"/>
  <c r="J26"/>
  <c r="E25"/>
  <c r="C25"/>
  <c r="B14" i="48" s="1"/>
  <c r="Q14" s="1"/>
  <c r="P26" i="14"/>
  <c r="L26"/>
  <c r="Q22"/>
  <c r="R12"/>
  <c r="F13" i="15"/>
  <c r="D13"/>
  <c r="C13"/>
  <c r="I20" i="18" l="1"/>
  <c r="I87" i="14"/>
  <c r="I17" i="56" s="1"/>
  <c r="I20" s="1"/>
  <c r="C77" i="14"/>
  <c r="C9" i="56" s="1"/>
  <c r="D9"/>
  <c r="D10" s="1"/>
  <c r="H90" i="14"/>
  <c r="G78"/>
  <c r="Q89"/>
  <c r="P19" i="56" s="1"/>
  <c r="I76" i="14"/>
  <c r="I8" i="56" s="1"/>
  <c r="I10" s="1"/>
  <c r="N78" i="14"/>
  <c r="N8" i="56"/>
  <c r="N10" s="1"/>
  <c r="E8"/>
  <c r="E10" s="1"/>
  <c r="M78" i="14"/>
  <c r="M8" i="56"/>
  <c r="M10" s="1"/>
  <c r="F90" i="14"/>
  <c r="Q88"/>
  <c r="P18" i="56" s="1"/>
  <c r="D18"/>
  <c r="Q87" i="14"/>
  <c r="P17" i="56" s="1"/>
  <c r="P20" s="1"/>
  <c r="D17"/>
  <c r="K78" i="14"/>
  <c r="K8" i="56"/>
  <c r="K10" s="1"/>
  <c r="O78" i="14"/>
  <c r="O9" i="56"/>
  <c r="O10" s="1"/>
  <c r="L90" i="14"/>
  <c r="L17" i="56"/>
  <c r="L20" s="1"/>
  <c r="G90" i="14"/>
  <c r="G18" i="56"/>
  <c r="G20" s="1"/>
  <c r="O90" i="14"/>
  <c r="O18" i="56"/>
  <c r="O20" s="1"/>
  <c r="K90" i="14"/>
  <c r="K18" i="56"/>
  <c r="K20" s="1"/>
  <c r="H78" i="14"/>
  <c r="H9" i="56"/>
  <c r="H10" s="1"/>
  <c r="L78" i="14"/>
  <c r="J76"/>
  <c r="B76" s="1"/>
  <c r="N20" i="56"/>
  <c r="D78" i="14"/>
  <c r="Q77"/>
  <c r="C87"/>
  <c r="C17" i="56" s="1"/>
  <c r="C20" s="1"/>
  <c r="O17" i="18"/>
  <c r="O20" s="1"/>
  <c r="J87" i="14"/>
  <c r="B88"/>
  <c r="B18" i="56" s="1"/>
  <c r="C89" i="14"/>
  <c r="C19" i="56" s="1"/>
  <c r="B89" i="14"/>
  <c r="B19" i="56" s="1"/>
  <c r="B77" i="14"/>
  <c r="B9" i="56" s="1"/>
  <c r="O8" i="18"/>
  <c r="O10" s="1"/>
  <c r="N13" i="15"/>
  <c r="L13"/>
  <c r="O24" i="48"/>
  <c r="O30"/>
  <c r="P24"/>
  <c r="P30"/>
  <c r="R9" i="14"/>
  <c r="E78"/>
  <c r="I78"/>
  <c r="E55"/>
  <c r="R25"/>
  <c r="E90"/>
  <c r="M90"/>
  <c r="D90"/>
  <c r="B8" i="56" l="1"/>
  <c r="B10" s="1"/>
  <c r="B78" i="14"/>
  <c r="J90"/>
  <c r="J17" i="56"/>
  <c r="J20" s="1"/>
  <c r="D20"/>
  <c r="J8"/>
  <c r="J10" s="1"/>
  <c r="J78" i="14"/>
  <c r="I90"/>
  <c r="Q78"/>
  <c r="B9" i="6" s="1"/>
  <c r="P9" i="56"/>
  <c r="P10" s="1"/>
  <c r="Q90" i="14"/>
  <c r="B17" i="6" s="1"/>
  <c r="C76" i="14"/>
  <c r="C90"/>
  <c r="B87"/>
  <c r="C8" i="56" l="1"/>
  <c r="C10" s="1"/>
  <c r="C78" i="14"/>
  <c r="B4" i="6"/>
  <c r="B90" i="14"/>
  <c r="B17" i="56"/>
  <c r="B20" s="1"/>
  <c r="D5" i="17"/>
  <c r="H14" i="15" l="1"/>
  <c r="H16" s="1"/>
  <c r="G14"/>
  <c r="G16" s="1"/>
  <c r="H10" i="14" l="1"/>
  <c r="H16" s="1"/>
  <c r="G5" i="48"/>
  <c r="H5"/>
  <c r="I10" i="14"/>
  <c r="I16" s="1"/>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N10" i="14" l="1"/>
  <c r="N16" s="1"/>
  <c r="M5" i="48"/>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B7" i="48" l="1"/>
  <c r="C24" i="14"/>
  <c r="C26" s="1"/>
  <c r="H32" i="48"/>
  <c r="H26"/>
  <c r="H28"/>
  <c r="H30"/>
  <c r="H25"/>
  <c r="H24"/>
  <c r="H29"/>
  <c r="H22"/>
  <c r="H23"/>
  <c r="N30"/>
  <c r="N24"/>
  <c r="N32"/>
  <c r="N29"/>
  <c r="N28"/>
  <c r="N27"/>
  <c r="N31"/>
  <c r="K25"/>
  <c r="K32"/>
  <c r="K31"/>
  <c r="K29"/>
  <c r="K26"/>
  <c r="K22"/>
  <c r="K28"/>
  <c r="K27"/>
  <c r="K30"/>
  <c r="K24"/>
  <c r="I5"/>
  <c r="J10" i="14"/>
  <c r="J16" s="1"/>
  <c r="J27" s="1"/>
  <c r="Q11"/>
  <c r="P4" i="48"/>
  <c r="P11" i="14"/>
  <c r="O4" i="48"/>
  <c r="I32"/>
  <c r="I22"/>
  <c r="I25"/>
  <c r="I26"/>
  <c r="I28"/>
  <c r="I27"/>
  <c r="I31"/>
  <c r="I30"/>
  <c r="I24"/>
  <c r="I29"/>
  <c r="C4"/>
  <c r="D11" i="14"/>
  <c r="G32" i="48"/>
  <c r="G22"/>
  <c r="G25"/>
  <c r="G30"/>
  <c r="G29"/>
  <c r="G26"/>
  <c r="G24"/>
  <c r="G23"/>
  <c r="J29"/>
  <c r="J24"/>
  <c r="J32"/>
  <c r="J30"/>
  <c r="J31"/>
  <c r="J27"/>
  <c r="J28"/>
  <c r="E11" i="14"/>
  <c r="D4" i="48"/>
  <c r="D22" s="1"/>
  <c r="F29"/>
  <c r="F27"/>
  <c r="F24"/>
  <c r="F28"/>
  <c r="F32"/>
  <c r="F30"/>
  <c r="F31"/>
  <c r="E28"/>
  <c r="E31"/>
  <c r="E32"/>
  <c r="E30"/>
  <c r="E29"/>
  <c r="E24"/>
  <c r="M12" i="13"/>
  <c r="N41" i="14" s="1"/>
  <c r="M17" i="48"/>
  <c r="B4"/>
  <c r="C11" i="14"/>
  <c r="C19"/>
  <c r="B10" i="48"/>
  <c r="L10" i="14"/>
  <c r="L16" s="1"/>
  <c r="L27" s="1"/>
  <c r="K5" i="48"/>
  <c r="D30"/>
  <c r="D31"/>
  <c r="D29"/>
  <c r="D32"/>
  <c r="D24"/>
  <c r="D28"/>
  <c r="L32"/>
  <c r="L27"/>
  <c r="L31"/>
  <c r="L29"/>
  <c r="L24"/>
  <c r="L22"/>
  <c r="L28"/>
  <c r="L30"/>
  <c r="P5"/>
  <c r="P23" s="1"/>
  <c r="Q10" i="14"/>
  <c r="D8" i="17"/>
  <c r="D12" s="1"/>
  <c r="E54" i="14" s="1"/>
  <c r="E56" s="1"/>
  <c r="K19" i="19"/>
  <c r="L39" i="14" s="1"/>
  <c r="L46" s="1"/>
  <c r="L61"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F4" i="48" l="1"/>
  <c r="F22" s="1"/>
  <c r="G11" i="14"/>
  <c r="I18"/>
  <c r="H13" i="48"/>
  <c r="H31" s="1"/>
  <c r="P10" i="14"/>
  <c r="O5" i="48"/>
  <c r="O23" s="1"/>
  <c r="M32"/>
  <c r="M22"/>
  <c r="M25"/>
  <c r="M26"/>
  <c r="M30"/>
  <c r="M29"/>
  <c r="M24"/>
  <c r="M23"/>
  <c r="P22"/>
  <c r="O22"/>
  <c r="Q13" i="14"/>
  <c r="P8" i="48"/>
  <c r="P26" s="1"/>
  <c r="H18" i="14"/>
  <c r="G13" i="48"/>
  <c r="N18" i="14"/>
  <c r="M13" i="48"/>
  <c r="M31" s="1"/>
  <c r="I33"/>
  <c r="J12" i="17"/>
  <c r="K54" i="14" s="1"/>
  <c r="K56" s="1"/>
  <c r="J7" i="48"/>
  <c r="J25" s="1"/>
  <c r="K24" i="14"/>
  <c r="K26" s="1"/>
  <c r="I15" i="48"/>
  <c r="I23"/>
  <c r="J46" i="14"/>
  <c r="J61" s="1"/>
  <c r="L63"/>
  <c r="J63"/>
  <c r="K23" i="48"/>
  <c r="K33" s="1"/>
  <c r="K15"/>
  <c r="Q16" i="14"/>
  <c r="Q27" s="1"/>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O18" i="16"/>
  <c r="M51" i="22"/>
  <c r="M50" s="1"/>
  <c r="M54" s="1"/>
  <c r="H31" i="20"/>
  <c r="I48" i="14" s="1"/>
  <c r="M31" i="20"/>
  <c r="N48" i="14" s="1"/>
  <c r="G50" i="22"/>
  <c r="G54" s="1"/>
  <c r="M5"/>
  <c r="G5"/>
  <c r="H5"/>
  <c r="H14" s="1"/>
  <c r="E5" i="15"/>
  <c r="O20"/>
  <c r="P40" i="14" s="1"/>
  <c r="P20" i="15"/>
  <c r="Q40" i="14" s="1"/>
  <c r="Q46" s="1"/>
  <c r="Q61" s="1"/>
  <c r="Q63" s="1"/>
  <c r="J5" i="15"/>
  <c r="F5"/>
  <c r="F16" s="1"/>
  <c r="B5"/>
  <c r="B16" s="1"/>
  <c r="B5" i="16"/>
  <c r="B18" s="1"/>
  <c r="N5" i="15"/>
  <c r="N16" s="1"/>
  <c r="F12" i="13"/>
  <c r="G41" i="14" s="1"/>
  <c r="F13" i="16"/>
  <c r="E13"/>
  <c r="N13"/>
  <c r="J13"/>
  <c r="B47" i="13"/>
  <c r="N12" i="16"/>
  <c r="J12"/>
  <c r="F12"/>
  <c r="E12"/>
  <c r="B46" i="13"/>
  <c r="E5" s="1"/>
  <c r="E8" s="1"/>
  <c r="C50"/>
  <c r="J5" s="1"/>
  <c r="J8" s="1"/>
  <c r="E12" i="17"/>
  <c r="F54" i="14" s="1"/>
  <c r="F56" s="1"/>
  <c r="O11" l="1"/>
  <c r="N4" i="48"/>
  <c r="N22" s="1"/>
  <c r="E20" i="14"/>
  <c r="E22" s="1"/>
  <c r="D9" i="48"/>
  <c r="D27" s="1"/>
  <c r="E9"/>
  <c r="E27" s="1"/>
  <c r="F20" i="14"/>
  <c r="F22" s="1"/>
  <c r="P33" i="48"/>
  <c r="M10"/>
  <c r="M28" s="1"/>
  <c r="N19" i="14"/>
  <c r="H9" i="48"/>
  <c r="I20" i="14"/>
  <c r="R18"/>
  <c r="P13"/>
  <c r="O8" i="48"/>
  <c r="G31"/>
  <c r="Q13"/>
  <c r="D16" i="14"/>
  <c r="E12" i="13"/>
  <c r="F41" i="14" s="1"/>
  <c r="F11"/>
  <c r="E4" i="48"/>
  <c r="C20" i="14"/>
  <c r="B9" i="48"/>
  <c r="G10"/>
  <c r="H19" i="14"/>
  <c r="J4" i="48"/>
  <c r="K11" i="14"/>
  <c r="E7" i="48"/>
  <c r="E25" s="1"/>
  <c r="F24" i="14"/>
  <c r="F26" s="1"/>
  <c r="P46"/>
  <c r="P61" s="1"/>
  <c r="P63" s="1"/>
  <c r="I22"/>
  <c r="I27" s="1"/>
  <c r="D18" i="22"/>
  <c r="E50" i="14" s="1"/>
  <c r="E52" s="1"/>
  <c r="P16"/>
  <c r="P27" s="1"/>
  <c r="M14" i="22"/>
  <c r="P15" i="48"/>
  <c r="M16" i="14"/>
  <c r="D22" i="16"/>
  <c r="E43" i="14" s="1"/>
  <c r="D8" i="48"/>
  <c r="D26" s="1"/>
  <c r="E13" i="14"/>
  <c r="C13"/>
  <c r="B8" i="48"/>
  <c r="O10" i="14"/>
  <c r="N5" i="48"/>
  <c r="N23" s="1"/>
  <c r="F5"/>
  <c r="G10" i="14"/>
  <c r="D27"/>
  <c r="B20" i="6" s="1"/>
  <c r="B22" s="1"/>
  <c r="C22" i="56" s="1"/>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G58" i="22"/>
  <c r="H49" i="14" s="1"/>
  <c r="M58" i="22"/>
  <c r="N49" i="14" s="1"/>
  <c r="M18" i="22"/>
  <c r="N50" i="14" s="1"/>
  <c r="N52" s="1"/>
  <c r="N61" s="1"/>
  <c r="H18" i="22"/>
  <c r="I50" i="14" s="1"/>
  <c r="I52" s="1"/>
  <c r="I61" s="1"/>
  <c r="I63" s="1"/>
  <c r="N20" i="15"/>
  <c r="O40" i="14" s="1"/>
  <c r="F20" i="15"/>
  <c r="G40" i="14" s="1"/>
  <c r="N5" i="16"/>
  <c r="E5"/>
  <c r="J5"/>
  <c r="C35" i="13"/>
  <c r="F5" i="16"/>
  <c r="C36" i="13"/>
  <c r="N12"/>
  <c r="O41" i="14" s="1"/>
  <c r="C38" i="13"/>
  <c r="C39"/>
  <c r="C32"/>
  <c r="C34"/>
  <c r="J12"/>
  <c r="K41" i="14" s="1"/>
  <c r="L20" i="15"/>
  <c r="M40" i="14" s="1"/>
  <c r="M46" s="1"/>
  <c r="H52" l="1"/>
  <c r="H61" s="1"/>
  <c r="H63" s="1"/>
  <c r="G9" i="48"/>
  <c r="Q9" s="1"/>
  <c r="H20" i="14"/>
  <c r="H22" s="1"/>
  <c r="H27" s="1"/>
  <c r="K10"/>
  <c r="J5" i="48"/>
  <c r="J23" s="1"/>
  <c r="E22"/>
  <c r="Q4"/>
  <c r="O26"/>
  <c r="O33" s="1"/>
  <c r="O15"/>
  <c r="H27"/>
  <c r="H33" s="1"/>
  <c r="H15"/>
  <c r="E5"/>
  <c r="E23" s="1"/>
  <c r="F10" i="14"/>
  <c r="E46"/>
  <c r="E61" s="1"/>
  <c r="G28" i="48"/>
  <c r="Q10"/>
  <c r="G18" i="22"/>
  <c r="H50" i="14" s="1"/>
  <c r="R19"/>
  <c r="C22"/>
  <c r="M9" i="48"/>
  <c r="N20" i="14"/>
  <c r="N22" s="1"/>
  <c r="N27" s="1"/>
  <c r="N63" s="1"/>
  <c r="J22" i="48"/>
  <c r="R11" i="14"/>
  <c r="D15" i="48"/>
  <c r="E16" i="14"/>
  <c r="E27" s="1"/>
  <c r="E63" s="1"/>
  <c r="D33" i="48"/>
  <c r="M61" i="14"/>
  <c r="M63" s="1"/>
  <c r="F23" i="48"/>
  <c r="R10" i="14"/>
  <c r="C16"/>
  <c r="C27" s="1"/>
  <c r="B3" i="6" s="1"/>
  <c r="B12" s="1"/>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F13" l="1"/>
  <c r="E8" i="48"/>
  <c r="E26" s="1"/>
  <c r="G27"/>
  <c r="G33" s="1"/>
  <c r="G15"/>
  <c r="J8"/>
  <c r="K13" i="14"/>
  <c r="K16" s="1"/>
  <c r="K27" s="1"/>
  <c r="F16"/>
  <c r="F27" s="1"/>
  <c r="E33" i="48"/>
  <c r="M27"/>
  <c r="M33" s="1"/>
  <c r="M15"/>
  <c r="Q5"/>
  <c r="R20" i="14"/>
  <c r="R22" s="1"/>
  <c r="E15" i="48"/>
  <c r="C55" i="14"/>
  <c r="R55" s="1"/>
  <c r="C12" i="56"/>
  <c r="O13" i="14"/>
  <c r="O16" s="1"/>
  <c r="O27" s="1"/>
  <c r="N8" i="48"/>
  <c r="N22" i="16"/>
  <c r="O43" i="14" s="1"/>
  <c r="O46" s="1"/>
  <c r="O61" s="1"/>
  <c r="F8" i="48"/>
  <c r="G13" i="14"/>
  <c r="C32" i="48"/>
  <c r="C29"/>
  <c r="C22"/>
  <c r="C28"/>
  <c r="C30"/>
  <c r="C31"/>
  <c r="C23"/>
  <c r="C24"/>
  <c r="C27"/>
  <c r="C26"/>
  <c r="C25"/>
  <c r="E22" i="16"/>
  <c r="F43" i="14" s="1"/>
  <c r="F46" s="1"/>
  <c r="F61" s="1"/>
  <c r="J22" i="16"/>
  <c r="K43" i="14" s="1"/>
  <c r="K46" s="1"/>
  <c r="K61" s="1"/>
  <c r="C12" i="13"/>
  <c r="D41" i="14" s="1"/>
  <c r="D46" s="1"/>
  <c r="D61" s="1"/>
  <c r="D63" s="1"/>
  <c r="K63" l="1"/>
  <c r="J26" i="48"/>
  <c r="J33" s="1"/>
  <c r="J15"/>
  <c r="F63" i="14"/>
  <c r="O63"/>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<sst xmlns="http://schemas.openxmlformats.org/spreadsheetml/2006/main" count="2486" uniqueCount="948">
  <si>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</si>
  <si>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</si>
  <si>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</si>
  <si>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</si>
  <si>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</si>
  <si>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</si>
  <si>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</si>
  <si>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</si>
  <si>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</si>
  <si>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</si>
  <si>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</si>
  <si>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</si>
  <si>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</si>
  <si>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</si>
  <si>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</si>
  <si>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</si>
  <si>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</si>
  <si>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</si>
  <si>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</si>
  <si>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</si>
  <si>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</si>
  <si>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</si>
  <si>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</si>
  <si>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</si>
  <si>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</si>
  <si>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</si>
  <si>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</si>
  <si>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</si>
  <si>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</si>
  <si>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</si>
  <si>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</si>
  <si>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</si>
  <si>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</si>
  <si>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</si>
  <si>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</si>
  <si>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</si>
  <si>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</si>
  <si>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</si>
  <si>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</si>
  <si>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</si>
  <si>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</si>
  <si>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</si>
  <si>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</si>
  <si>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</si>
  <si>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</si>
  <si>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</si>
  <si>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</si>
  <si>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</si>
  <si>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</si>
  <si>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</si>
  <si>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</si>
  <si>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</si>
  <si>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</si>
  <si>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</si>
  <si>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</si>
  <si>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</si>
  <si>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</si>
  <si>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</si>
  <si>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</si>
  <si>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</si>
  <si>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</si>
  <si>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</si>
  <si>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</si>
  <si>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</si>
  <si>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</si>
  <si>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</si>
  <si>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</si>
  <si>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</si>
  <si>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</si>
  <si>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</si>
  <si>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</si>
  <si>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</si>
  <si>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</si>
  <si>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</si>
  <si>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</si>
  <si>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</si>
  <si>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</si>
  <si>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</si>
  <si>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</si>
  <si>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</si>
  <si>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</si>
  <si>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</si>
  <si>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</si>
  <si>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</si>
  <si>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</si>
  <si>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</si>
  <si>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</si>
  <si>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</si>
  <si>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</si>
  <si>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</si>
  <si>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</si>
  <si>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</si>
  <si>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</si>
  <si>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</si>
  <si>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</si>
  <si>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</si>
  <si>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</si>
  <si>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</si>
  <si>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</si>
  <si>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</si>
  <si>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</si>
  <si>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</si>
  <si>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</si>
  <si>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</si>
  <si>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</si>
  <si>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</si>
  <si>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</si>
  <si>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</si>
  <si>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</si>
  <si>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</si>
  <si>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</si>
  <si>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</si>
  <si>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</si>
  <si>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</si>
  <si>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</si>
  <si>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</si>
  <si>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</si>
  <si>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</si>
  <si>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</si>
  <si>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</si>
  <si>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</si>
  <si>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</si>
  <si>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</si>
  <si>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</si>
  <si>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</si>
  <si>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</si>
  <si>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</si>
  <si>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</si>
  <si>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</si>
  <si>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</si>
  <si>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</si>
  <si>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</si>
  <si>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</si>
  <si>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</si>
  <si>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</si>
  <si>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</si>
  <si>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</si>
  <si>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</si>
  <si>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</si>
  <si>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</si>
  <si>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</si>
  <si>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</si>
  <si>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</si>
  <si>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</si>
  <si>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</si>
  <si>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</si>
  <si>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</si>
  <si>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</si>
  <si>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</si>
  <si>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</si>
  <si>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</si>
  <si>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</si>
  <si>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</si>
  <si>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</si>
  <si>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</si>
  <si>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</si>
  <si>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</si>
  <si>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</si>
  <si>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</si>
  <si>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</si>
  <si>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</si>
  <si>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</si>
  <si>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</si>
  <si>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</si>
  <si>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</si>
  <si>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</si>
  <si>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</si>
  <si>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</si>
  <si>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</si>
  <si>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</si>
  <si>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</si>
  <si>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</si>
  <si>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</si>
  <si>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</si>
  <si>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</si>
  <si>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</si>
  <si>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</si>
  <si>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</si>
  <si>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</si>
  <si>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</si>
  <si>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</si>
  <si>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</si>
  <si>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</si>
  <si>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</si>
  <si>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</si>
  <si>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</si>
  <si>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</si>
  <si>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</si>
  <si>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</si>
  <si>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</si>
  <si>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</si>
  <si>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</si>
  <si>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</si>
  <si>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</si>
  <si>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</si>
  <si>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</si>
  <si>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</si>
  <si>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</si>
  <si>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</si>
  <si>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</si>
  <si>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</si>
  <si>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</si>
  <si>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</si>
  <si>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</si>
  <si>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</si>
  <si>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</si>
  <si>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</si>
  <si>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</si>
  <si>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</si>
  <si>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</si>
  <si>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</si>
  <si>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</si>
  <si>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</si>
  <si>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</si>
  <si>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</si>
  <si>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</si>
  <si>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</si>
  <si>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</si>
  <si>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</si>
  <si>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</si>
  <si>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</si>
  <si>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</si>
  <si>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</si>
  <si>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</si>
  <si>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</si>
  <si>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</si>
  <si>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</si>
  <si>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</si>
  <si>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</si>
  <si>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</si>
  <si>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</si>
  <si>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</si>
  <si>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</si>
  <si>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</si>
  <si>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</si>
  <si>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</si>
  <si>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</si>
  <si>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</si>
  <si>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</si>
  <si>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</si>
  <si>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</si>
  <si>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</si>
  <si>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</si>
  <si>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</si>
  <si>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</si>
  <si>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</si>
  <si>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</si>
  <si>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</si>
  <si>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</si>
  <si>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</si>
  <si>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</si>
  <si>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</si>
  <si>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</si>
  <si>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</si>
  <si>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</si>
  <si>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</si>
  <si>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</si>
  <si>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</si>
  <si>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</si>
  <si>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</si>
  <si>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</si>
  <si>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</si>
  <si>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</si>
  <si>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</si>
  <si>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</si>
  <si>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</si>
  <si>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</si>
  <si>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</si>
  <si>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</si>
  <si>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</si>
  <si>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</si>
  <si>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</si>
  <si>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</si>
  <si>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</si>
  <si>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</si>
  <si>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</si>
  <si>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</si>
  <si>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</si>
  <si>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</si>
  <si>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</si>
  <si>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</si>
  <si>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</si>
  <si>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</si>
  <si>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</si>
  <si>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</si>
  <si>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</si>
  <si>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</si>
  <si>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</si>
  <si>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</si>
  <si>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</si>
  <si>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</si>
  <si>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</si>
  <si>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</si>
  <si>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</si>
  <si>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</si>
  <si>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</si>
  <si>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</si>
  <si>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</si>
  <si>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</si>
  <si>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</si>
  <si>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</si>
  <si>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</si>
  <si>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</si>
  <si>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</si>
  <si>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</si>
  <si>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</si>
  <si>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</si>
  <si>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</si>
  <si>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</si>
  <si>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</si>
  <si>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</si>
  <si>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</si>
  <si>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</si>
  <si>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</si>
  <si>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</si>
  <si>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</si>
  <si>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</si>
  <si>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</si>
  <si>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</si>
  <si>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</si>
  <si>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</si>
  <si>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</si>
  <si>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</si>
  <si>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</si>
  <si>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</si>
  <si>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</si>
  <si>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</si>
  <si>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</si>
  <si>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</si>
  <si>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</si>
  <si>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</si>
  <si>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</si>
  <si>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</si>
  <si>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</si>
  <si>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</si>
  <si>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</si>
  <si>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</si>
  <si>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</si>
  <si>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</si>
  <si>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</si>
  <si>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</si>
  <si>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</si>
  <si>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</si>
  <si>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</si>
  <si>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</si>
  <si>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</si>
  <si>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</si>
  <si>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</si>
  <si>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</si>
  <si>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</si>
  <si>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</si>
  <si>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</si>
  <si>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</si>
  <si>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</si>
  <si>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</si>
  <si>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</si>
  <si>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</si>
  <si>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</si>
  <si>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</si>
  <si>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</si>
  <si>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</si>
  <si>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</si>
  <si>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</si>
  <si>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</si>
  <si>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</si>
  <si>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</si>
  <si>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</si>
  <si>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</si>
  <si>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</si>
  <si>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</si>
  <si>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</si>
  <si>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</si>
  <si>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</si>
  <si>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</si>
  <si>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</si>
  <si>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</si>
  <si>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</si>
  <si>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</si>
  <si>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</si>
  <si>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</si>
  <si>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</si>
  <si>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</si>
  <si>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</si>
  <si>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</si>
  <si>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</si>
  <si>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</si>
  <si>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</si>
  <si>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</si>
  <si>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</si>
  <si>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</si>
  <si>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</si>
  <si>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</si>
  <si>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</si>
  <si>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</si>
  <si>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</si>
  <si>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</si>
  <si>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</si>
  <si>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</si>
  <si>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</si>
  <si>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</si>
  <si>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</si>
  <si>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</si>
  <si>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</si>
  <si>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</si>
  <si>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</si>
  <si>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</si>
  <si>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</si>
  <si>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</si>
  <si>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</si>
  <si>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</si>
  <si>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</si>
  <si>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</si>
  <si>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</si>
  <si>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</si>
  <si>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</si>
  <si>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</si>
  <si>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</si>
  <si>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</si>
  <si>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</si>
  <si>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</si>
  <si>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</si>
  <si>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</si>
  <si>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</si>
  <si>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</si>
  <si>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</si>
  <si>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</si>
  <si>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</si>
  <si>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</si>
  <si>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</si>
  <si>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</si>
  <si>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</si>
  <si>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</si>
  <si>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</si>
  <si>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</si>
  <si>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</si>
  <si>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</si>
  <si>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</si>
  <si>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</si>
  <si>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</si>
  <si>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</si>
  <si>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</si>
  <si>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</si>
  <si>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</si>
  <si>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</si>
  <si>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</si>
  <si>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</si>
  <si>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</si>
  <si>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</si>
  <si>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</si>
  <si>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</si>
  <si>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</si>
  <si>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</si>
  <si>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</si>
  <si>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</si>
  <si>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</si>
  <si>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</si>
  <si>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</si>
  <si>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</si>
  <si>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</si>
  <si>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</si>
  <si>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</si>
  <si>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</si>
  <si>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</si>
  <si>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</si>
  <si>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</si>
  <si>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</si>
  <si>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</si>
  <si>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</si>
  <si>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</si>
  <si>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</si>
  <si>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</si>
  <si>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</si>
  <si>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</si>
  <si>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</si>
  <si>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</si>
  <si>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</si>
  <si>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</si>
  <si>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</si>
  <si>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</si>
  <si>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</si>
  <si>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</si>
  <si>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</si>
  <si>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</si>
  <si>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</si>
  <si>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</si>
  <si>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</si>
  <si>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</si>
  <si>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</si>
  <si>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</si>
  <si>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</si>
  <si>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</si>
  <si>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</si>
  <si>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</si>
  <si>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</si>
  <si>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</si>
  <si>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</si>
  <si>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</si>
  <si>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</si>
  <si>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</si>
  <si>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</si>
  <si>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</si>
  <si>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</si>
  <si>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</si>
  <si>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</si>
  <si>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</si>
  <si>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</si>
  <si>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</si>
  <si>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</si>
  <si>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</si>
  <si>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</si>
  <si>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</si>
  <si>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</si>
  <si>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</si>
  <si>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</si>
  <si>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</si>
  <si>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</si>
  <si>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</si>
  <si>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</si>
  <si>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</si>
  <si>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</si>
  <si>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</si>
  <si>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</si>
  <si>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</si>
  <si>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</si>
  <si>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</si>
  <si>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</si>
  <si>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</si>
  <si>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</si>
  <si>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</si>
  <si>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</si>
  <si>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</si>
  <si>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</si>
  <si>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</si>
  <si>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</si>
  <si>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</si>
  <si>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</si>
  <si>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</si>
  <si>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</si>
  <si>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</si>
  <si>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</si>
  <si>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</si>
  <si>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</si>
  <si>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</si>
  <si>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</si>
  <si>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</si>
  <si>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</si>
  <si>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</si>
  <si>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</si>
  <si>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</si>
  <si>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</si>
  <si>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</si>
  <si>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</si>
  <si>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</si>
  <si>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</si>
  <si>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</si>
  <si>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</si>
  <si>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</si>
  <si>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</si>
  <si>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</si>
  <si>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</si>
  <si>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</si>
  <si>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</si>
  <si>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</si>
  <si>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</si>
  <si>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</si>
  <si>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</si>
  <si>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</si>
  <si>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</si>
  <si>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</si>
  <si>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</si>
  <si>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</si>
  <si>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</si>
  <si>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</si>
  <si>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</si>
  <si>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</si>
  <si>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</si>
  <si>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</si>
  <si>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</si>
  <si>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</si>
  <si>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</si>
  <si>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</si>
  <si>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</si>
  <si>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</si>
  <si>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</si>
  <si>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</si>
  <si>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</si>
  <si>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</si>
  <si>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</si>
  <si>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</si>
  <si>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</si>
  <si>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</si>
  <si>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</si>
  <si>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</si>
  <si>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</si>
  <si>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</si>
  <si>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</si>
  <si>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</si>
  <si>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</si>
  <si>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</si>
  <si>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</si>
  <si>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</si>
  <si>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</si>
  <si>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</si>
  <si>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</si>
  <si>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</si>
  <si>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</si>
  <si>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</si>
  <si>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</si>
  <si>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</si>
  <si>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</si>
  <si>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</si>
  <si>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</si>
  <si>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</si>
  <si>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</si>
  <si>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</si>
  <si>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</si>
  <si>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</si>
  <si>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</si>
  <si>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</si>
  <si>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</si>
  <si>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</si>
  <si>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</si>
  <si>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</si>
  <si>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</si>
  <si>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</si>
  <si>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</si>
  <si>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</si>
  <si>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</si>
  <si>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</si>
  <si>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</si>
  <si>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</si>
  <si>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</si>
  <si>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</si>
  <si>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</si>
  <si>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</si>
  <si>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</si>
  <si>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</si>
  <si>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</si>
  <si>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</si>
  <si>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</si>
  <si>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</si>
  <si>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</si>
  <si>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</si>
  <si>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</si>
  <si>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</si>
  <si>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</si>
  <si>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</si>
  <si>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</si>
  <si>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</si>
  <si>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</si>
  <si>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</si>
  <si>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</si>
  <si>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</si>
  <si>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</si>
  <si>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</si>
  <si>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</si>
  <si>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</si>
  <si>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</si>
  <si>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</si>
  <si>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</si>
  <si>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</si>
  <si>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</si>
  <si>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</si>
  <si>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</si>
  <si>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</si>
  <si>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</si>
  <si>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</si>
  <si>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</si>
  <si>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</si>
  <si>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</si>
  <si>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</si>
  <si>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</si>
  <si>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</si>
  <si>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</si>
  <si>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</si>
  <si>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</si>
  <si>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</si>
  <si>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</si>
  <si>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</si>
  <si>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</si>
  <si>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</si>
  <si>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</si>
  <si>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</si>
  <si>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</si>
  <si>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</si>
  <si>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</si>
  <si>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</si>
  <si>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</si>
  <si>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</si>
  <si>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</si>
  <si>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</si>
  <si>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</si>
  <si>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</si>
  <si>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</si>
  <si>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</si>
  <si>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</si>
  <si>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</si>
  <si>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</si>
  <si>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</si>
  <si>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</si>
  <si>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</si>
  <si>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</si>
  <si>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</si>
  <si>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</si>
  <si>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</si>
  <si>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</si>
  <si>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</si>
  <si>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</si>
  <si>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</si>
  <si>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</si>
  <si>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</si>
  <si>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</si>
  <si>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</si>
  <si>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</si>
  <si>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</si>
  <si>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</si>
  <si>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</si>
  <si>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</si>
  <si>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</si>
  <si>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</si>
  <si>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</si>
  <si>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</si>
  <si>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</si>
  <si>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</si>
  <si>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</si>
  <si>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</si>
  <si>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</si>
  <si>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</si>
  <si>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</si>
  <si>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</si>
  <si>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</si>
  <si>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</si>
  <si>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</si>
  <si>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</si>
  <si>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</si>
  <si>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</si>
  <si>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</si>
  <si>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</si>
  <si>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</si>
  <si>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</si>
  <si>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</si>
  <si>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</si>
  <si>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</si>
  <si>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</si>
  <si>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</si>
  <si>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</si>
  <si>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</si>
  <si>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</si>
  <si>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</si>
  <si>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</si>
  <si>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</si>
  <si>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</si>
  <si>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</si>
  <si>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</si>
  <si>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</si>
  <si>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</si>
  <si>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</si>
  <si>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</si>
  <si>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</si>
  <si>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</si>
  <si>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</si>
  <si>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</si>
  <si>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</si>
  <si>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</si>
  <si>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</si>
  <si>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</si>
  <si>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</si>
  <si>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</si>
  <si>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</si>
  <si>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</si>
  <si>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</si>
  <si>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</si>
  <si>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</si>
  <si>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</si>
  <si>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</si>
  <si>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</si>
  <si>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</si>
  <si>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</si>
  <si>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</si>
  <si>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</si>
  <si>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</si>
  <si>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</si>
  <si>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</si>
  <si>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</si>
  <si>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</si>
  <si>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</si>
  <si>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</si>
  <si>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</si>
  <si>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</si>
  <si>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</si>
  <si>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</si>
  <si>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</si>
  <si>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</si>
  <si>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</si>
  <si>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</si>
  <si>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</si>
  <si>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</si>
  <si>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</si>
  <si>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</si>
  <si>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</si>
  <si>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</si>
  <si>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</si>
  <si>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</si>
  <si>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</si>
  <si>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</si>
  <si>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</si>
  <si>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</si>
  <si>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</si>
  <si>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</si>
  <si>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</si>
  <si>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</si>
  <si>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</si>
  <si>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</si>
  <si>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</si>
  <si>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</si>
  <si>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</si>
  <si>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</si>
  <si>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</si>
  <si>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</si>
  <si>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</si>
  <si>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</si>
  <si>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</si>
  <si>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</si>
  <si>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</si>
  <si>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</si>
  <si>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</si>
  <si>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</si>
  <si>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</si>
  <si>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</si>
  <si>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</si>
  <si>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</si>
  <si>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</si>
  <si>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</si>
  <si>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</si>
  <si>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</si>
  <si>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</si>
  <si>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</si>
  <si>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</si>
  <si>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</si>
  <si>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</si>
  <si>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</si>
  <si>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</si>
  <si>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</si>
  <si>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</si>
  <si>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</si>
  <si>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</si>
  <si>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</si>
  <si>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</si>
  <si>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</si>
  <si>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</si>
  <si>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</si>
  <si>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</si>
  <si>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</si>
  <si>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</si>
  <si>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</si>
  <si>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</si>
  <si>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</si>
  <si>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</si>
  <si>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</si>
  <si>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</si>
  <si>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</si>
  <si>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</si>
  <si>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</si>
  <si>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</si>
  <si>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</si>
  <si>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</si>
  <si>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</si>
  <si>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</si>
  <si>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</si>
  <si>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</si>
  <si>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</si>
  <si>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</si>
  <si>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</si>
  <si>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</si>
  <si>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</si>
  <si>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</si>
  <si>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</si>
  <si>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</si>
  <si>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</si>
  <si>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</si>
  <si>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</si>
  <si>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</si>
  <si>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</si>
  <si>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</si>
  <si>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</si>
  <si>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</si>
  <si>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</si>
  <si>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</si>
  <si>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</si>
  <si>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</si>
  <si>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</si>
  <si>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</si>
  <si>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</si>
  <si>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</si>
  <si>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</si>
  <si>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</si>
  <si>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</si>
  <si>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</si>
  <si>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</si>
  <si>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</si>
  <si>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</si>
  <si>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</si>
  <si>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</si>
  <si>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</si>
  <si>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</si>
  <si>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</si>
  <si>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</si>
  <si>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</si>
  <si>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</si>
  <si>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</si>
  <si>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</si>
  <si>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</si>
  <si>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</si>
  <si>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</si>
  <si>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</si>
  <si>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</si>
  <si>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</si>
  <si>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</si>
  <si>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</si>
  <si>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</si>
  <si>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</si>
  <si>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</si>
  <si>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</si>
  <si>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</si>
  <si>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</si>
  <si>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</si>
  <si>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</si>
  <si>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</si>
  <si>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</si>
  <si>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</si>
  <si>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</si>
  <si>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</si>
  <si>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</si>
  <si>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</si>
  <si>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</si>
  <si>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</si>
  <si>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</si>
  <si>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</si>
  <si>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</si>
  <si>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</si>
  <si>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</si>
  <si>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</si>
  <si>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23045</t>
  </si>
  <si>
    <t>LONDERZEEL</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</si>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</sst>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23045</v>
      </c>
      <c r="B6" s="397"/>
      <c r="C6" s="398"/>
    </row>
    <row r="7" spans="1:7" s="395" customFormat="1" ht="15.75" customHeight="1">
      <c r="A7" s="399" t="str">
        <f>txtMunicipality</f>
        <v>LONDERZEEL</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35125.011320046848</v>
      </c>
      <c r="D10" s="688">
        <f ca="1">tertiair!C16</f>
        <v>0</v>
      </c>
      <c r="E10" s="688">
        <f ca="1">tertiair!D16</f>
        <v>23355.123515113919</v>
      </c>
      <c r="F10" s="688">
        <f>tertiair!E16</f>
        <v>234.52396378879109</v>
      </c>
      <c r="G10" s="688">
        <f ca="1">tertiair!F16</f>
        <v>6020.9063958697579</v>
      </c>
      <c r="H10" s="688">
        <f>tertiair!G16</f>
        <v>0</v>
      </c>
      <c r="I10" s="688">
        <f>tertiair!H16</f>
        <v>0</v>
      </c>
      <c r="J10" s="688">
        <f>tertiair!I16</f>
        <v>0</v>
      </c>
      <c r="K10" s="688">
        <f>tertiair!J16</f>
        <v>0</v>
      </c>
      <c r="L10" s="688">
        <f>tertiair!K16</f>
        <v>0</v>
      </c>
      <c r="M10" s="688">
        <f ca="1">tertiair!L16</f>
        <v>0</v>
      </c>
      <c r="N10" s="688">
        <f>tertiair!M16</f>
        <v>0</v>
      </c>
      <c r="O10" s="688">
        <f ca="1">tertiair!N16</f>
        <v>2545.285663564845</v>
      </c>
      <c r="P10" s="688">
        <f>tertiair!O16</f>
        <v>1.5633333333333335</v>
      </c>
      <c r="Q10" s="689">
        <f>tertiair!P16</f>
        <v>76.266666666666666</v>
      </c>
      <c r="R10" s="691">
        <f ca="1">SUM(C10:Q10)</f>
        <v>67358.680858384163</v>
      </c>
      <c r="S10" s="68"/>
    </row>
    <row r="11" spans="1:19" s="457" customFormat="1">
      <c r="A11" s="803" t="s">
        <v>225</v>
      </c>
      <c r="B11" s="808"/>
      <c r="C11" s="688">
        <f>huishoudens!B8</f>
        <v>36587.171528375431</v>
      </c>
      <c r="D11" s="688">
        <f>huishoudens!C8</f>
        <v>0</v>
      </c>
      <c r="E11" s="688">
        <f>huishoudens!D8</f>
        <v>57392.426959996526</v>
      </c>
      <c r="F11" s="688">
        <f>huishoudens!E8</f>
        <v>2672.6300815582763</v>
      </c>
      <c r="G11" s="688">
        <f>huishoudens!F8</f>
        <v>45109.583578678656</v>
      </c>
      <c r="H11" s="688">
        <f>huishoudens!G8</f>
        <v>0</v>
      </c>
      <c r="I11" s="688">
        <f>huishoudens!H8</f>
        <v>0</v>
      </c>
      <c r="J11" s="688">
        <f>huishoudens!I8</f>
        <v>0</v>
      </c>
      <c r="K11" s="688">
        <f>huishoudens!J8</f>
        <v>0</v>
      </c>
      <c r="L11" s="688">
        <f>huishoudens!K8</f>
        <v>0</v>
      </c>
      <c r="M11" s="688">
        <f>huishoudens!L8</f>
        <v>0</v>
      </c>
      <c r="N11" s="688">
        <f>huishoudens!M8</f>
        <v>0</v>
      </c>
      <c r="O11" s="688">
        <f>huishoudens!N8</f>
        <v>9248.6258038327469</v>
      </c>
      <c r="P11" s="688">
        <f>huishoudens!O8</f>
        <v>118.81333333333333</v>
      </c>
      <c r="Q11" s="689">
        <f>huishoudens!P8</f>
        <v>266.93333333333334</v>
      </c>
      <c r="R11" s="691">
        <f>SUM(C11:Q11)</f>
        <v>151396.1846191083</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27411.898612519697</v>
      </c>
      <c r="D13" s="688">
        <f>industrie!C18</f>
        <v>0</v>
      </c>
      <c r="E13" s="688">
        <f>industrie!D18</f>
        <v>39405.275058497034</v>
      </c>
      <c r="F13" s="688">
        <f>industrie!E18</f>
        <v>267.82578346889505</v>
      </c>
      <c r="G13" s="688">
        <f>industrie!F18</f>
        <v>4227.6984766752012</v>
      </c>
      <c r="H13" s="688">
        <f>industrie!G18</f>
        <v>0</v>
      </c>
      <c r="I13" s="688">
        <f>industrie!H18</f>
        <v>0</v>
      </c>
      <c r="J13" s="688">
        <f>industrie!I18</f>
        <v>0</v>
      </c>
      <c r="K13" s="688">
        <f>industrie!J18</f>
        <v>38.926815670609756</v>
      </c>
      <c r="L13" s="688">
        <f>industrie!K18</f>
        <v>0</v>
      </c>
      <c r="M13" s="688">
        <f>industrie!L18</f>
        <v>0</v>
      </c>
      <c r="N13" s="688">
        <f>industrie!M18</f>
        <v>0</v>
      </c>
      <c r="O13" s="688">
        <f>industrie!N18</f>
        <v>512.13923925411086</v>
      </c>
      <c r="P13" s="688">
        <f>industrie!O18</f>
        <v>0</v>
      </c>
      <c r="Q13" s="689">
        <f>industrie!P18</f>
        <v>0</v>
      </c>
      <c r="R13" s="691">
        <f>SUM(C13:Q13)</f>
        <v>71863.763986085556</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99124.081460941976</v>
      </c>
      <c r="D16" s="721">
        <f t="shared" ref="D16:R16" ca="1" si="0">SUM(D9:D15)</f>
        <v>0</v>
      </c>
      <c r="E16" s="721">
        <f t="shared" ca="1" si="0"/>
        <v>120152.82553360748</v>
      </c>
      <c r="F16" s="721">
        <f t="shared" si="0"/>
        <v>3174.9798288159627</v>
      </c>
      <c r="G16" s="721">
        <f t="shared" ca="1" si="0"/>
        <v>55358.188451223614</v>
      </c>
      <c r="H16" s="721">
        <f t="shared" si="0"/>
        <v>0</v>
      </c>
      <c r="I16" s="721">
        <f t="shared" si="0"/>
        <v>0</v>
      </c>
      <c r="J16" s="721">
        <f t="shared" si="0"/>
        <v>0</v>
      </c>
      <c r="K16" s="721">
        <f t="shared" si="0"/>
        <v>38.926815670609756</v>
      </c>
      <c r="L16" s="721">
        <f t="shared" si="0"/>
        <v>0</v>
      </c>
      <c r="M16" s="721">
        <f t="shared" ca="1" si="0"/>
        <v>0</v>
      </c>
      <c r="N16" s="721">
        <f t="shared" si="0"/>
        <v>0</v>
      </c>
      <c r="O16" s="721">
        <f t="shared" ca="1" si="0"/>
        <v>12306.050706651704</v>
      </c>
      <c r="P16" s="721">
        <f t="shared" si="0"/>
        <v>120.37666666666667</v>
      </c>
      <c r="Q16" s="721">
        <f t="shared" si="0"/>
        <v>343.2</v>
      </c>
      <c r="R16" s="721">
        <f t="shared" ca="1" si="0"/>
        <v>290618.62946357799</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2523.8544169293764</v>
      </c>
      <c r="I19" s="688">
        <f>transport!H54</f>
        <v>0</v>
      </c>
      <c r="J19" s="688">
        <f>transport!I54</f>
        <v>0</v>
      </c>
      <c r="K19" s="688">
        <f>transport!J54</f>
        <v>0</v>
      </c>
      <c r="L19" s="688">
        <f>transport!K54</f>
        <v>0</v>
      </c>
      <c r="M19" s="688">
        <f>transport!L54</f>
        <v>0</v>
      </c>
      <c r="N19" s="688">
        <f>transport!M54</f>
        <v>110.82661080565221</v>
      </c>
      <c r="O19" s="688">
        <f>transport!N54</f>
        <v>0</v>
      </c>
      <c r="P19" s="688">
        <f>transport!O54</f>
        <v>0</v>
      </c>
      <c r="Q19" s="689">
        <f>transport!P54</f>
        <v>0</v>
      </c>
      <c r="R19" s="691">
        <f>SUM(C19:Q19)</f>
        <v>2634.6810277350287</v>
      </c>
      <c r="S19" s="68"/>
    </row>
    <row r="20" spans="1:19" s="457" customFormat="1">
      <c r="A20" s="803" t="s">
        <v>307</v>
      </c>
      <c r="B20" s="808"/>
      <c r="C20" s="688">
        <f>transport!B14</f>
        <v>2.7674241953292986</v>
      </c>
      <c r="D20" s="688">
        <f>transport!C14</f>
        <v>0</v>
      </c>
      <c r="E20" s="688">
        <f>transport!D14</f>
        <v>9.4785218580029014</v>
      </c>
      <c r="F20" s="688">
        <f>transport!E14</f>
        <v>568.05569985113038</v>
      </c>
      <c r="G20" s="688">
        <f>transport!F14</f>
        <v>0</v>
      </c>
      <c r="H20" s="688">
        <f>transport!G14</f>
        <v>102873.95429185836</v>
      </c>
      <c r="I20" s="688">
        <f>transport!H14</f>
        <v>21029.158658690012</v>
      </c>
      <c r="J20" s="688">
        <f>transport!I14</f>
        <v>0</v>
      </c>
      <c r="K20" s="688">
        <f>transport!J14</f>
        <v>0</v>
      </c>
      <c r="L20" s="688">
        <f>transport!K14</f>
        <v>0</v>
      </c>
      <c r="M20" s="688">
        <f>transport!L14</f>
        <v>0</v>
      </c>
      <c r="N20" s="688">
        <f>transport!M14</f>
        <v>5542.9379430794797</v>
      </c>
      <c r="O20" s="688">
        <f>transport!N14</f>
        <v>0</v>
      </c>
      <c r="P20" s="688">
        <f>transport!O14</f>
        <v>0</v>
      </c>
      <c r="Q20" s="689">
        <f>transport!P14</f>
        <v>0</v>
      </c>
      <c r="R20" s="691">
        <f>SUM(C20:Q20)</f>
        <v>130026.35253953231</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2.7674241953292986</v>
      </c>
      <c r="D22" s="806">
        <f t="shared" ref="D22:R22" si="1">SUM(D18:D21)</f>
        <v>0</v>
      </c>
      <c r="E22" s="806">
        <f t="shared" si="1"/>
        <v>9.4785218580029014</v>
      </c>
      <c r="F22" s="806">
        <f t="shared" si="1"/>
        <v>568.05569985113038</v>
      </c>
      <c r="G22" s="806">
        <f t="shared" si="1"/>
        <v>0</v>
      </c>
      <c r="H22" s="806">
        <f t="shared" si="1"/>
        <v>105397.80870878774</v>
      </c>
      <c r="I22" s="806">
        <f t="shared" si="1"/>
        <v>21029.158658690012</v>
      </c>
      <c r="J22" s="806">
        <f t="shared" si="1"/>
        <v>0</v>
      </c>
      <c r="K22" s="806">
        <f t="shared" si="1"/>
        <v>0</v>
      </c>
      <c r="L22" s="806">
        <f t="shared" si="1"/>
        <v>0</v>
      </c>
      <c r="M22" s="806">
        <f t="shared" si="1"/>
        <v>0</v>
      </c>
      <c r="N22" s="806">
        <f t="shared" si="1"/>
        <v>5653.764553885132</v>
      </c>
      <c r="O22" s="806">
        <f t="shared" si="1"/>
        <v>0</v>
      </c>
      <c r="P22" s="806">
        <f t="shared" si="1"/>
        <v>0</v>
      </c>
      <c r="Q22" s="806">
        <f t="shared" si="1"/>
        <v>0</v>
      </c>
      <c r="R22" s="806">
        <f t="shared" si="1"/>
        <v>132661.03356726732</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3090.5827810198498</v>
      </c>
      <c r="D24" s="688">
        <f>+landbouw!C8</f>
        <v>0</v>
      </c>
      <c r="E24" s="688">
        <f>+landbouw!D8</f>
        <v>2735.5085388678144</v>
      </c>
      <c r="F24" s="688">
        <f>+landbouw!E8</f>
        <v>29.115360555597562</v>
      </c>
      <c r="G24" s="688">
        <f>+landbouw!F8</f>
        <v>10085.597288814724</v>
      </c>
      <c r="H24" s="688">
        <f>+landbouw!G8</f>
        <v>0</v>
      </c>
      <c r="I24" s="688">
        <f>+landbouw!H8</f>
        <v>0</v>
      </c>
      <c r="J24" s="688">
        <f>+landbouw!I8</f>
        <v>0</v>
      </c>
      <c r="K24" s="688">
        <f>+landbouw!J8</f>
        <v>382.32012260391474</v>
      </c>
      <c r="L24" s="688">
        <f>+landbouw!K8</f>
        <v>0</v>
      </c>
      <c r="M24" s="688">
        <f>+landbouw!L8</f>
        <v>0</v>
      </c>
      <c r="N24" s="688">
        <f>+landbouw!M8</f>
        <v>0</v>
      </c>
      <c r="O24" s="688">
        <f>+landbouw!N8</f>
        <v>0</v>
      </c>
      <c r="P24" s="688">
        <f>+landbouw!O8</f>
        <v>0</v>
      </c>
      <c r="Q24" s="689">
        <f>+landbouw!P8</f>
        <v>0</v>
      </c>
      <c r="R24" s="691">
        <f>SUM(C24:Q24)</f>
        <v>16323.124091861901</v>
      </c>
      <c r="S24" s="68"/>
    </row>
    <row r="25" spans="1:19" s="457" customFormat="1" ht="15" thickBot="1">
      <c r="A25" s="825" t="s">
        <v>912</v>
      </c>
      <c r="B25" s="1001"/>
      <c r="C25" s="1002">
        <f>IF(Onbekend_ele_kWh="---",0,Onbekend_ele_kWh)/1000+IF(REST_rest_ele_kWh="---",0,REST_rest_ele_kWh)/1000</f>
        <v>1168.95162472323</v>
      </c>
      <c r="D25" s="1002"/>
      <c r="E25" s="1002">
        <f>IF(onbekend_gas_kWh="---",0,onbekend_gas_kWh)/1000+IF(REST_rest_gas_kWh="---",0,REST_rest_gas_kWh)/1000</f>
        <v>1362.89536649865</v>
      </c>
      <c r="F25" s="1002"/>
      <c r="G25" s="1002"/>
      <c r="H25" s="1002"/>
      <c r="I25" s="1002"/>
      <c r="J25" s="1002"/>
      <c r="K25" s="1002"/>
      <c r="L25" s="1002"/>
      <c r="M25" s="1002"/>
      <c r="N25" s="1002"/>
      <c r="O25" s="1002"/>
      <c r="P25" s="1002"/>
      <c r="Q25" s="1003"/>
      <c r="R25" s="691">
        <f>SUM(C25:Q25)</f>
        <v>2531.8469912218798</v>
      </c>
      <c r="S25" s="68"/>
    </row>
    <row r="26" spans="1:19" s="457" customFormat="1" ht="15.75" thickBot="1">
      <c r="A26" s="694" t="s">
        <v>913</v>
      </c>
      <c r="B26" s="811"/>
      <c r="C26" s="806">
        <f>SUM(C24:C25)</f>
        <v>4259.5344057430793</v>
      </c>
      <c r="D26" s="806">
        <f t="shared" ref="D26:R26" si="2">SUM(D24:D25)</f>
        <v>0</v>
      </c>
      <c r="E26" s="806">
        <f t="shared" si="2"/>
        <v>4098.4039053664646</v>
      </c>
      <c r="F26" s="806">
        <f t="shared" si="2"/>
        <v>29.115360555597562</v>
      </c>
      <c r="G26" s="806">
        <f t="shared" si="2"/>
        <v>10085.597288814724</v>
      </c>
      <c r="H26" s="806">
        <f t="shared" si="2"/>
        <v>0</v>
      </c>
      <c r="I26" s="806">
        <f t="shared" si="2"/>
        <v>0</v>
      </c>
      <c r="J26" s="806">
        <f t="shared" si="2"/>
        <v>0</v>
      </c>
      <c r="K26" s="806">
        <f t="shared" si="2"/>
        <v>382.32012260391474</v>
      </c>
      <c r="L26" s="806">
        <f t="shared" si="2"/>
        <v>0</v>
      </c>
      <c r="M26" s="806">
        <f t="shared" si="2"/>
        <v>0</v>
      </c>
      <c r="N26" s="806">
        <f t="shared" si="2"/>
        <v>0</v>
      </c>
      <c r="O26" s="806">
        <f t="shared" si="2"/>
        <v>0</v>
      </c>
      <c r="P26" s="806">
        <f t="shared" si="2"/>
        <v>0</v>
      </c>
      <c r="Q26" s="806">
        <f t="shared" si="2"/>
        <v>0</v>
      </c>
      <c r="R26" s="806">
        <f t="shared" si="2"/>
        <v>18854.971083083779</v>
      </c>
      <c r="S26" s="68"/>
    </row>
    <row r="27" spans="1:19" s="457" customFormat="1" ht="17.25" thickTop="1" thickBot="1">
      <c r="A27" s="695" t="s">
        <v>116</v>
      </c>
      <c r="B27" s="798"/>
      <c r="C27" s="696">
        <f ca="1">C22+C16+C26</f>
        <v>103386.38329088039</v>
      </c>
      <c r="D27" s="696">
        <f t="shared" ref="D27:R27" ca="1" si="3">D22+D16+D26</f>
        <v>0</v>
      </c>
      <c r="E27" s="696">
        <f t="shared" ca="1" si="3"/>
        <v>124260.70796083195</v>
      </c>
      <c r="F27" s="696">
        <f t="shared" si="3"/>
        <v>3772.1508892226902</v>
      </c>
      <c r="G27" s="696">
        <f t="shared" ca="1" si="3"/>
        <v>65443.785740038336</v>
      </c>
      <c r="H27" s="696">
        <f t="shared" si="3"/>
        <v>105397.80870878774</v>
      </c>
      <c r="I27" s="696">
        <f t="shared" si="3"/>
        <v>21029.158658690012</v>
      </c>
      <c r="J27" s="696">
        <f t="shared" si="3"/>
        <v>0</v>
      </c>
      <c r="K27" s="696">
        <f t="shared" si="3"/>
        <v>421.2469382745245</v>
      </c>
      <c r="L27" s="696">
        <f t="shared" si="3"/>
        <v>0</v>
      </c>
      <c r="M27" s="696">
        <f t="shared" ca="1" si="3"/>
        <v>0</v>
      </c>
      <c r="N27" s="696">
        <f t="shared" si="3"/>
        <v>5653.764553885132</v>
      </c>
      <c r="O27" s="696">
        <f t="shared" ca="1" si="3"/>
        <v>12306.050706651704</v>
      </c>
      <c r="P27" s="696">
        <f t="shared" si="3"/>
        <v>120.37666666666667</v>
      </c>
      <c r="Q27" s="696">
        <f t="shared" si="3"/>
        <v>343.2</v>
      </c>
      <c r="R27" s="696">
        <f t="shared" ca="1" si="3"/>
        <v>442134.63411392912</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7392.6895016307344</v>
      </c>
      <c r="D40" s="688">
        <f ca="1">tertiair!C20</f>
        <v>0</v>
      </c>
      <c r="E40" s="688">
        <f ca="1">tertiair!D20</f>
        <v>4717.7349500530117</v>
      </c>
      <c r="F40" s="688">
        <f>tertiair!E20</f>
        <v>53.236939780055579</v>
      </c>
      <c r="G40" s="688">
        <f ca="1">tertiair!F20</f>
        <v>1607.5820076972254</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13771.243399161027</v>
      </c>
    </row>
    <row r="41" spans="1:18">
      <c r="A41" s="816" t="s">
        <v>225</v>
      </c>
      <c r="B41" s="823"/>
      <c r="C41" s="688">
        <f ca="1">huishoudens!B12</f>
        <v>7700.4273788750279</v>
      </c>
      <c r="D41" s="688">
        <f ca="1">huishoudens!C12</f>
        <v>0</v>
      </c>
      <c r="E41" s="688">
        <f>huishoudens!D12</f>
        <v>11593.270245919299</v>
      </c>
      <c r="F41" s="688">
        <f>huishoudens!E12</f>
        <v>606.68702851372871</v>
      </c>
      <c r="G41" s="688">
        <f>huishoudens!F12</f>
        <v>12044.258815507203</v>
      </c>
      <c r="H41" s="688">
        <f>huishoudens!G12</f>
        <v>0</v>
      </c>
      <c r="I41" s="688">
        <f>huishoudens!H12</f>
        <v>0</v>
      </c>
      <c r="J41" s="688">
        <f>huishoudens!I12</f>
        <v>0</v>
      </c>
      <c r="K41" s="688">
        <f>huishoudens!J12</f>
        <v>0</v>
      </c>
      <c r="L41" s="688">
        <f>huishoudens!K12</f>
        <v>0</v>
      </c>
      <c r="M41" s="688">
        <f>huishoudens!L12</f>
        <v>0</v>
      </c>
      <c r="N41" s="688">
        <f>huishoudens!M12</f>
        <v>0</v>
      </c>
      <c r="O41" s="688">
        <f>huishoudens!N12</f>
        <v>0</v>
      </c>
      <c r="P41" s="688">
        <f>huishoudens!O12</f>
        <v>0</v>
      </c>
      <c r="Q41" s="763">
        <f>huishoudens!P12</f>
        <v>0</v>
      </c>
      <c r="R41" s="844">
        <f t="shared" ca="1" si="4"/>
        <v>31944.643468815259</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5769.3263995301177</v>
      </c>
      <c r="D43" s="688">
        <f ca="1">industrie!C22</f>
        <v>0</v>
      </c>
      <c r="E43" s="688">
        <f>industrie!D22</f>
        <v>7959.8655618164012</v>
      </c>
      <c r="F43" s="688">
        <f>industrie!E22</f>
        <v>60.796452847439177</v>
      </c>
      <c r="G43" s="688">
        <f>industrie!F22</f>
        <v>1128.7954932722787</v>
      </c>
      <c r="H43" s="688">
        <f>industrie!G22</f>
        <v>0</v>
      </c>
      <c r="I43" s="688">
        <f>industrie!H22</f>
        <v>0</v>
      </c>
      <c r="J43" s="688">
        <f>industrie!I22</f>
        <v>0</v>
      </c>
      <c r="K43" s="688">
        <f>industrie!J22</f>
        <v>13.780092747395853</v>
      </c>
      <c r="L43" s="688">
        <f>industrie!K22</f>
        <v>0</v>
      </c>
      <c r="M43" s="688">
        <f>industrie!L22</f>
        <v>0</v>
      </c>
      <c r="N43" s="688">
        <f>industrie!M22</f>
        <v>0</v>
      </c>
      <c r="O43" s="688">
        <f>industrie!N22</f>
        <v>0</v>
      </c>
      <c r="P43" s="688">
        <f>industrie!O22</f>
        <v>0</v>
      </c>
      <c r="Q43" s="763">
        <f>industrie!P22</f>
        <v>0</v>
      </c>
      <c r="R43" s="843">
        <f t="shared" ca="1" si="4"/>
        <v>14932.564000213632</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20862.443280035881</v>
      </c>
      <c r="D46" s="721">
        <f t="shared" ref="D46:Q46" ca="1" si="5">SUM(D39:D45)</f>
        <v>0</v>
      </c>
      <c r="E46" s="721">
        <f t="shared" ca="1" si="5"/>
        <v>24270.870757788711</v>
      </c>
      <c r="F46" s="721">
        <f t="shared" si="5"/>
        <v>720.72042114122337</v>
      </c>
      <c r="G46" s="721">
        <f t="shared" ca="1" si="5"/>
        <v>14780.636316476706</v>
      </c>
      <c r="H46" s="721">
        <f t="shared" si="5"/>
        <v>0</v>
      </c>
      <c r="I46" s="721">
        <f t="shared" si="5"/>
        <v>0</v>
      </c>
      <c r="J46" s="721">
        <f t="shared" si="5"/>
        <v>0</v>
      </c>
      <c r="K46" s="721">
        <f t="shared" si="5"/>
        <v>13.780092747395853</v>
      </c>
      <c r="L46" s="721">
        <f t="shared" si="5"/>
        <v>0</v>
      </c>
      <c r="M46" s="721">
        <f t="shared" ca="1" si="5"/>
        <v>0</v>
      </c>
      <c r="N46" s="721">
        <f t="shared" si="5"/>
        <v>0</v>
      </c>
      <c r="O46" s="721">
        <f t="shared" ca="1" si="5"/>
        <v>0</v>
      </c>
      <c r="P46" s="721">
        <f t="shared" si="5"/>
        <v>0</v>
      </c>
      <c r="Q46" s="721">
        <f t="shared" si="5"/>
        <v>0</v>
      </c>
      <c r="R46" s="721">
        <f ca="1">SUM(R39:R45)</f>
        <v>60648.450868189917</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673.86912932014354</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673.86912932014354</v>
      </c>
    </row>
    <row r="50" spans="1:18">
      <c r="A50" s="819" t="s">
        <v>307</v>
      </c>
      <c r="B50" s="829"/>
      <c r="C50" s="1008">
        <f ca="1">transport!B18</f>
        <v>0.58245412674624319</v>
      </c>
      <c r="D50" s="1008">
        <f>transport!C18</f>
        <v>0</v>
      </c>
      <c r="E50" s="1008">
        <f>transport!D18</f>
        <v>1.9146614153165862</v>
      </c>
      <c r="F50" s="1008">
        <f>transport!E18</f>
        <v>128.9486438662066</v>
      </c>
      <c r="G50" s="1008">
        <f>transport!F18</f>
        <v>0</v>
      </c>
      <c r="H50" s="1008">
        <f>transport!G18</f>
        <v>27467.345795926183</v>
      </c>
      <c r="I50" s="1008">
        <f>transport!H18</f>
        <v>5236.260506013813</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32835.052061348266</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0.58245412674624319</v>
      </c>
      <c r="D52" s="721">
        <f t="shared" ref="D52:Q52" ca="1" si="6">SUM(D48:D51)</f>
        <v>0</v>
      </c>
      <c r="E52" s="721">
        <f t="shared" si="6"/>
        <v>1.9146614153165862</v>
      </c>
      <c r="F52" s="721">
        <f t="shared" si="6"/>
        <v>128.9486438662066</v>
      </c>
      <c r="G52" s="721">
        <f t="shared" si="6"/>
        <v>0</v>
      </c>
      <c r="H52" s="721">
        <f t="shared" si="6"/>
        <v>28141.214925246328</v>
      </c>
      <c r="I52" s="721">
        <f t="shared" si="6"/>
        <v>5236.260506013813</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33508.921190668407</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650.46865525496128</v>
      </c>
      <c r="D54" s="1008">
        <f ca="1">+landbouw!C12</f>
        <v>0</v>
      </c>
      <c r="E54" s="1008">
        <f>+landbouw!D12</f>
        <v>552.57272485129852</v>
      </c>
      <c r="F54" s="1008">
        <f>+landbouw!E12</f>
        <v>6.6091868461206467</v>
      </c>
      <c r="G54" s="1008">
        <f>+landbouw!F12</f>
        <v>2692.8544761135317</v>
      </c>
      <c r="H54" s="1008">
        <f>+landbouw!G12</f>
        <v>0</v>
      </c>
      <c r="I54" s="1008">
        <f>+landbouw!H12</f>
        <v>0</v>
      </c>
      <c r="J54" s="1008">
        <f>+landbouw!I12</f>
        <v>0</v>
      </c>
      <c r="K54" s="1008">
        <f>+landbouw!J12</f>
        <v>135.34132340178581</v>
      </c>
      <c r="L54" s="1008">
        <f>+landbouw!K12</f>
        <v>0</v>
      </c>
      <c r="M54" s="1008">
        <f>+landbouw!L12</f>
        <v>0</v>
      </c>
      <c r="N54" s="1008">
        <f>+landbouw!M12</f>
        <v>0</v>
      </c>
      <c r="O54" s="1008">
        <f>+landbouw!N12</f>
        <v>0</v>
      </c>
      <c r="P54" s="1008">
        <f>+landbouw!O12</f>
        <v>0</v>
      </c>
      <c r="Q54" s="1009">
        <f>+landbouw!P12</f>
        <v>0</v>
      </c>
      <c r="R54" s="720">
        <f ca="1">SUM(C54:Q54)</f>
        <v>4037.8463664676979</v>
      </c>
    </row>
    <row r="55" spans="1:18" ht="15" thickBot="1">
      <c r="A55" s="819" t="s">
        <v>912</v>
      </c>
      <c r="B55" s="829"/>
      <c r="C55" s="1008">
        <f ca="1">C25*'EF ele_warmte'!B12</f>
        <v>246.02686459701013</v>
      </c>
      <c r="D55" s="1008"/>
      <c r="E55" s="1008">
        <f>E25*EF_CO2_aardgas</f>
        <v>275.30486403272732</v>
      </c>
      <c r="F55" s="1008"/>
      <c r="G55" s="1008"/>
      <c r="H55" s="1008"/>
      <c r="I55" s="1008"/>
      <c r="J55" s="1008"/>
      <c r="K55" s="1008"/>
      <c r="L55" s="1008"/>
      <c r="M55" s="1008"/>
      <c r="N55" s="1008"/>
      <c r="O55" s="1008"/>
      <c r="P55" s="1008"/>
      <c r="Q55" s="1009"/>
      <c r="R55" s="720">
        <f ca="1">SUM(C55:Q55)</f>
        <v>521.33172862973743</v>
      </c>
    </row>
    <row r="56" spans="1:18" ht="15.75" thickBot="1">
      <c r="A56" s="817" t="s">
        <v>913</v>
      </c>
      <c r="B56" s="830"/>
      <c r="C56" s="721">
        <f ca="1">SUM(C54:C55)</f>
        <v>896.49551985197138</v>
      </c>
      <c r="D56" s="721">
        <f t="shared" ref="D56:Q56" ca="1" si="7">SUM(D54:D55)</f>
        <v>0</v>
      </c>
      <c r="E56" s="721">
        <f t="shared" si="7"/>
        <v>827.87758888402584</v>
      </c>
      <c r="F56" s="721">
        <f t="shared" si="7"/>
        <v>6.6091868461206467</v>
      </c>
      <c r="G56" s="721">
        <f t="shared" si="7"/>
        <v>2692.8544761135317</v>
      </c>
      <c r="H56" s="721">
        <f t="shared" si="7"/>
        <v>0</v>
      </c>
      <c r="I56" s="721">
        <f t="shared" si="7"/>
        <v>0</v>
      </c>
      <c r="J56" s="721">
        <f t="shared" si="7"/>
        <v>0</v>
      </c>
      <c r="K56" s="721">
        <f t="shared" si="7"/>
        <v>135.34132340178581</v>
      </c>
      <c r="L56" s="721">
        <f t="shared" si="7"/>
        <v>0</v>
      </c>
      <c r="M56" s="721">
        <f t="shared" si="7"/>
        <v>0</v>
      </c>
      <c r="N56" s="721">
        <f t="shared" si="7"/>
        <v>0</v>
      </c>
      <c r="O56" s="721">
        <f t="shared" si="7"/>
        <v>0</v>
      </c>
      <c r="P56" s="721">
        <f t="shared" si="7"/>
        <v>0</v>
      </c>
      <c r="Q56" s="722">
        <f t="shared" si="7"/>
        <v>0</v>
      </c>
      <c r="R56" s="723">
        <f ca="1">SUM(R54:R55)</f>
        <v>4559.1780950974353</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21759.521254014599</v>
      </c>
      <c r="D61" s="729">
        <f t="shared" ref="D61:Q61" ca="1" si="8">D46+D52+D56</f>
        <v>0</v>
      </c>
      <c r="E61" s="729">
        <f t="shared" ca="1" si="8"/>
        <v>25100.663008088053</v>
      </c>
      <c r="F61" s="729">
        <f t="shared" si="8"/>
        <v>856.27825185355061</v>
      </c>
      <c r="G61" s="729">
        <f t="shared" ca="1" si="8"/>
        <v>17473.490792590237</v>
      </c>
      <c r="H61" s="729">
        <f t="shared" si="8"/>
        <v>28141.214925246328</v>
      </c>
      <c r="I61" s="729">
        <f t="shared" si="8"/>
        <v>5236.260506013813</v>
      </c>
      <c r="J61" s="729">
        <f t="shared" si="8"/>
        <v>0</v>
      </c>
      <c r="K61" s="729">
        <f t="shared" si="8"/>
        <v>149.12141614918167</v>
      </c>
      <c r="L61" s="729">
        <f t="shared" si="8"/>
        <v>0</v>
      </c>
      <c r="M61" s="729">
        <f t="shared" ca="1" si="8"/>
        <v>0</v>
      </c>
      <c r="N61" s="729">
        <f t="shared" si="8"/>
        <v>0</v>
      </c>
      <c r="O61" s="729">
        <f t="shared" ca="1" si="8"/>
        <v>0</v>
      </c>
      <c r="P61" s="729">
        <f t="shared" si="8"/>
        <v>0</v>
      </c>
      <c r="Q61" s="729">
        <f t="shared" si="8"/>
        <v>0</v>
      </c>
      <c r="R61" s="729">
        <f ca="1">R46+R52+R56</f>
        <v>98716.550153955759</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0.21046796068679177</v>
      </c>
      <c r="D63" s="773">
        <f t="shared" ca="1" si="9"/>
        <v>0</v>
      </c>
      <c r="E63" s="1010">
        <f t="shared" ca="1" si="9"/>
        <v>0.20199999999999999</v>
      </c>
      <c r="F63" s="773">
        <f t="shared" si="9"/>
        <v>0.22699999999999998</v>
      </c>
      <c r="G63" s="773">
        <f t="shared" ca="1" si="9"/>
        <v>0.26700000000000002</v>
      </c>
      <c r="H63" s="773">
        <f t="shared" si="9"/>
        <v>0.26700000000000002</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0</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4927.0111007690848</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4927.0111007690848</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36587.171528375431</v>
      </c>
      <c r="C4" s="461">
        <f>huishoudens!C8</f>
        <v>0</v>
      </c>
      <c r="D4" s="461">
        <f>huishoudens!D8</f>
        <v>57392.426959996526</v>
      </c>
      <c r="E4" s="461">
        <f>huishoudens!E8</f>
        <v>2672.6300815582763</v>
      </c>
      <c r="F4" s="461">
        <f>huishoudens!F8</f>
        <v>45109.583578678656</v>
      </c>
      <c r="G4" s="461">
        <f>huishoudens!G8</f>
        <v>0</v>
      </c>
      <c r="H4" s="461">
        <f>huishoudens!H8</f>
        <v>0</v>
      </c>
      <c r="I4" s="461">
        <f>huishoudens!I8</f>
        <v>0</v>
      </c>
      <c r="J4" s="461">
        <f>huishoudens!J8</f>
        <v>0</v>
      </c>
      <c r="K4" s="461">
        <f>huishoudens!K8</f>
        <v>0</v>
      </c>
      <c r="L4" s="461">
        <f>huishoudens!L8</f>
        <v>0</v>
      </c>
      <c r="M4" s="461">
        <f>huishoudens!M8</f>
        <v>0</v>
      </c>
      <c r="N4" s="461">
        <f>huishoudens!N8</f>
        <v>9248.6258038327469</v>
      </c>
      <c r="O4" s="461">
        <f>huishoudens!O8</f>
        <v>118.81333333333333</v>
      </c>
      <c r="P4" s="462">
        <f>huishoudens!P8</f>
        <v>266.93333333333334</v>
      </c>
      <c r="Q4" s="463">
        <f>SUM(B4:P4)</f>
        <v>151396.1846191083</v>
      </c>
    </row>
    <row r="5" spans="1:17">
      <c r="A5" s="460" t="s">
        <v>156</v>
      </c>
      <c r="B5" s="461">
        <f ca="1">tertiair!B16</f>
        <v>33793.048320046844</v>
      </c>
      <c r="C5" s="461">
        <f ca="1">tertiair!C16</f>
        <v>0</v>
      </c>
      <c r="D5" s="461">
        <f ca="1">tertiair!D16</f>
        <v>23355.123515113919</v>
      </c>
      <c r="E5" s="461">
        <f>tertiair!E16</f>
        <v>234.52396378879109</v>
      </c>
      <c r="F5" s="461">
        <f ca="1">tertiair!F16</f>
        <v>6020.9063958697579</v>
      </c>
      <c r="G5" s="461">
        <f>tertiair!G16</f>
        <v>0</v>
      </c>
      <c r="H5" s="461">
        <f>tertiair!H16</f>
        <v>0</v>
      </c>
      <c r="I5" s="461">
        <f>tertiair!I16</f>
        <v>0</v>
      </c>
      <c r="J5" s="461">
        <f>tertiair!J16</f>
        <v>0</v>
      </c>
      <c r="K5" s="461">
        <f>tertiair!K16</f>
        <v>0</v>
      </c>
      <c r="L5" s="461">
        <f ca="1">tertiair!L16</f>
        <v>0</v>
      </c>
      <c r="M5" s="461">
        <f>tertiair!M16</f>
        <v>0</v>
      </c>
      <c r="N5" s="461">
        <f ca="1">tertiair!N16</f>
        <v>2545.285663564845</v>
      </c>
      <c r="O5" s="461">
        <f>tertiair!O16</f>
        <v>1.5633333333333335</v>
      </c>
      <c r="P5" s="462">
        <f>tertiair!P16</f>
        <v>76.266666666666666</v>
      </c>
      <c r="Q5" s="460">
        <f t="shared" ref="Q5:Q14" ca="1" si="0">SUM(B5:P5)</f>
        <v>66026.71785838416</v>
      </c>
    </row>
    <row r="6" spans="1:17">
      <c r="A6" s="460" t="s">
        <v>194</v>
      </c>
      <c r="B6" s="461">
        <f>'openbare verlichting'!B8</f>
        <v>1331.963</v>
      </c>
      <c r="C6" s="461"/>
      <c r="D6" s="461"/>
      <c r="E6" s="461"/>
      <c r="F6" s="461"/>
      <c r="G6" s="461"/>
      <c r="H6" s="461"/>
      <c r="I6" s="461"/>
      <c r="J6" s="461"/>
      <c r="K6" s="461"/>
      <c r="L6" s="461"/>
      <c r="M6" s="461"/>
      <c r="N6" s="461"/>
      <c r="O6" s="461"/>
      <c r="P6" s="462"/>
      <c r="Q6" s="460">
        <f t="shared" si="0"/>
        <v>1331.963</v>
      </c>
    </row>
    <row r="7" spans="1:17">
      <c r="A7" s="460" t="s">
        <v>112</v>
      </c>
      <c r="B7" s="461">
        <f>landbouw!B8</f>
        <v>3090.5827810198498</v>
      </c>
      <c r="C7" s="461">
        <f>landbouw!C8</f>
        <v>0</v>
      </c>
      <c r="D7" s="461">
        <f>landbouw!D8</f>
        <v>2735.5085388678144</v>
      </c>
      <c r="E7" s="461">
        <f>landbouw!E8</f>
        <v>29.115360555597562</v>
      </c>
      <c r="F7" s="461">
        <f>landbouw!F8</f>
        <v>10085.597288814724</v>
      </c>
      <c r="G7" s="461">
        <f>landbouw!G8</f>
        <v>0</v>
      </c>
      <c r="H7" s="461">
        <f>landbouw!H8</f>
        <v>0</v>
      </c>
      <c r="I7" s="461">
        <f>landbouw!I8</f>
        <v>0</v>
      </c>
      <c r="J7" s="461">
        <f>landbouw!J8</f>
        <v>382.32012260391474</v>
      </c>
      <c r="K7" s="461">
        <f>landbouw!K8</f>
        <v>0</v>
      </c>
      <c r="L7" s="461">
        <f>landbouw!L8</f>
        <v>0</v>
      </c>
      <c r="M7" s="461">
        <f>landbouw!M8</f>
        <v>0</v>
      </c>
      <c r="N7" s="461">
        <f>landbouw!N8</f>
        <v>0</v>
      </c>
      <c r="O7" s="461">
        <f>landbouw!O8</f>
        <v>0</v>
      </c>
      <c r="P7" s="462">
        <f>landbouw!P8</f>
        <v>0</v>
      </c>
      <c r="Q7" s="460">
        <f t="shared" si="0"/>
        <v>16323.124091861901</v>
      </c>
    </row>
    <row r="8" spans="1:17">
      <c r="A8" s="460" t="s">
        <v>685</v>
      </c>
      <c r="B8" s="461">
        <f>industrie!B18</f>
        <v>27411.898612519697</v>
      </c>
      <c r="C8" s="461">
        <f>industrie!C18</f>
        <v>0</v>
      </c>
      <c r="D8" s="461">
        <f>industrie!D18</f>
        <v>39405.275058497034</v>
      </c>
      <c r="E8" s="461">
        <f>industrie!E18</f>
        <v>267.82578346889505</v>
      </c>
      <c r="F8" s="461">
        <f>industrie!F18</f>
        <v>4227.6984766752012</v>
      </c>
      <c r="G8" s="461">
        <f>industrie!G18</f>
        <v>0</v>
      </c>
      <c r="H8" s="461">
        <f>industrie!H18</f>
        <v>0</v>
      </c>
      <c r="I8" s="461">
        <f>industrie!I18</f>
        <v>0</v>
      </c>
      <c r="J8" s="461">
        <f>industrie!J18</f>
        <v>38.926815670609756</v>
      </c>
      <c r="K8" s="461">
        <f>industrie!K18</f>
        <v>0</v>
      </c>
      <c r="L8" s="461">
        <f>industrie!L18</f>
        <v>0</v>
      </c>
      <c r="M8" s="461">
        <f>industrie!M18</f>
        <v>0</v>
      </c>
      <c r="N8" s="461">
        <f>industrie!N18</f>
        <v>512.13923925411086</v>
      </c>
      <c r="O8" s="461">
        <f>industrie!O18</f>
        <v>0</v>
      </c>
      <c r="P8" s="462">
        <f>industrie!P18</f>
        <v>0</v>
      </c>
      <c r="Q8" s="460">
        <f t="shared" si="0"/>
        <v>71863.763986085556</v>
      </c>
    </row>
    <row r="9" spans="1:17" s="466" customFormat="1">
      <c r="A9" s="464" t="s">
        <v>579</v>
      </c>
      <c r="B9" s="465">
        <f>transport!B14</f>
        <v>2.7674241953292986</v>
      </c>
      <c r="C9" s="465">
        <f>transport!C14</f>
        <v>0</v>
      </c>
      <c r="D9" s="465">
        <f>transport!D14</f>
        <v>9.4785218580029014</v>
      </c>
      <c r="E9" s="465">
        <f>transport!E14</f>
        <v>568.05569985113038</v>
      </c>
      <c r="F9" s="465">
        <f>transport!F14</f>
        <v>0</v>
      </c>
      <c r="G9" s="465">
        <f>transport!G14</f>
        <v>102873.95429185836</v>
      </c>
      <c r="H9" s="465">
        <f>transport!H14</f>
        <v>21029.158658690012</v>
      </c>
      <c r="I9" s="465">
        <f>transport!I14</f>
        <v>0</v>
      </c>
      <c r="J9" s="465">
        <f>transport!J14</f>
        <v>0</v>
      </c>
      <c r="K9" s="465">
        <f>transport!K14</f>
        <v>0</v>
      </c>
      <c r="L9" s="465">
        <f>transport!L14</f>
        <v>0</v>
      </c>
      <c r="M9" s="465">
        <f>transport!M14</f>
        <v>5542.9379430794797</v>
      </c>
      <c r="N9" s="465">
        <f>transport!N14</f>
        <v>0</v>
      </c>
      <c r="O9" s="465">
        <f>transport!O14</f>
        <v>0</v>
      </c>
      <c r="P9" s="465">
        <f>transport!P14</f>
        <v>0</v>
      </c>
      <c r="Q9" s="464">
        <f>SUM(B9:P9)</f>
        <v>130026.35253953231</v>
      </c>
    </row>
    <row r="10" spans="1:17">
      <c r="A10" s="460" t="s">
        <v>569</v>
      </c>
      <c r="B10" s="461">
        <f>transport!B54</f>
        <v>0</v>
      </c>
      <c r="C10" s="461">
        <f>transport!C54</f>
        <v>0</v>
      </c>
      <c r="D10" s="461">
        <f>transport!D54</f>
        <v>0</v>
      </c>
      <c r="E10" s="461">
        <f>transport!E54</f>
        <v>0</v>
      </c>
      <c r="F10" s="461">
        <f>transport!F54</f>
        <v>0</v>
      </c>
      <c r="G10" s="461">
        <f>transport!G54</f>
        <v>2523.8544169293764</v>
      </c>
      <c r="H10" s="461">
        <f>transport!H54</f>
        <v>0</v>
      </c>
      <c r="I10" s="461">
        <f>transport!I54</f>
        <v>0</v>
      </c>
      <c r="J10" s="461">
        <f>transport!J54</f>
        <v>0</v>
      </c>
      <c r="K10" s="461">
        <f>transport!K54</f>
        <v>0</v>
      </c>
      <c r="L10" s="461">
        <f>transport!L54</f>
        <v>0</v>
      </c>
      <c r="M10" s="461">
        <f>transport!M54</f>
        <v>110.82661080565221</v>
      </c>
      <c r="N10" s="461">
        <f>transport!N54</f>
        <v>0</v>
      </c>
      <c r="O10" s="461">
        <f>transport!O54</f>
        <v>0</v>
      </c>
      <c r="P10" s="462">
        <f>transport!P54</f>
        <v>0</v>
      </c>
      <c r="Q10" s="460">
        <f t="shared" si="0"/>
        <v>2634.6810277350287</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1168.95162472323</v>
      </c>
      <c r="C14" s="468"/>
      <c r="D14" s="468">
        <f>'SEAP template'!E25</f>
        <v>1362.89536649865</v>
      </c>
      <c r="E14" s="468"/>
      <c r="F14" s="468"/>
      <c r="G14" s="468"/>
      <c r="H14" s="468"/>
      <c r="I14" s="468"/>
      <c r="J14" s="468"/>
      <c r="K14" s="468"/>
      <c r="L14" s="468"/>
      <c r="M14" s="468"/>
      <c r="N14" s="468"/>
      <c r="O14" s="468"/>
      <c r="P14" s="469"/>
      <c r="Q14" s="460">
        <f t="shared" si="0"/>
        <v>2531.8469912218798</v>
      </c>
    </row>
    <row r="15" spans="1:17" s="473" customFormat="1">
      <c r="A15" s="470" t="s">
        <v>573</v>
      </c>
      <c r="B15" s="471">
        <f ca="1">SUM(B4:B14)</f>
        <v>103386.38329088039</v>
      </c>
      <c r="C15" s="471">
        <f t="shared" ref="C15:Q15" ca="1" si="1">SUM(C4:C14)</f>
        <v>0</v>
      </c>
      <c r="D15" s="471">
        <f t="shared" ca="1" si="1"/>
        <v>124260.70796083195</v>
      </c>
      <c r="E15" s="471">
        <f t="shared" si="1"/>
        <v>3772.1508892226902</v>
      </c>
      <c r="F15" s="471">
        <f t="shared" ca="1" si="1"/>
        <v>65443.785740038336</v>
      </c>
      <c r="G15" s="471">
        <f t="shared" si="1"/>
        <v>105397.80870878774</v>
      </c>
      <c r="H15" s="471">
        <f t="shared" si="1"/>
        <v>21029.158658690012</v>
      </c>
      <c r="I15" s="471">
        <f t="shared" si="1"/>
        <v>0</v>
      </c>
      <c r="J15" s="471">
        <f t="shared" si="1"/>
        <v>421.2469382745245</v>
      </c>
      <c r="K15" s="471">
        <f t="shared" si="1"/>
        <v>0</v>
      </c>
      <c r="L15" s="471">
        <f t="shared" ca="1" si="1"/>
        <v>0</v>
      </c>
      <c r="M15" s="471">
        <f t="shared" si="1"/>
        <v>5653.764553885132</v>
      </c>
      <c r="N15" s="471">
        <f t="shared" ca="1" si="1"/>
        <v>12306.050706651704</v>
      </c>
      <c r="O15" s="471">
        <f t="shared" si="1"/>
        <v>120.37666666666667</v>
      </c>
      <c r="P15" s="471">
        <f t="shared" si="1"/>
        <v>343.2</v>
      </c>
      <c r="Q15" s="471">
        <f t="shared" ca="1" si="1"/>
        <v>442134.63411392906</v>
      </c>
    </row>
    <row r="17" spans="1:17">
      <c r="A17" s="474" t="s">
        <v>574</v>
      </c>
      <c r="B17" s="778">
        <f ca="1">huishoudens!B10</f>
        <v>0.21046796068679177</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7700.4273788750279</v>
      </c>
      <c r="C22" s="461">
        <f t="shared" ref="C22:C32" ca="1" si="3">C4*$C$17</f>
        <v>0</v>
      </c>
      <c r="D22" s="461">
        <f t="shared" ref="D22:D32" si="4">D4*$D$17</f>
        <v>11593.270245919299</v>
      </c>
      <c r="E22" s="461">
        <f t="shared" ref="E22:E32" si="5">E4*$E$17</f>
        <v>606.68702851372871</v>
      </c>
      <c r="F22" s="461">
        <f t="shared" ref="F22:F32" si="6">F4*$F$17</f>
        <v>12044.258815507203</v>
      </c>
      <c r="G22" s="461">
        <f t="shared" ref="G22:G32" si="7">G4*$G$17</f>
        <v>0</v>
      </c>
      <c r="H22" s="461">
        <f t="shared" ref="H22:H32" si="8">H4*$H$17</f>
        <v>0</v>
      </c>
      <c r="I22" s="461">
        <f t="shared" ref="I22:I32" si="9">I4*$I$17</f>
        <v>0</v>
      </c>
      <c r="J22" s="461">
        <f t="shared" ref="J22:J32" si="10">J4*$J$17</f>
        <v>0</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31944.643468815259</v>
      </c>
    </row>
    <row r="23" spans="1:17">
      <c r="A23" s="460" t="s">
        <v>156</v>
      </c>
      <c r="B23" s="461">
        <f t="shared" ca="1" si="2"/>
        <v>7112.3539653104735</v>
      </c>
      <c r="C23" s="461">
        <f t="shared" ca="1" si="3"/>
        <v>0</v>
      </c>
      <c r="D23" s="461">
        <f t="shared" ca="1" si="4"/>
        <v>4717.7349500530117</v>
      </c>
      <c r="E23" s="461">
        <f t="shared" si="5"/>
        <v>53.236939780055579</v>
      </c>
      <c r="F23" s="461">
        <f t="shared" ca="1" si="6"/>
        <v>1607.5820076972254</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13490.907862840766</v>
      </c>
    </row>
    <row r="24" spans="1:17">
      <c r="A24" s="460" t="s">
        <v>194</v>
      </c>
      <c r="B24" s="461">
        <f t="shared" ca="1" si="2"/>
        <v>280.33553632026121</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280.33553632026121</v>
      </c>
    </row>
    <row r="25" spans="1:17">
      <c r="A25" s="460" t="s">
        <v>112</v>
      </c>
      <c r="B25" s="461">
        <f t="shared" ca="1" si="2"/>
        <v>650.46865525496128</v>
      </c>
      <c r="C25" s="461">
        <f t="shared" ca="1" si="3"/>
        <v>0</v>
      </c>
      <c r="D25" s="461">
        <f t="shared" si="4"/>
        <v>552.57272485129852</v>
      </c>
      <c r="E25" s="461">
        <f t="shared" si="5"/>
        <v>6.6091868461206467</v>
      </c>
      <c r="F25" s="461">
        <f t="shared" si="6"/>
        <v>2692.8544761135317</v>
      </c>
      <c r="G25" s="461">
        <f t="shared" si="7"/>
        <v>0</v>
      </c>
      <c r="H25" s="461">
        <f t="shared" si="8"/>
        <v>0</v>
      </c>
      <c r="I25" s="461">
        <f t="shared" si="9"/>
        <v>0</v>
      </c>
      <c r="J25" s="461">
        <f t="shared" si="10"/>
        <v>135.34132340178581</v>
      </c>
      <c r="K25" s="461">
        <f t="shared" si="11"/>
        <v>0</v>
      </c>
      <c r="L25" s="461">
        <f t="shared" si="12"/>
        <v>0</v>
      </c>
      <c r="M25" s="461">
        <f t="shared" si="13"/>
        <v>0</v>
      </c>
      <c r="N25" s="461">
        <f t="shared" si="14"/>
        <v>0</v>
      </c>
      <c r="O25" s="461">
        <f t="shared" si="15"/>
        <v>0</v>
      </c>
      <c r="P25" s="462">
        <f t="shared" si="16"/>
        <v>0</v>
      </c>
      <c r="Q25" s="460">
        <f t="shared" ca="1" si="17"/>
        <v>4037.8463664676979</v>
      </c>
    </row>
    <row r="26" spans="1:17">
      <c r="A26" s="460" t="s">
        <v>685</v>
      </c>
      <c r="B26" s="461">
        <f t="shared" ca="1" si="2"/>
        <v>5769.3263995301177</v>
      </c>
      <c r="C26" s="461">
        <f t="shared" ca="1" si="3"/>
        <v>0</v>
      </c>
      <c r="D26" s="461">
        <f t="shared" si="4"/>
        <v>7959.8655618164012</v>
      </c>
      <c r="E26" s="461">
        <f t="shared" si="5"/>
        <v>60.796452847439177</v>
      </c>
      <c r="F26" s="461">
        <f t="shared" si="6"/>
        <v>1128.7954932722787</v>
      </c>
      <c r="G26" s="461">
        <f t="shared" si="7"/>
        <v>0</v>
      </c>
      <c r="H26" s="461">
        <f t="shared" si="8"/>
        <v>0</v>
      </c>
      <c r="I26" s="461">
        <f t="shared" si="9"/>
        <v>0</v>
      </c>
      <c r="J26" s="461">
        <f t="shared" si="10"/>
        <v>13.780092747395853</v>
      </c>
      <c r="K26" s="461">
        <f t="shared" si="11"/>
        <v>0</v>
      </c>
      <c r="L26" s="461">
        <f t="shared" si="12"/>
        <v>0</v>
      </c>
      <c r="M26" s="461">
        <f t="shared" si="13"/>
        <v>0</v>
      </c>
      <c r="N26" s="461">
        <f t="shared" si="14"/>
        <v>0</v>
      </c>
      <c r="O26" s="461">
        <f t="shared" si="15"/>
        <v>0</v>
      </c>
      <c r="P26" s="462">
        <f t="shared" si="16"/>
        <v>0</v>
      </c>
      <c r="Q26" s="460">
        <f t="shared" ca="1" si="17"/>
        <v>14932.564000213632</v>
      </c>
    </row>
    <row r="27" spans="1:17" s="466" customFormat="1">
      <c r="A27" s="464" t="s">
        <v>579</v>
      </c>
      <c r="B27" s="772">
        <f t="shared" ca="1" si="2"/>
        <v>0.58245412674624319</v>
      </c>
      <c r="C27" s="465">
        <f t="shared" ca="1" si="3"/>
        <v>0</v>
      </c>
      <c r="D27" s="465">
        <f t="shared" si="4"/>
        <v>1.9146614153165862</v>
      </c>
      <c r="E27" s="465">
        <f t="shared" si="5"/>
        <v>128.9486438662066</v>
      </c>
      <c r="F27" s="465">
        <f t="shared" si="6"/>
        <v>0</v>
      </c>
      <c r="G27" s="465">
        <f t="shared" si="7"/>
        <v>27467.345795926183</v>
      </c>
      <c r="H27" s="465">
        <f t="shared" si="8"/>
        <v>5236.260506013813</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32835.052061348266</v>
      </c>
    </row>
    <row r="28" spans="1:17">
      <c r="A28" s="460" t="s">
        <v>569</v>
      </c>
      <c r="B28" s="461">
        <f t="shared" ca="1" si="2"/>
        <v>0</v>
      </c>
      <c r="C28" s="461">
        <f t="shared" ca="1" si="3"/>
        <v>0</v>
      </c>
      <c r="D28" s="461">
        <f t="shared" si="4"/>
        <v>0</v>
      </c>
      <c r="E28" s="461">
        <f t="shared" si="5"/>
        <v>0</v>
      </c>
      <c r="F28" s="461">
        <f t="shared" si="6"/>
        <v>0</v>
      </c>
      <c r="G28" s="461">
        <f t="shared" si="7"/>
        <v>673.86912932014354</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673.86912932014354</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246.02686459701013</v>
      </c>
      <c r="C32" s="461">
        <f t="shared" ca="1" si="3"/>
        <v>0</v>
      </c>
      <c r="D32" s="461">
        <f t="shared" si="4"/>
        <v>275.30486403272732</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521.33172862973743</v>
      </c>
    </row>
    <row r="33" spans="1:17" s="473" customFormat="1">
      <c r="A33" s="470" t="s">
        <v>573</v>
      </c>
      <c r="B33" s="471">
        <f ca="1">SUM(B22:B32)</f>
        <v>21759.521254014599</v>
      </c>
      <c r="C33" s="471">
        <f t="shared" ref="C33:Q33" ca="1" si="18">SUM(C22:C32)</f>
        <v>0</v>
      </c>
      <c r="D33" s="471">
        <f t="shared" ca="1" si="18"/>
        <v>25100.663008088057</v>
      </c>
      <c r="E33" s="471">
        <f t="shared" si="18"/>
        <v>856.27825185355061</v>
      </c>
      <c r="F33" s="471">
        <f t="shared" ca="1" si="18"/>
        <v>17473.490792590237</v>
      </c>
      <c r="G33" s="471">
        <f t="shared" si="18"/>
        <v>28141.214925246328</v>
      </c>
      <c r="H33" s="471">
        <f t="shared" si="18"/>
        <v>5236.260506013813</v>
      </c>
      <c r="I33" s="471">
        <f t="shared" si="18"/>
        <v>0</v>
      </c>
      <c r="J33" s="471">
        <f t="shared" si="18"/>
        <v>149.12141614918167</v>
      </c>
      <c r="K33" s="471">
        <f t="shared" si="18"/>
        <v>0</v>
      </c>
      <c r="L33" s="471">
        <f t="shared" ca="1" si="18"/>
        <v>0</v>
      </c>
      <c r="M33" s="471">
        <f t="shared" si="18"/>
        <v>0</v>
      </c>
      <c r="N33" s="471">
        <f t="shared" ca="1" si="18"/>
        <v>0</v>
      </c>
      <c r="O33" s="471">
        <f t="shared" si="18"/>
        <v>0</v>
      </c>
      <c r="P33" s="471">
        <f t="shared" si="18"/>
        <v>0</v>
      </c>
      <c r="Q33" s="471">
        <f t="shared" ca="1" si="18"/>
        <v>98716.550153955759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4927.0111007690848</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924</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4927.0111007690848</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0.21046796068679177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932</v>
      </c>
      <c r="B22" s="778" t="s">
        <v>926</v>
      </c>
      <c r="C22" s="778">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0.21046796068679177</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1</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1.5633333333333335</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2</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38.133333333333333</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0.21046796068679177</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0.21046796068679177</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23045</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7348</v>
      </c>
      <c r="C9" s="338">
        <v>7742</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1923</v>
      </c>
    </row>
    <row r="15" spans="1:6">
      <c r="A15" s="1286" t="s">
        <v>184</v>
      </c>
      <c r="B15" s="335">
        <v>14</v>
      </c>
    </row>
    <row r="16" spans="1:6">
      <c r="A16" s="1286" t="s">
        <v>6</v>
      </c>
      <c r="B16" s="335">
        <v>729</v>
      </c>
    </row>
    <row r="17" spans="1:6">
      <c r="A17" s="1286" t="s">
        <v>7</v>
      </c>
      <c r="B17" s="335">
        <v>388</v>
      </c>
    </row>
    <row r="18" spans="1:6">
      <c r="A18" s="1286" t="s">
        <v>8</v>
      </c>
      <c r="B18" s="335">
        <v>653</v>
      </c>
    </row>
    <row r="19" spans="1:6">
      <c r="A19" s="1286" t="s">
        <v>9</v>
      </c>
      <c r="B19" s="335">
        <v>646</v>
      </c>
    </row>
    <row r="20" spans="1:6">
      <c r="A20" s="1286" t="s">
        <v>10</v>
      </c>
      <c r="B20" s="335">
        <v>479</v>
      </c>
    </row>
    <row r="21" spans="1:6">
      <c r="A21" s="1286" t="s">
        <v>11</v>
      </c>
      <c r="B21" s="335">
        <v>837</v>
      </c>
    </row>
    <row r="22" spans="1:6">
      <c r="A22" s="1286" t="s">
        <v>12</v>
      </c>
      <c r="B22" s="335">
        <v>4438</v>
      </c>
    </row>
    <row r="23" spans="1:6">
      <c r="A23" s="1286" t="s">
        <v>13</v>
      </c>
      <c r="B23" s="335">
        <v>132</v>
      </c>
    </row>
    <row r="24" spans="1:6">
      <c r="A24" s="1286" t="s">
        <v>14</v>
      </c>
      <c r="B24" s="335">
        <v>3</v>
      </c>
    </row>
    <row r="25" spans="1:6">
      <c r="A25" s="1286" t="s">
        <v>15</v>
      </c>
      <c r="B25" s="335">
        <v>275</v>
      </c>
    </row>
    <row r="26" spans="1:6">
      <c r="A26" s="1286" t="s">
        <v>16</v>
      </c>
      <c r="B26" s="335">
        <v>421</v>
      </c>
    </row>
    <row r="27" spans="1:6">
      <c r="A27" s="1286" t="s">
        <v>17</v>
      </c>
      <c r="B27" s="335">
        <v>3</v>
      </c>
    </row>
    <row r="28" spans="1:6" s="341" customFormat="1">
      <c r="A28" s="1287" t="s">
        <v>18</v>
      </c>
      <c r="B28" s="1287">
        <v>5083</v>
      </c>
    </row>
    <row r="29" spans="1:6">
      <c r="A29" s="1287" t="s">
        <v>944</v>
      </c>
      <c r="B29" s="1287">
        <v>259</v>
      </c>
      <c r="C29" s="341"/>
      <c r="D29" s="341"/>
      <c r="E29" s="341"/>
      <c r="F29" s="341"/>
    </row>
    <row r="30" spans="1:6">
      <c r="A30" s="1282" t="s">
        <v>945</v>
      </c>
      <c r="B30" s="1282">
        <v>87</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0</v>
      </c>
      <c r="D38" s="335">
        <v>0</v>
      </c>
      <c r="E38" s="335">
        <v>0</v>
      </c>
      <c r="F38" s="335">
        <v>0</v>
      </c>
    </row>
    <row r="39" spans="1:6">
      <c r="A39" s="1286" t="s">
        <v>30</v>
      </c>
      <c r="B39" s="1286" t="s">
        <v>31</v>
      </c>
      <c r="C39" s="335">
        <v>3494</v>
      </c>
      <c r="D39" s="335">
        <v>63627967.804874197</v>
      </c>
      <c r="E39" s="335">
        <v>7180</v>
      </c>
      <c r="F39" s="335">
        <v>33418812.4763963</v>
      </c>
    </row>
    <row r="40" spans="1:6">
      <c r="A40" s="1286" t="s">
        <v>30</v>
      </c>
      <c r="B40" s="1286" t="s">
        <v>29</v>
      </c>
      <c r="C40" s="335">
        <v>0</v>
      </c>
      <c r="D40" s="335">
        <v>0</v>
      </c>
      <c r="E40" s="335">
        <v>0</v>
      </c>
      <c r="F40" s="335">
        <v>0</v>
      </c>
    </row>
    <row r="41" spans="1:6">
      <c r="A41" s="1286" t="s">
        <v>32</v>
      </c>
      <c r="B41" s="1286" t="s">
        <v>33</v>
      </c>
      <c r="C41" s="335">
        <v>34</v>
      </c>
      <c r="D41" s="335">
        <v>686839.860641515</v>
      </c>
      <c r="E41" s="335">
        <v>133</v>
      </c>
      <c r="F41" s="335">
        <v>1155085.6620028799</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4</v>
      </c>
      <c r="D44" s="335">
        <v>104976.471531485</v>
      </c>
      <c r="E44" s="335">
        <v>19</v>
      </c>
      <c r="F44" s="335">
        <v>1125320.7072710199</v>
      </c>
    </row>
    <row r="45" spans="1:6">
      <c r="A45" s="1286" t="s">
        <v>32</v>
      </c>
      <c r="B45" s="1286" t="s">
        <v>37</v>
      </c>
      <c r="C45" s="335">
        <v>0</v>
      </c>
      <c r="D45" s="335">
        <v>0</v>
      </c>
      <c r="E45" s="335">
        <v>7</v>
      </c>
      <c r="F45" s="335">
        <v>433416.00463965599</v>
      </c>
    </row>
    <row r="46" spans="1:6">
      <c r="A46" s="1286" t="s">
        <v>32</v>
      </c>
      <c r="B46" s="1286" t="s">
        <v>38</v>
      </c>
      <c r="C46" s="335">
        <v>0</v>
      </c>
      <c r="D46" s="335">
        <v>0</v>
      </c>
      <c r="E46" s="335">
        <v>0</v>
      </c>
      <c r="F46" s="335">
        <v>0</v>
      </c>
    </row>
    <row r="47" spans="1:6">
      <c r="A47" s="1286" t="s">
        <v>32</v>
      </c>
      <c r="B47" s="1286" t="s">
        <v>39</v>
      </c>
      <c r="C47" s="335">
        <v>0</v>
      </c>
      <c r="D47" s="335">
        <v>0</v>
      </c>
      <c r="E47" s="335">
        <v>0</v>
      </c>
      <c r="F47" s="335">
        <v>0</v>
      </c>
    </row>
    <row r="48" spans="1:6">
      <c r="A48" s="1286" t="s">
        <v>32</v>
      </c>
      <c r="B48" s="1286" t="s">
        <v>29</v>
      </c>
      <c r="C48" s="335">
        <v>36</v>
      </c>
      <c r="D48" s="335">
        <v>33382364.185760301</v>
      </c>
      <c r="E48" s="335">
        <v>43</v>
      </c>
      <c r="F48" s="335">
        <v>3463644.0683622402</v>
      </c>
    </row>
    <row r="49" spans="1:6">
      <c r="A49" s="1286" t="s">
        <v>32</v>
      </c>
      <c r="B49" s="1286" t="s">
        <v>40</v>
      </c>
      <c r="C49" s="335">
        <v>0</v>
      </c>
      <c r="D49" s="335">
        <v>0</v>
      </c>
      <c r="E49" s="335">
        <v>0</v>
      </c>
      <c r="F49" s="335">
        <v>0</v>
      </c>
    </row>
    <row r="50" spans="1:6">
      <c r="A50" s="1286" t="s">
        <v>32</v>
      </c>
      <c r="B50" s="1286" t="s">
        <v>41</v>
      </c>
      <c r="C50" s="335">
        <v>7</v>
      </c>
      <c r="D50" s="335">
        <v>9512377.1965866908</v>
      </c>
      <c r="E50" s="335">
        <v>17</v>
      </c>
      <c r="F50" s="335">
        <v>21234432.1702439</v>
      </c>
    </row>
    <row r="51" spans="1:6">
      <c r="A51" s="1286" t="s">
        <v>42</v>
      </c>
      <c r="B51" s="1286" t="s">
        <v>43</v>
      </c>
      <c r="C51" s="335">
        <v>0</v>
      </c>
      <c r="D51" s="335">
        <v>0</v>
      </c>
      <c r="E51" s="335">
        <v>76</v>
      </c>
      <c r="F51" s="335">
        <v>2949197.3552670698</v>
      </c>
    </row>
    <row r="52" spans="1:6">
      <c r="A52" s="1286" t="s">
        <v>42</v>
      </c>
      <c r="B52" s="1286" t="s">
        <v>29</v>
      </c>
      <c r="C52" s="335">
        <v>7</v>
      </c>
      <c r="D52" s="335">
        <v>3032714.5663723</v>
      </c>
      <c r="E52" s="335">
        <v>11</v>
      </c>
      <c r="F52" s="335">
        <v>141385.42575277999</v>
      </c>
    </row>
    <row r="53" spans="1:6">
      <c r="A53" s="1286" t="s">
        <v>44</v>
      </c>
      <c r="B53" s="1286" t="s">
        <v>45</v>
      </c>
      <c r="C53" s="335">
        <v>63</v>
      </c>
      <c r="D53" s="335">
        <v>1362895.3664986501</v>
      </c>
      <c r="E53" s="335">
        <v>189</v>
      </c>
      <c r="F53" s="335">
        <v>1168951.62472323</v>
      </c>
    </row>
    <row r="54" spans="1:6">
      <c r="A54" s="1286" t="s">
        <v>46</v>
      </c>
      <c r="B54" s="1286" t="s">
        <v>47</v>
      </c>
      <c r="C54" s="335">
        <v>0</v>
      </c>
      <c r="D54" s="335">
        <v>0</v>
      </c>
      <c r="E54" s="335">
        <v>1</v>
      </c>
      <c r="F54" s="335">
        <v>1331963</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61</v>
      </c>
      <c r="D57" s="335">
        <v>8838192.9440860692</v>
      </c>
      <c r="E57" s="335">
        <v>141</v>
      </c>
      <c r="F57" s="335">
        <v>3934827.1433944302</v>
      </c>
    </row>
    <row r="58" spans="1:6">
      <c r="A58" s="1286" t="s">
        <v>49</v>
      </c>
      <c r="B58" s="1286" t="s">
        <v>51</v>
      </c>
      <c r="C58" s="335">
        <v>13</v>
      </c>
      <c r="D58" s="335">
        <v>541024.77452638804</v>
      </c>
      <c r="E58" s="335">
        <v>34</v>
      </c>
      <c r="F58" s="335">
        <v>885409.95502156694</v>
      </c>
    </row>
    <row r="59" spans="1:6">
      <c r="A59" s="1286" t="s">
        <v>49</v>
      </c>
      <c r="B59" s="1286" t="s">
        <v>52</v>
      </c>
      <c r="C59" s="335">
        <v>81</v>
      </c>
      <c r="D59" s="335">
        <v>4925982.5012445804</v>
      </c>
      <c r="E59" s="335">
        <v>235</v>
      </c>
      <c r="F59" s="335">
        <v>6959425.8030488798</v>
      </c>
    </row>
    <row r="60" spans="1:6">
      <c r="A60" s="1286" t="s">
        <v>49</v>
      </c>
      <c r="B60" s="1286" t="s">
        <v>53</v>
      </c>
      <c r="C60" s="335">
        <v>57</v>
      </c>
      <c r="D60" s="335">
        <v>2023978.8128968</v>
      </c>
      <c r="E60" s="335">
        <v>93</v>
      </c>
      <c r="F60" s="335">
        <v>2061774.4601990799</v>
      </c>
    </row>
    <row r="61" spans="1:6">
      <c r="A61" s="1286" t="s">
        <v>49</v>
      </c>
      <c r="B61" s="1286" t="s">
        <v>54</v>
      </c>
      <c r="C61" s="335">
        <v>74</v>
      </c>
      <c r="D61" s="335">
        <v>4115633.7267449498</v>
      </c>
      <c r="E61" s="335">
        <v>183</v>
      </c>
      <c r="F61" s="335">
        <v>16324071.8673953</v>
      </c>
    </row>
    <row r="62" spans="1:6">
      <c r="A62" s="1286" t="s">
        <v>49</v>
      </c>
      <c r="B62" s="1286" t="s">
        <v>55</v>
      </c>
      <c r="C62" s="335">
        <v>3</v>
      </c>
      <c r="D62" s="335">
        <v>458246.56459023402</v>
      </c>
      <c r="E62" s="335">
        <v>3</v>
      </c>
      <c r="F62" s="335">
        <v>142962.48343528499</v>
      </c>
    </row>
    <row r="63" spans="1:6">
      <c r="A63" s="1286" t="s">
        <v>49</v>
      </c>
      <c r="B63" s="1286" t="s">
        <v>29</v>
      </c>
      <c r="C63" s="335">
        <v>89</v>
      </c>
      <c r="D63" s="335">
        <v>4989538.8079663198</v>
      </c>
      <c r="E63" s="335">
        <v>111</v>
      </c>
      <c r="F63" s="335">
        <v>3484576.6075523002</v>
      </c>
    </row>
    <row r="64" spans="1:6">
      <c r="A64" s="1286" t="s">
        <v>56</v>
      </c>
      <c r="B64" s="1286" t="s">
        <v>57</v>
      </c>
      <c r="C64" s="335">
        <v>0</v>
      </c>
      <c r="D64" s="335">
        <v>0</v>
      </c>
      <c r="E64" s="335">
        <v>0</v>
      </c>
      <c r="F64" s="335">
        <v>0</v>
      </c>
    </row>
    <row r="65" spans="1:6">
      <c r="A65" s="1286" t="s">
        <v>56</v>
      </c>
      <c r="B65" s="1286" t="s">
        <v>29</v>
      </c>
      <c r="C65" s="335">
        <v>1</v>
      </c>
      <c r="D65" s="335">
        <v>22661.0319911685</v>
      </c>
      <c r="E65" s="335">
        <v>1</v>
      </c>
      <c r="F65" s="335">
        <v>4475.3378697046001</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5</v>
      </c>
      <c r="D68" s="335">
        <v>425766.589128097</v>
      </c>
      <c r="E68" s="335">
        <v>25</v>
      </c>
      <c r="F68" s="335">
        <v>919692.19316728995</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22103359</v>
      </c>
      <c r="E73" s="335">
        <v>22581144.806068849</v>
      </c>
    </row>
    <row r="74" spans="1:6">
      <c r="A74" s="1286" t="s">
        <v>64</v>
      </c>
      <c r="B74" s="1286" t="s">
        <v>772</v>
      </c>
      <c r="C74" s="1297" t="s">
        <v>766</v>
      </c>
      <c r="D74" s="335">
        <v>365998.14891348616</v>
      </c>
      <c r="E74" s="335">
        <v>412863.52106486779</v>
      </c>
    </row>
    <row r="75" spans="1:6">
      <c r="A75" s="1286" t="s">
        <v>65</v>
      </c>
      <c r="B75" s="1286" t="s">
        <v>771</v>
      </c>
      <c r="C75" s="1297" t="s">
        <v>767</v>
      </c>
      <c r="D75" s="335">
        <v>64702382</v>
      </c>
      <c r="E75" s="335">
        <v>66550740.877816729</v>
      </c>
    </row>
    <row r="76" spans="1:6">
      <c r="A76" s="1286" t="s">
        <v>65</v>
      </c>
      <c r="B76" s="1286" t="s">
        <v>772</v>
      </c>
      <c r="C76" s="1297" t="s">
        <v>768</v>
      </c>
      <c r="D76" s="335">
        <v>2625802.1489134859</v>
      </c>
      <c r="E76" s="335">
        <v>2775028.8207417903</v>
      </c>
    </row>
    <row r="77" spans="1:6">
      <c r="A77" s="1286" t="s">
        <v>66</v>
      </c>
      <c r="B77" s="1286" t="s">
        <v>771</v>
      </c>
      <c r="C77" s="1297" t="s">
        <v>769</v>
      </c>
      <c r="D77" s="335">
        <v>44725648</v>
      </c>
      <c r="E77" s="335">
        <v>47534857.811022632</v>
      </c>
    </row>
    <row r="78" spans="1:6">
      <c r="A78" s="1282" t="s">
        <v>66</v>
      </c>
      <c r="B78" s="1282" t="s">
        <v>772</v>
      </c>
      <c r="C78" s="1282" t="s">
        <v>770</v>
      </c>
      <c r="D78" s="1282">
        <v>6091937</v>
      </c>
      <c r="E78" s="1282">
        <v>6554562.3642409416</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693193.70217302768</v>
      </c>
      <c r="C83" s="335">
        <v>671868.41060842585</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3168.3590519791346</v>
      </c>
    </row>
    <row r="92" spans="1:6">
      <c r="A92" s="1282" t="s">
        <v>69</v>
      </c>
      <c r="B92" s="338">
        <v>1758.65204878995</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1612</v>
      </c>
    </row>
    <row r="98" spans="1:6">
      <c r="A98" s="1286" t="s">
        <v>72</v>
      </c>
      <c r="B98" s="335">
        <v>5</v>
      </c>
    </row>
    <row r="99" spans="1:6">
      <c r="A99" s="1286" t="s">
        <v>73</v>
      </c>
      <c r="B99" s="335">
        <v>61</v>
      </c>
    </row>
    <row r="100" spans="1:6">
      <c r="A100" s="1286" t="s">
        <v>74</v>
      </c>
      <c r="B100" s="335">
        <v>656</v>
      </c>
    </row>
    <row r="101" spans="1:6">
      <c r="A101" s="1286" t="s">
        <v>75</v>
      </c>
      <c r="B101" s="335">
        <v>65</v>
      </c>
    </row>
    <row r="102" spans="1:6">
      <c r="A102" s="1286" t="s">
        <v>76</v>
      </c>
      <c r="B102" s="335">
        <v>94</v>
      </c>
    </row>
    <row r="103" spans="1:6">
      <c r="A103" s="1286" t="s">
        <v>77</v>
      </c>
      <c r="B103" s="335">
        <v>151</v>
      </c>
    </row>
    <row r="104" spans="1:6">
      <c r="A104" s="1286" t="s">
        <v>78</v>
      </c>
      <c r="B104" s="335">
        <v>3979</v>
      </c>
    </row>
    <row r="105" spans="1:6">
      <c r="A105" s="1282" t="s">
        <v>79</v>
      </c>
      <c r="B105" s="1282">
        <v>3</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1</v>
      </c>
    </row>
    <row r="111" spans="1:6">
      <c r="A111" s="1302" t="s">
        <v>710</v>
      </c>
      <c r="B111" s="1303">
        <v>2</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6</v>
      </c>
      <c r="C123" s="335">
        <v>11</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65</v>
      </c>
    </row>
    <row r="130" spans="1:6">
      <c r="A130" s="1286" t="s">
        <v>295</v>
      </c>
      <c r="B130" s="335">
        <v>1</v>
      </c>
    </row>
    <row r="131" spans="1:6">
      <c r="A131" s="1286" t="s">
        <v>296</v>
      </c>
      <c r="B131" s="335">
        <v>4</v>
      </c>
    </row>
    <row r="132" spans="1:6">
      <c r="A132" s="1282" t="s">
        <v>297</v>
      </c>
      <c r="B132" s="338">
        <v>8</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103386.38329088039</v>
      </c>
      <c r="C3" s="44" t="s">
        <v>170</v>
      </c>
      <c r="D3" s="44"/>
      <c r="E3" s="157"/>
      <c r="F3" s="44"/>
      <c r="G3" s="44"/>
      <c r="H3" s="44"/>
      <c r="I3" s="44"/>
      <c r="J3" s="44"/>
      <c r="K3" s="97"/>
    </row>
    <row r="4" spans="1:11">
      <c r="A4" s="365" t="s">
        <v>171</v>
      </c>
      <c r="B4" s="50">
        <f>IF(ISERROR('SEAP template'!B78+'SEAP template'!C78),0,'SEAP template'!B78+'SEAP template'!C78)</f>
        <v>4927.0111007690848</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0.21046796068679177</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1331.963</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1331.963</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0.21046796068679177</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280.33553632026121</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33418.812476396299</v>
      </c>
      <c r="C5" s="18">
        <f>IF(ISERROR('Eigen informatie GS &amp; warmtenet'!B57),0,'Eigen informatie GS &amp; warmtenet'!B57)</f>
        <v>0</v>
      </c>
      <c r="D5" s="31">
        <f>(SUM(HH_hh_gas_kWh,HH_rest_gas_kWh)/1000)*0.902</f>
        <v>57392.426959996526</v>
      </c>
      <c r="E5" s="18">
        <f>B46*B57</f>
        <v>2672.6300815582763</v>
      </c>
      <c r="F5" s="18">
        <f>B51*B62</f>
        <v>45109.583578678656</v>
      </c>
      <c r="G5" s="19"/>
      <c r="H5" s="18"/>
      <c r="I5" s="18"/>
      <c r="J5" s="18">
        <f>B50*B61+C50*C61</f>
        <v>0</v>
      </c>
      <c r="K5" s="18"/>
      <c r="L5" s="18"/>
      <c r="M5" s="18"/>
      <c r="N5" s="18">
        <f>B48*B59+C48*C59</f>
        <v>9248.6258038327469</v>
      </c>
      <c r="O5" s="18">
        <f>B69*B70*B71</f>
        <v>118.81333333333333</v>
      </c>
      <c r="P5" s="18">
        <f>B77*B78*B79/1000-B77*B78*B79/1000/B80</f>
        <v>266.93333333333334</v>
      </c>
    </row>
    <row r="6" spans="1:16">
      <c r="A6" s="17" t="s">
        <v>639</v>
      </c>
      <c r="B6" s="780">
        <f>kWh_PV_kleiner_dan_10kW</f>
        <v>3168.3590519791346</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36587.171528375431</v>
      </c>
      <c r="C8" s="22">
        <f>C5</f>
        <v>0</v>
      </c>
      <c r="D8" s="22">
        <f>D5</f>
        <v>57392.426959996526</v>
      </c>
      <c r="E8" s="22">
        <f>E5</f>
        <v>2672.6300815582763</v>
      </c>
      <c r="F8" s="22">
        <f>F5</f>
        <v>45109.583578678656</v>
      </c>
      <c r="G8" s="22"/>
      <c r="H8" s="22"/>
      <c r="I8" s="22"/>
      <c r="J8" s="22">
        <f>J5</f>
        <v>0</v>
      </c>
      <c r="K8" s="22"/>
      <c r="L8" s="22">
        <f>L5</f>
        <v>0</v>
      </c>
      <c r="M8" s="22">
        <f>M5</f>
        <v>0</v>
      </c>
      <c r="N8" s="22">
        <f>N5</f>
        <v>9248.6258038327469</v>
      </c>
      <c r="O8" s="22">
        <f>O5</f>
        <v>118.81333333333333</v>
      </c>
      <c r="P8" s="22">
        <f>P5</f>
        <v>266.93333333333334</v>
      </c>
    </row>
    <row r="9" spans="1:16">
      <c r="B9" s="20"/>
      <c r="C9" s="20"/>
      <c r="D9" s="262"/>
      <c r="E9" s="20"/>
      <c r="F9" s="20"/>
      <c r="G9" s="20"/>
      <c r="H9" s="20"/>
      <c r="I9" s="20"/>
      <c r="J9" s="20"/>
      <c r="K9" s="20"/>
      <c r="L9" s="20"/>
      <c r="M9" s="20"/>
      <c r="N9" s="20"/>
      <c r="O9" s="20"/>
      <c r="P9" s="20"/>
    </row>
    <row r="10" spans="1:16">
      <c r="A10" s="25" t="s">
        <v>214</v>
      </c>
      <c r="B10" s="26">
        <f ca="1">'EF ele_warmte'!B12</f>
        <v>0.21046796068679177</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7700.4273788750279</v>
      </c>
      <c r="C12" s="24">
        <f ca="1">C10*C8</f>
        <v>0</v>
      </c>
      <c r="D12" s="24">
        <f>D8*D10</f>
        <v>11593.270245919299</v>
      </c>
      <c r="E12" s="24">
        <f>E10*E8</f>
        <v>606.68702851372871</v>
      </c>
      <c r="F12" s="24">
        <f>F10*F8</f>
        <v>12044.258815507203</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1612</v>
      </c>
      <c r="C18" s="169" t="s">
        <v>111</v>
      </c>
      <c r="D18" s="231"/>
      <c r="E18" s="16"/>
    </row>
    <row r="19" spans="1:7">
      <c r="A19" s="174" t="s">
        <v>72</v>
      </c>
      <c r="B19" s="38">
        <f>aantalw2001_ander</f>
        <v>5</v>
      </c>
      <c r="C19" s="169" t="s">
        <v>111</v>
      </c>
      <c r="D19" s="232"/>
      <c r="E19" s="16"/>
    </row>
    <row r="20" spans="1:7">
      <c r="A20" s="174" t="s">
        <v>73</v>
      </c>
      <c r="B20" s="38">
        <f>aantalw2001_propaan</f>
        <v>61</v>
      </c>
      <c r="C20" s="170">
        <f>IF(ISERROR(B20/SUM($B$20,$B$21,$B$22)*100),0,B20/SUM($B$20,$B$21,$B$22)*100)</f>
        <v>7.8005115089514065</v>
      </c>
      <c r="D20" s="232"/>
      <c r="E20" s="16"/>
    </row>
    <row r="21" spans="1:7">
      <c r="A21" s="174" t="s">
        <v>74</v>
      </c>
      <c r="B21" s="38">
        <f>aantalw2001_elektriciteit</f>
        <v>656</v>
      </c>
      <c r="C21" s="170">
        <f>IF(ISERROR(B21/SUM($B$20,$B$21,$B$22)*100),0,B21/SUM($B$20,$B$21,$B$22)*100)</f>
        <v>83.887468030690542</v>
      </c>
      <c r="D21" s="232"/>
      <c r="E21" s="16"/>
    </row>
    <row r="22" spans="1:7">
      <c r="A22" s="174" t="s">
        <v>75</v>
      </c>
      <c r="B22" s="38">
        <f>aantalw2001_hout</f>
        <v>65</v>
      </c>
      <c r="C22" s="170">
        <f>IF(ISERROR(B22/SUM($B$20,$B$21,$B$22)*100),0,B22/SUM($B$20,$B$21,$B$22)*100)</f>
        <v>8.3120204603580561</v>
      </c>
      <c r="D22" s="232"/>
      <c r="E22" s="16"/>
    </row>
    <row r="23" spans="1:7">
      <c r="A23" s="174" t="s">
        <v>76</v>
      </c>
      <c r="B23" s="38">
        <f>aantalw2001_niet_gespec</f>
        <v>94</v>
      </c>
      <c r="C23" s="169" t="s">
        <v>111</v>
      </c>
      <c r="D23" s="231"/>
      <c r="E23" s="16"/>
    </row>
    <row r="24" spans="1:7">
      <c r="A24" s="174" t="s">
        <v>77</v>
      </c>
      <c r="B24" s="38">
        <f>aantalw2001_steenkool</f>
        <v>151</v>
      </c>
      <c r="C24" s="169" t="s">
        <v>111</v>
      </c>
      <c r="D24" s="232"/>
      <c r="E24" s="16"/>
    </row>
    <row r="25" spans="1:7">
      <c r="A25" s="174" t="s">
        <v>78</v>
      </c>
      <c r="B25" s="38">
        <f>aantalw2001_stookolie</f>
        <v>3979</v>
      </c>
      <c r="C25" s="169" t="s">
        <v>111</v>
      </c>
      <c r="D25" s="231"/>
      <c r="E25" s="53"/>
    </row>
    <row r="26" spans="1:7">
      <c r="A26" s="174" t="s">
        <v>79</v>
      </c>
      <c r="B26" s="38">
        <f>aantalw2001_WP</f>
        <v>3</v>
      </c>
      <c r="C26" s="169" t="s">
        <v>111</v>
      </c>
      <c r="D26" s="231"/>
      <c r="E26" s="16"/>
    </row>
    <row r="27" spans="1:7" s="16" customFormat="1">
      <c r="A27" s="174"/>
      <c r="B27" s="30"/>
      <c r="C27" s="37"/>
      <c r="D27" s="231"/>
    </row>
    <row r="28" spans="1:7" s="16" customFormat="1">
      <c r="A28" s="233" t="s">
        <v>665</v>
      </c>
      <c r="B28" s="38">
        <f>aantalHuishoudens2011</f>
        <v>7348</v>
      </c>
      <c r="C28" s="37"/>
      <c r="D28" s="231"/>
    </row>
    <row r="29" spans="1:7" s="16" customFormat="1">
      <c r="A29" s="233" t="s">
        <v>666</v>
      </c>
      <c r="B29" s="38">
        <f>SUM(HH_hh_gas_aantal,HH_rest_gas_aantal)</f>
        <v>3494</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3494</v>
      </c>
      <c r="C32" s="170">
        <f>IF(ISERROR(B32/SUM($B$32,$B$34,$B$35,$B$36,$B$38,$B$39)*100),0,B32/SUM($B$32,$B$34,$B$35,$B$36,$B$38,$B$39)*100)</f>
        <v>47.641123534224164</v>
      </c>
      <c r="D32" s="236"/>
      <c r="G32" s="16"/>
    </row>
    <row r="33" spans="1:7">
      <c r="A33" s="174" t="s">
        <v>72</v>
      </c>
      <c r="B33" s="35" t="s">
        <v>111</v>
      </c>
      <c r="C33" s="170"/>
      <c r="D33" s="236"/>
      <c r="G33" s="16"/>
    </row>
    <row r="34" spans="1:7">
      <c r="A34" s="174" t="s">
        <v>73</v>
      </c>
      <c r="B34" s="34">
        <f>IF((($B$28-$B$32-$B$39-$B$77-$B$38)*C20/100)&lt;0,0,($B$28-$B$32-$B$39-$B$77-$B$38)*C20/100)</f>
        <v>121.28235294117648</v>
      </c>
      <c r="C34" s="170">
        <f>IF(ISERROR(B34/SUM($B$32,$B$34,$B$35,$B$36,$B$38,$B$39)*100),0,B34/SUM($B$32,$B$34,$B$35,$B$36,$B$38,$B$39)*100)</f>
        <v>1.6536999310223135</v>
      </c>
      <c r="D34" s="236"/>
      <c r="G34" s="16"/>
    </row>
    <row r="35" spans="1:7">
      <c r="A35" s="174" t="s">
        <v>74</v>
      </c>
      <c r="B35" s="34">
        <f>IF((($B$28-$B$32-$B$39-$B$77-$B$38)*C21/100)&lt;0,0,($B$28-$B$32-$B$39-$B$77-$B$38)*C21/100)</f>
        <v>1304.2823529411767</v>
      </c>
      <c r="C35" s="170">
        <f>IF(ISERROR(B35/SUM($B$32,$B$34,$B$35,$B$36,$B$38,$B$39)*100),0,B35/SUM($B$32,$B$34,$B$35,$B$36,$B$38,$B$39)*100)</f>
        <v>17.784051717223569</v>
      </c>
      <c r="D35" s="236"/>
      <c r="G35" s="16"/>
    </row>
    <row r="36" spans="1:7">
      <c r="A36" s="174" t="s">
        <v>75</v>
      </c>
      <c r="B36" s="34">
        <f>IF((($B$28-$B$32-$B$39-$B$77-$B$38)*C22/100)&lt;0,0,($B$28-$B$32-$B$39-$B$77-$B$38)*C22/100)</f>
        <v>129.23529411764707</v>
      </c>
      <c r="C36" s="170">
        <f>IF(ISERROR(B36/SUM($B$32,$B$34,$B$35,$B$36,$B$38,$B$39)*100),0,B36/SUM($B$32,$B$34,$B$35,$B$36,$B$38,$B$39)*100)</f>
        <v>1.7621392707614818</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2285.1999999999998</v>
      </c>
      <c r="C39" s="170">
        <f>IF(ISERROR(B39/SUM($B$32,$B$34,$B$35,$B$36,$B$38,$B$39)*100),0,B39/SUM($B$32,$B$34,$B$35,$B$36,$B$38,$B$39)*100)</f>
        <v>31.158985546768474</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3494</v>
      </c>
      <c r="C44" s="35" t="s">
        <v>111</v>
      </c>
      <c r="D44" s="177"/>
    </row>
    <row r="45" spans="1:7">
      <c r="A45" s="174" t="s">
        <v>72</v>
      </c>
      <c r="B45" s="34" t="str">
        <f t="shared" si="0"/>
        <v>-</v>
      </c>
      <c r="C45" s="35" t="s">
        <v>111</v>
      </c>
      <c r="D45" s="177"/>
    </row>
    <row r="46" spans="1:7">
      <c r="A46" s="174" t="s">
        <v>73</v>
      </c>
      <c r="B46" s="34">
        <f t="shared" si="0"/>
        <v>121.28235294117648</v>
      </c>
      <c r="C46" s="35" t="s">
        <v>111</v>
      </c>
      <c r="D46" s="177"/>
    </row>
    <row r="47" spans="1:7">
      <c r="A47" s="174" t="s">
        <v>74</v>
      </c>
      <c r="B47" s="34">
        <f t="shared" si="0"/>
        <v>1304.2823529411767</v>
      </c>
      <c r="C47" s="35" t="s">
        <v>111</v>
      </c>
      <c r="D47" s="177"/>
    </row>
    <row r="48" spans="1:7">
      <c r="A48" s="174" t="s">
        <v>75</v>
      </c>
      <c r="B48" s="34">
        <f t="shared" si="0"/>
        <v>129.23529411764707</v>
      </c>
      <c r="C48" s="34">
        <f>B48*10</f>
        <v>1292.3529411764707</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2285.1999999999998</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76</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14</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33793.048320046844</v>
      </c>
      <c r="C5" s="18">
        <f>IF(ISERROR('Eigen informatie GS &amp; warmtenet'!B58),0,'Eigen informatie GS &amp; warmtenet'!B58)</f>
        <v>0</v>
      </c>
      <c r="D5" s="31">
        <f>SUM(D6:D12)</f>
        <v>23355.123515113919</v>
      </c>
      <c r="E5" s="18">
        <f>SUM(E6:E12)</f>
        <v>234.52396378879109</v>
      </c>
      <c r="F5" s="18">
        <f>SUM(F6:F12)</f>
        <v>6020.9063958697579</v>
      </c>
      <c r="G5" s="19"/>
      <c r="H5" s="18"/>
      <c r="I5" s="18"/>
      <c r="J5" s="18">
        <f>SUM(J6:J12)</f>
        <v>0</v>
      </c>
      <c r="K5" s="18"/>
      <c r="L5" s="18"/>
      <c r="M5" s="18"/>
      <c r="N5" s="18">
        <f>SUM(N6:N12)</f>
        <v>2545.285663564845</v>
      </c>
      <c r="O5" s="18">
        <f>B38*B39*B40</f>
        <v>1.5633333333333335</v>
      </c>
      <c r="P5" s="18">
        <f>B46*B47*B48/1000-B46*B47*B48/1000/B49</f>
        <v>76.266666666666666</v>
      </c>
      <c r="R5" s="33"/>
    </row>
    <row r="6" spans="1:18">
      <c r="A6" s="33" t="s">
        <v>54</v>
      </c>
      <c r="B6" s="38">
        <f>B26</f>
        <v>16324.0718673953</v>
      </c>
      <c r="C6" s="34"/>
      <c r="D6" s="38">
        <f>IF(ISERROR(TER_kantoor_gas_kWh/1000),0,TER_kantoor_gas_kWh/1000)*0.902</f>
        <v>3712.301621523945</v>
      </c>
      <c r="E6" s="34">
        <f>$C$26*'E Balans VL '!I12/100/3.6*1000000</f>
        <v>26.791110429520213</v>
      </c>
      <c r="F6" s="34">
        <f>$C$26*('E Balans VL '!L12+'E Balans VL '!N12)/100/3.6*1000000</f>
        <v>1924.2239886124028</v>
      </c>
      <c r="G6" s="35"/>
      <c r="H6" s="34"/>
      <c r="I6" s="34"/>
      <c r="J6" s="34">
        <f>$C$26*('E Balans VL '!D12+'E Balans VL '!E12)/100/3.6*1000000</f>
        <v>0</v>
      </c>
      <c r="K6" s="34"/>
      <c r="L6" s="34"/>
      <c r="M6" s="34"/>
      <c r="N6" s="34">
        <f>$C$26*'E Balans VL '!Y12/100/3.6*1000000</f>
        <v>3.2982014199985121</v>
      </c>
      <c r="O6" s="34"/>
      <c r="P6" s="34"/>
      <c r="R6" s="33"/>
    </row>
    <row r="7" spans="1:18">
      <c r="A7" s="33" t="s">
        <v>53</v>
      </c>
      <c r="B7" s="38">
        <f t="shared" ref="B7:B12" si="0">B27</f>
        <v>2061.7744601990798</v>
      </c>
      <c r="C7" s="34"/>
      <c r="D7" s="38">
        <f>IF(ISERROR(TER_horeca_gas_kWh/1000),0,TER_horeca_gas_kWh/1000)*0.902</f>
        <v>1825.6288892329137</v>
      </c>
      <c r="E7" s="34">
        <f>$C$27*'E Balans VL '!I9/100/3.6*1000000</f>
        <v>106.9911751650767</v>
      </c>
      <c r="F7" s="34">
        <f>$C$27*('E Balans VL '!L9+'E Balans VL '!N9)/100/3.6*1000000</f>
        <v>470.49842784839302</v>
      </c>
      <c r="G7" s="35"/>
      <c r="H7" s="34"/>
      <c r="I7" s="34"/>
      <c r="J7" s="34">
        <f>$C$27*('E Balans VL '!D9+'E Balans VL '!E9)/100/3.6*1000000</f>
        <v>0</v>
      </c>
      <c r="K7" s="34"/>
      <c r="L7" s="34"/>
      <c r="M7" s="34"/>
      <c r="N7" s="34">
        <f>$C$27*'E Balans VL '!Y9/100/3.6*1000000</f>
        <v>0.21772243814765516</v>
      </c>
      <c r="O7" s="34"/>
      <c r="P7" s="34"/>
      <c r="R7" s="33"/>
    </row>
    <row r="8" spans="1:18">
      <c r="A8" s="6" t="s">
        <v>52</v>
      </c>
      <c r="B8" s="38">
        <f t="shared" si="0"/>
        <v>6959.42580304888</v>
      </c>
      <c r="C8" s="34"/>
      <c r="D8" s="38">
        <f>IF(ISERROR(TER_handel_gas_kWh/1000),0,TER_handel_gas_kWh/1000)*0.902</f>
        <v>4443.2362161226119</v>
      </c>
      <c r="E8" s="34">
        <f>$C$28*'E Balans VL '!I13/100/3.6*1000000</f>
        <v>37.477363149184171</v>
      </c>
      <c r="F8" s="34">
        <f>$C$28*('E Balans VL '!L13+'E Balans VL '!N13)/100/3.6*1000000</f>
        <v>1419.2337367493299</v>
      </c>
      <c r="G8" s="35"/>
      <c r="H8" s="34"/>
      <c r="I8" s="34"/>
      <c r="J8" s="34">
        <f>$C$28*('E Balans VL '!D13+'E Balans VL '!E13)/100/3.6*1000000</f>
        <v>0</v>
      </c>
      <c r="K8" s="34"/>
      <c r="L8" s="34"/>
      <c r="M8" s="34"/>
      <c r="N8" s="34">
        <f>$C$28*'E Balans VL '!Y13/100/3.6*1000000</f>
        <v>34.605549351091177</v>
      </c>
      <c r="O8" s="34"/>
      <c r="P8" s="34"/>
      <c r="R8" s="33"/>
    </row>
    <row r="9" spans="1:18">
      <c r="A9" s="33" t="s">
        <v>51</v>
      </c>
      <c r="B9" s="38">
        <f t="shared" si="0"/>
        <v>885.40995502156693</v>
      </c>
      <c r="C9" s="34"/>
      <c r="D9" s="38">
        <f>IF(ISERROR(TER_gezond_gas_kWh/1000),0,TER_gezond_gas_kWh/1000)*0.902</f>
        <v>488.00434662280202</v>
      </c>
      <c r="E9" s="34">
        <f>$C$29*'E Balans VL '!I10/100/3.6*1000000</f>
        <v>0.87745133426671029</v>
      </c>
      <c r="F9" s="34">
        <f>$C$29*('E Balans VL '!L10+'E Balans VL '!N10)/100/3.6*1000000</f>
        <v>307.2117334296255</v>
      </c>
      <c r="G9" s="35"/>
      <c r="H9" s="34"/>
      <c r="I9" s="34"/>
      <c r="J9" s="34">
        <f>$C$29*('E Balans VL '!D10+'E Balans VL '!E10)/100/3.6*1000000</f>
        <v>0</v>
      </c>
      <c r="K9" s="34"/>
      <c r="L9" s="34"/>
      <c r="M9" s="34"/>
      <c r="N9" s="34">
        <f>$C$29*'E Balans VL '!Y10/100/3.6*1000000</f>
        <v>7.6295008797241737</v>
      </c>
      <c r="O9" s="34"/>
      <c r="P9" s="34"/>
      <c r="R9" s="33"/>
    </row>
    <row r="10" spans="1:18">
      <c r="A10" s="33" t="s">
        <v>50</v>
      </c>
      <c r="B10" s="38">
        <f t="shared" si="0"/>
        <v>3934.8271433944301</v>
      </c>
      <c r="C10" s="34"/>
      <c r="D10" s="38">
        <f>IF(ISERROR(TER_ander_gas_kWh/1000),0,TER_ander_gas_kWh/1000)*0.902</f>
        <v>7972.050035565635</v>
      </c>
      <c r="E10" s="34">
        <f>$C$30*'E Balans VL '!I14/100/3.6*1000000</f>
        <v>32.190818612626444</v>
      </c>
      <c r="F10" s="34">
        <f>$C$30*('E Balans VL '!L14+'E Balans VL '!N14)/100/3.6*1000000</f>
        <v>1150.3832632808721</v>
      </c>
      <c r="G10" s="35"/>
      <c r="H10" s="34"/>
      <c r="I10" s="34"/>
      <c r="J10" s="34">
        <f>$C$30*('E Balans VL '!D14+'E Balans VL '!E14)/100/3.6*1000000</f>
        <v>0</v>
      </c>
      <c r="K10" s="34"/>
      <c r="L10" s="34"/>
      <c r="M10" s="34"/>
      <c r="N10" s="34">
        <f>$C$30*'E Balans VL '!Y14/100/3.6*1000000</f>
        <v>2269.8789687934955</v>
      </c>
      <c r="O10" s="34"/>
      <c r="P10" s="34"/>
      <c r="R10" s="33"/>
    </row>
    <row r="11" spans="1:18">
      <c r="A11" s="33" t="s">
        <v>55</v>
      </c>
      <c r="B11" s="38">
        <f t="shared" si="0"/>
        <v>142.96248343528498</v>
      </c>
      <c r="C11" s="34"/>
      <c r="D11" s="38">
        <f>IF(ISERROR(TER_onderwijs_gas_kWh/1000),0,TER_onderwijs_gas_kWh/1000)*0.902</f>
        <v>413.33840126039109</v>
      </c>
      <c r="E11" s="34">
        <f>$C$31*'E Balans VL '!I11/100/3.6*1000000</f>
        <v>8.8116042603447117E-2</v>
      </c>
      <c r="F11" s="34">
        <f>$C$31*('E Balans VL '!L11+'E Balans VL '!N11)/100/3.6*1000000</f>
        <v>55.271611326224807</v>
      </c>
      <c r="G11" s="35"/>
      <c r="H11" s="34"/>
      <c r="I11" s="34"/>
      <c r="J11" s="34">
        <f>$C$31*('E Balans VL '!D11+'E Balans VL '!E11)/100/3.6*1000000</f>
        <v>0</v>
      </c>
      <c r="K11" s="34"/>
      <c r="L11" s="34"/>
      <c r="M11" s="34"/>
      <c r="N11" s="34">
        <f>$C$31*'E Balans VL '!Y11/100/3.6*1000000</f>
        <v>0.46502632240890901</v>
      </c>
      <c r="O11" s="34"/>
      <c r="P11" s="34"/>
      <c r="R11" s="33"/>
    </row>
    <row r="12" spans="1:18">
      <c r="A12" s="33" t="s">
        <v>260</v>
      </c>
      <c r="B12" s="38">
        <f t="shared" si="0"/>
        <v>3484.5766075523002</v>
      </c>
      <c r="C12" s="34"/>
      <c r="D12" s="38">
        <f>IF(ISERROR(TER_rest_gas_kWh/1000),0,TER_rest_gas_kWh/1000)*0.902</f>
        <v>4500.5640047856205</v>
      </c>
      <c r="E12" s="34">
        <f>$C$32*'E Balans VL '!I8/100/3.6*1000000</f>
        <v>30.107929055513367</v>
      </c>
      <c r="F12" s="34">
        <f>$C$32*('E Balans VL '!L8+'E Balans VL '!N8)/100/3.6*1000000</f>
        <v>694.08363462290924</v>
      </c>
      <c r="G12" s="35"/>
      <c r="H12" s="34"/>
      <c r="I12" s="34"/>
      <c r="J12" s="34">
        <f>$C$32*('E Balans VL '!D8+'E Balans VL '!E8)/100/3.6*1000000</f>
        <v>0</v>
      </c>
      <c r="K12" s="34"/>
      <c r="L12" s="34"/>
      <c r="M12" s="34"/>
      <c r="N12" s="34">
        <f>$C$32*'E Balans VL '!Y8/100/3.6*1000000</f>
        <v>229.1906943599794</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33793.048320046844</v>
      </c>
      <c r="C16" s="22">
        <f t="shared" ca="1" si="1"/>
        <v>0</v>
      </c>
      <c r="D16" s="22">
        <f t="shared" ca="1" si="1"/>
        <v>23355.123515113919</v>
      </c>
      <c r="E16" s="22">
        <f t="shared" si="1"/>
        <v>234.52396378879109</v>
      </c>
      <c r="F16" s="22">
        <f t="shared" ca="1" si="1"/>
        <v>6020.9063958697579</v>
      </c>
      <c r="G16" s="22">
        <f t="shared" si="1"/>
        <v>0</v>
      </c>
      <c r="H16" s="22">
        <f t="shared" si="1"/>
        <v>0</v>
      </c>
      <c r="I16" s="22">
        <f t="shared" si="1"/>
        <v>0</v>
      </c>
      <c r="J16" s="22">
        <f t="shared" si="1"/>
        <v>0</v>
      </c>
      <c r="K16" s="22">
        <f t="shared" si="1"/>
        <v>0</v>
      </c>
      <c r="L16" s="22">
        <f t="shared" ca="1" si="1"/>
        <v>0</v>
      </c>
      <c r="M16" s="22">
        <f t="shared" si="1"/>
        <v>0</v>
      </c>
      <c r="N16" s="22">
        <f t="shared" ca="1" si="1"/>
        <v>2545.285663564845</v>
      </c>
      <c r="O16" s="22">
        <f>O5</f>
        <v>1.5633333333333335</v>
      </c>
      <c r="P16" s="22">
        <f>P5</f>
        <v>76.266666666666666</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0.21046796068679177</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7112.3539653104735</v>
      </c>
      <c r="C20" s="24">
        <f t="shared" ref="C20:P20" ca="1" si="2">C16*C18</f>
        <v>0</v>
      </c>
      <c r="D20" s="24">
        <f t="shared" ca="1" si="2"/>
        <v>4717.7349500530117</v>
      </c>
      <c r="E20" s="24">
        <f t="shared" si="2"/>
        <v>53.236939780055579</v>
      </c>
      <c r="F20" s="24">
        <f t="shared" ca="1" si="2"/>
        <v>1607.5820076972254</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16324.0718673953</v>
      </c>
      <c r="C26" s="40">
        <f>IF(ISERROR(B26*3.6/1000000/'E Balans VL '!Z12*100),0,B26*3.6/1000000/'E Balans VL '!Z12*100)</f>
        <v>0.34687482068345443</v>
      </c>
      <c r="D26" s="240" t="s">
        <v>707</v>
      </c>
      <c r="F26" s="6"/>
    </row>
    <row r="27" spans="1:18">
      <c r="A27" s="234" t="s">
        <v>53</v>
      </c>
      <c r="B27" s="34">
        <f>IF(ISERROR(TER_horeca_ele_kWh/1000),0,TER_horeca_ele_kWh/1000)</f>
        <v>2061.7744601990798</v>
      </c>
      <c r="C27" s="40">
        <f>IF(ISERROR(B27*3.6/1000000/'E Balans VL '!Z9*100),0,B27*3.6/1000000/'E Balans VL '!Z9*100)</f>
        <v>0.16227759365042621</v>
      </c>
      <c r="D27" s="240" t="s">
        <v>707</v>
      </c>
      <c r="F27" s="6"/>
    </row>
    <row r="28" spans="1:18">
      <c r="A28" s="174" t="s">
        <v>52</v>
      </c>
      <c r="B28" s="34">
        <f>IF(ISERROR(TER_handel_ele_kWh/1000),0,TER_handel_ele_kWh/1000)</f>
        <v>6959.42580304888</v>
      </c>
      <c r="C28" s="40">
        <f>IF(ISERROR(B28*3.6/1000000/'E Balans VL '!Z13*100),0,B28*3.6/1000000/'E Balans VL '!Z13*100)</f>
        <v>0.19493724128104525</v>
      </c>
      <c r="D28" s="240" t="s">
        <v>707</v>
      </c>
      <c r="F28" s="6"/>
    </row>
    <row r="29" spans="1:18">
      <c r="A29" s="234" t="s">
        <v>51</v>
      </c>
      <c r="B29" s="34">
        <f>IF(ISERROR(TER_gezond_ele_kWh/1000),0,TER_gezond_ele_kWh/1000)</f>
        <v>885.40995502156693</v>
      </c>
      <c r="C29" s="40">
        <f>IF(ISERROR(B29*3.6/1000000/'E Balans VL '!Z10*100),0,B29*3.6/1000000/'E Balans VL '!Z10*100)</f>
        <v>0.11327070696600303</v>
      </c>
      <c r="D29" s="240" t="s">
        <v>707</v>
      </c>
      <c r="F29" s="6"/>
    </row>
    <row r="30" spans="1:18">
      <c r="A30" s="234" t="s">
        <v>50</v>
      </c>
      <c r="B30" s="34">
        <f>IF(ISERROR(TER_ander_ele_kWh/1000),0,TER_ander_ele_kWh/1000)</f>
        <v>3934.8271433944301</v>
      </c>
      <c r="C30" s="40">
        <f>IF(ISERROR(B30*3.6/1000000/'E Balans VL '!Z14*100),0,B30*3.6/1000000/'E Balans VL '!Z14*100)</f>
        <v>0.29429191489320422</v>
      </c>
      <c r="D30" s="240" t="s">
        <v>707</v>
      </c>
      <c r="F30" s="6"/>
    </row>
    <row r="31" spans="1:18">
      <c r="A31" s="234" t="s">
        <v>55</v>
      </c>
      <c r="B31" s="34">
        <f>IF(ISERROR(TER_onderwijs_ele_kWh/1000),0,TER_onderwijs_ele_kWh/1000)</f>
        <v>142.96248343528498</v>
      </c>
      <c r="C31" s="40">
        <f>IF(ISERROR(B31*3.6/1000000/'E Balans VL '!Z11*100),0,B31*3.6/1000000/'E Balans VL '!Z11*100)</f>
        <v>3.018671356111061E-2</v>
      </c>
      <c r="D31" s="240" t="s">
        <v>707</v>
      </c>
    </row>
    <row r="32" spans="1:18">
      <c r="A32" s="234" t="s">
        <v>260</v>
      </c>
      <c r="B32" s="34">
        <f>IF(ISERROR(TER_rest_ele_kWh/1000),0,TER_rest_ele_kWh/1000)</f>
        <v>3484.5766075523002</v>
      </c>
      <c r="C32" s="40">
        <f>IF(ISERROR(B32*3.6/1000000/'E Balans VL '!Z8*100),0,B32*3.6/1000000/'E Balans VL '!Z8*100)</f>
        <v>2.8705705369836059E-2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1</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4</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27411.898612519697</v>
      </c>
      <c r="C5" s="18">
        <f>IF(ISERROR('Eigen informatie GS &amp; warmtenet'!B59),0,'Eigen informatie GS &amp; warmtenet'!B59)</f>
        <v>0</v>
      </c>
      <c r="D5" s="31">
        <f>SUM(D6:D15)</f>
        <v>39405.275058497034</v>
      </c>
      <c r="E5" s="18">
        <f>SUM(E6:E15)</f>
        <v>267.82578346889505</v>
      </c>
      <c r="F5" s="18">
        <f>SUM(F6:F15)</f>
        <v>4227.6984766752012</v>
      </c>
      <c r="G5" s="19"/>
      <c r="H5" s="18"/>
      <c r="I5" s="18"/>
      <c r="J5" s="18">
        <f>SUM(J6:J15)</f>
        <v>38.926815670609756</v>
      </c>
      <c r="K5" s="18"/>
      <c r="L5" s="18"/>
      <c r="M5" s="18"/>
      <c r="N5" s="18">
        <f>SUM(N6:N15)</f>
        <v>512.13923925411086</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1125.32070727102</v>
      </c>
      <c r="C8" s="34"/>
      <c r="D8" s="38">
        <f>IF( ISERROR(IND_metaal_Gas_kWH/1000),0,IND_metaal_Gas_kWH/1000)*0.902</f>
        <v>94.688777321399471</v>
      </c>
      <c r="E8" s="34">
        <f>C30*'E Balans VL '!I18/100/3.6*1000000</f>
        <v>10.248092884423031</v>
      </c>
      <c r="F8" s="34">
        <f>C30*'E Balans VL '!L18/100/3.6*1000000+C30*'E Balans VL '!N18/100/3.6*1000000</f>
        <v>148.42125545681725</v>
      </c>
      <c r="G8" s="35"/>
      <c r="H8" s="34"/>
      <c r="I8" s="34"/>
      <c r="J8" s="41">
        <f>C30*'E Balans VL '!D18/100/3.6*1000000+C30*'E Balans VL '!E18/100/3.6*1000000</f>
        <v>18.453625692412995</v>
      </c>
      <c r="K8" s="34"/>
      <c r="L8" s="34"/>
      <c r="M8" s="34"/>
      <c r="N8" s="34">
        <f>C30*'E Balans VL '!Y18/100/3.6*1000000</f>
        <v>3.867280238386257</v>
      </c>
      <c r="O8" s="34"/>
      <c r="P8" s="34"/>
      <c r="R8" s="33"/>
    </row>
    <row r="9" spans="1:18">
      <c r="A9" s="6" t="s">
        <v>33</v>
      </c>
      <c r="B9" s="38">
        <f t="shared" si="0"/>
        <v>1155.0856620028799</v>
      </c>
      <c r="C9" s="34"/>
      <c r="D9" s="38">
        <f>IF( ISERROR(IND_andere_gas_kWh/1000),0,IND_andere_gas_kWh/1000)*0.902</f>
        <v>619.52955429864653</v>
      </c>
      <c r="E9" s="34">
        <f>C31*'E Balans VL '!I19/100/3.6*1000000</f>
        <v>6.6765677396514729</v>
      </c>
      <c r="F9" s="34">
        <f>C31*'E Balans VL '!L19/100/3.6*1000000+C31*'E Balans VL '!N19/100/3.6*1000000</f>
        <v>918.92622464594444</v>
      </c>
      <c r="G9" s="35"/>
      <c r="H9" s="34"/>
      <c r="I9" s="34"/>
      <c r="J9" s="41">
        <f>C31*'E Balans VL '!D19/100/3.6*1000000+C31*'E Balans VL '!E19/100/3.6*1000000</f>
        <v>0.10925827329734253</v>
      </c>
      <c r="K9" s="34"/>
      <c r="L9" s="34"/>
      <c r="M9" s="34"/>
      <c r="N9" s="34">
        <f>C31*'E Balans VL '!Y19/100/3.6*1000000</f>
        <v>87.515219162941875</v>
      </c>
      <c r="O9" s="34"/>
      <c r="P9" s="34"/>
      <c r="R9" s="33"/>
    </row>
    <row r="10" spans="1:18">
      <c r="A10" s="6" t="s">
        <v>41</v>
      </c>
      <c r="B10" s="38">
        <f t="shared" si="0"/>
        <v>21234.432170243901</v>
      </c>
      <c r="C10" s="34"/>
      <c r="D10" s="38">
        <f>IF( ISERROR(IND_voed_gas_kWh/1000),0,IND_voed_gas_kWh/1000)*0.902</f>
        <v>8580.164231321196</v>
      </c>
      <c r="E10" s="34">
        <f>C32*'E Balans VL '!I20/100/3.6*1000000</f>
        <v>208.79002072113687</v>
      </c>
      <c r="F10" s="34">
        <f>C32*'E Balans VL '!L20/100/3.6*1000000+C32*'E Balans VL '!N20/100/3.6*1000000</f>
        <v>2358.3608579975607</v>
      </c>
      <c r="G10" s="35"/>
      <c r="H10" s="34"/>
      <c r="I10" s="34"/>
      <c r="J10" s="41">
        <f>C32*'E Balans VL '!D20/100/3.6*1000000+C32*'E Balans VL '!E20/100/3.6*1000000</f>
        <v>8.3694537035084407E-2</v>
      </c>
      <c r="K10" s="34"/>
      <c r="L10" s="34"/>
      <c r="M10" s="34"/>
      <c r="N10" s="34">
        <f>C32*'E Balans VL '!Y20/100/3.6*1000000</f>
        <v>314.43199179187417</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433.41600463965597</v>
      </c>
      <c r="C12" s="34"/>
      <c r="D12" s="38">
        <f>IF( ISERROR(IND_min_gas_kWh/1000),0,IND_min_gas_kWh/1000)*0.902</f>
        <v>0</v>
      </c>
      <c r="E12" s="34">
        <f>C34*'E Balans VL '!I22/100/3.6*1000000</f>
        <v>10.987866979262208</v>
      </c>
      <c r="F12" s="34">
        <f>C34*'E Balans VL '!L22/100/3.6*1000000+C34*'E Balans VL '!N22/100/3.6*1000000</f>
        <v>119.92771919440436</v>
      </c>
      <c r="G12" s="35"/>
      <c r="H12" s="34"/>
      <c r="I12" s="34"/>
      <c r="J12" s="41">
        <f>C34*'E Balans VL '!D22/100/3.6*1000000+C34*'E Balans VL '!E22/100/3.6*1000000</f>
        <v>2.8623663899885581</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3463.6440683622404</v>
      </c>
      <c r="C15" s="34"/>
      <c r="D15" s="38">
        <f>IF( ISERROR(IND_rest_gas_kWh/1000),0,IND_rest_gas_kWh/1000)*0.902</f>
        <v>30110.892495555792</v>
      </c>
      <c r="E15" s="34">
        <f>C37*'E Balans VL '!I15/100/3.6*1000000</f>
        <v>31.123235144421493</v>
      </c>
      <c r="F15" s="34">
        <f>C37*'E Balans VL '!L15/100/3.6*1000000+C37*'E Balans VL '!N15/100/3.6*1000000</f>
        <v>682.06241938047481</v>
      </c>
      <c r="G15" s="35"/>
      <c r="H15" s="34"/>
      <c r="I15" s="34"/>
      <c r="J15" s="41">
        <f>C37*'E Balans VL '!D15/100/3.6*1000000+C37*'E Balans VL '!E15/100/3.6*1000000</f>
        <v>17.41787077787577</v>
      </c>
      <c r="K15" s="34"/>
      <c r="L15" s="34"/>
      <c r="M15" s="34"/>
      <c r="N15" s="34">
        <f>C37*'E Balans VL '!Y15/100/3.6*1000000</f>
        <v>106.32474806090863</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27411.898612519697</v>
      </c>
      <c r="C18" s="22">
        <f>C5+C16</f>
        <v>0</v>
      </c>
      <c r="D18" s="22">
        <f>MAX((D5+D16),0)</f>
        <v>39405.275058497034</v>
      </c>
      <c r="E18" s="22">
        <f>MAX((E5+E16),0)</f>
        <v>267.82578346889505</v>
      </c>
      <c r="F18" s="22">
        <f>MAX((F5+F16),0)</f>
        <v>4227.6984766752012</v>
      </c>
      <c r="G18" s="22"/>
      <c r="H18" s="22"/>
      <c r="I18" s="22"/>
      <c r="J18" s="22">
        <f>MAX((J5+J16),0)</f>
        <v>38.926815670609756</v>
      </c>
      <c r="K18" s="22"/>
      <c r="L18" s="22">
        <f>MAX((L5+L16),0)</f>
        <v>0</v>
      </c>
      <c r="M18" s="22"/>
      <c r="N18" s="22">
        <f>MAX((N5+N16),0)</f>
        <v>512.13923925411086</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0.21046796068679177</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5769.3263995301177</v>
      </c>
      <c r="C22" s="24">
        <f ca="1">C18*C20</f>
        <v>0</v>
      </c>
      <c r="D22" s="24">
        <f>D18*D20</f>
        <v>7959.8655618164012</v>
      </c>
      <c r="E22" s="24">
        <f>E18*E20</f>
        <v>60.796452847439177</v>
      </c>
      <c r="F22" s="24">
        <f>F18*F20</f>
        <v>1128.7954932722787</v>
      </c>
      <c r="G22" s="24"/>
      <c r="H22" s="24"/>
      <c r="I22" s="24"/>
      <c r="J22" s="24">
        <f>J18*J20</f>
        <v>13.780092747395853</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1125.32070727102</v>
      </c>
      <c r="C30" s="40">
        <f>IF(ISERROR(B30*3.6/1000000/'E Balans VL '!Z18*100),0,B30*3.6/1000000/'E Balans VL '!Z18*100)</f>
        <v>6.2616572404624898E-2</v>
      </c>
      <c r="D30" s="240" t="s">
        <v>707</v>
      </c>
    </row>
    <row r="31" spans="1:18">
      <c r="A31" s="6" t="s">
        <v>33</v>
      </c>
      <c r="B31" s="38">
        <f>IF( ISERROR(IND_ander_ele_kWh/1000),0,IND_ander_ele_kWh/1000)</f>
        <v>1155.0856620028799</v>
      </c>
      <c r="C31" s="40">
        <f>IF(ISERROR(B31*3.6/1000000/'E Balans VL '!Z19*100),0,B31*3.6/1000000/'E Balans VL '!Z19*100)</f>
        <v>5.3696898821902136E-2</v>
      </c>
      <c r="D31" s="240" t="s">
        <v>707</v>
      </c>
    </row>
    <row r="32" spans="1:18">
      <c r="A32" s="174" t="s">
        <v>41</v>
      </c>
      <c r="B32" s="38">
        <f>IF( ISERROR(IND_voed_ele_kWh/1000),0,IND_voed_ele_kWh/1000)</f>
        <v>21234.432170243901</v>
      </c>
      <c r="C32" s="40">
        <f>IF(ISERROR(B32*3.6/1000000/'E Balans VL '!Z20*100),0,B32*3.6/1000000/'E Balans VL '!Z20*100)</f>
        <v>0.75059429246616616</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433.41600463965597</v>
      </c>
      <c r="C34" s="40">
        <f>IF(ISERROR(B34*3.6/1000000/'E Balans VL '!Z22*100),0,B34*3.6/1000000/'E Balans VL '!Z22*100)</f>
        <v>8.7104395014146532E-2</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3463.6440683622404</v>
      </c>
      <c r="C37" s="40">
        <f>IF(ISERROR(B37*3.6/1000000/'E Balans VL '!Z15*100),0,B37*3.6/1000000/'E Balans VL '!Z15*100)</f>
        <v>2.6155629292126763E-2</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3090.5827810198498</v>
      </c>
      <c r="C5" s="18">
        <f>'Eigen informatie GS &amp; warmtenet'!B60</f>
        <v>0</v>
      </c>
      <c r="D5" s="31">
        <f>IF(ISERROR(SUM(LB_lb_gas_kWh,LB_rest_gas_kWh)/1000),0,SUM(LB_lb_gas_kWh,LB_rest_gas_kWh)/1000)*0.902</f>
        <v>2735.5085388678144</v>
      </c>
      <c r="E5" s="18">
        <f>B17*'E Balans VL '!I25/3.6*1000000/100</f>
        <v>29.115360555597562</v>
      </c>
      <c r="F5" s="18">
        <f>B17*('E Balans VL '!L25/3.6*1000000+'E Balans VL '!N25/3.6*1000000)/100</f>
        <v>10085.597288814724</v>
      </c>
      <c r="G5" s="19"/>
      <c r="H5" s="18"/>
      <c r="I5" s="18"/>
      <c r="J5" s="18">
        <f>('E Balans VL '!D25+'E Balans VL '!E25)/3.6*1000000*landbouw!B17/100</f>
        <v>382.32012260391474</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3090.5827810198498</v>
      </c>
      <c r="C8" s="22">
        <f>C5+C6</f>
        <v>0</v>
      </c>
      <c r="D8" s="22">
        <f>MAX((D5+D6),0)</f>
        <v>2735.5085388678144</v>
      </c>
      <c r="E8" s="22">
        <f>MAX((E5+E6),0)</f>
        <v>29.115360555597562</v>
      </c>
      <c r="F8" s="22">
        <f>MAX((F5+F6),0)</f>
        <v>10085.597288814724</v>
      </c>
      <c r="G8" s="22"/>
      <c r="H8" s="22"/>
      <c r="I8" s="22"/>
      <c r="J8" s="22">
        <f>MAX((J5+J6),0)</f>
        <v>382.32012260391474</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0.21046796068679177</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650.46865525496128</v>
      </c>
      <c r="C12" s="24">
        <f ca="1">C8*C10</f>
        <v>0</v>
      </c>
      <c r="D12" s="24">
        <f>D8*D10</f>
        <v>552.57272485129852</v>
      </c>
      <c r="E12" s="24">
        <f>E8*E10</f>
        <v>6.6091868461206467</v>
      </c>
      <c r="F12" s="24">
        <f>F8*F10</f>
        <v>2692.8544761135317</v>
      </c>
      <c r="G12" s="24"/>
      <c r="H12" s="24"/>
      <c r="I12" s="24"/>
      <c r="J12" s="24">
        <f>J8*J10</f>
        <v>135.34132340178581</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0.41841552261596565</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232.63794432301762</v>
      </c>
      <c r="C26" s="250">
        <f>B26*'GWP N2O_CH4'!B5</f>
        <v>4885.3968307833702</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64.232703844839506</v>
      </c>
      <c r="C27" s="250">
        <f>B27*'GWP N2O_CH4'!B5</f>
        <v>1348.8867807416295</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2.8932897478634554</v>
      </c>
      <c r="C28" s="250">
        <f>B28*'GWP N2O_CH4'!B4</f>
        <v>896.91982183767118</v>
      </c>
      <c r="D28" s="51"/>
    </row>
    <row r="29" spans="1:4">
      <c r="A29" s="42" t="s">
        <v>277</v>
      </c>
      <c r="B29" s="250">
        <f>B34*'ha_N2O bodem landbouw'!B4</f>
        <v>10.606046614512119</v>
      </c>
      <c r="C29" s="250">
        <f>B29*'GWP N2O_CH4'!B4</f>
        <v>3287.8744504987567</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2.8632987047407473E-3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9.9627271031854749E-6</v>
      </c>
      <c r="C5" s="447" t="s">
        <v>211</v>
      </c>
      <c r="D5" s="432">
        <f>SUM(D6:D11)</f>
        <v>3.412267868881045E-5</v>
      </c>
      <c r="E5" s="432">
        <f>SUM(E6:E11)</f>
        <v>2.0450005194640694E-3</v>
      </c>
      <c r="F5" s="445" t="s">
        <v>211</v>
      </c>
      <c r="G5" s="432">
        <f>SUM(G6:G11)</f>
        <v>0.37034623545069006</v>
      </c>
      <c r="H5" s="432">
        <f>SUM(H6:H11)</f>
        <v>7.5704971171284052E-2</v>
      </c>
      <c r="I5" s="447" t="s">
        <v>211</v>
      </c>
      <c r="J5" s="447" t="s">
        <v>211</v>
      </c>
      <c r="K5" s="447" t="s">
        <v>211</v>
      </c>
      <c r="L5" s="447" t="s">
        <v>211</v>
      </c>
      <c r="M5" s="432">
        <f>SUM(M6:M11)</f>
        <v>1.9954576595086128E-2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1.6741991052853445E-6</v>
      </c>
      <c r="C6" s="433"/>
      <c r="D6" s="433">
        <f>vkm_2011_GW_PW*SUMIFS(TableVerdeelsleutelVkm[CNG],TableVerdeelsleutelVkm[Voertuigtype],"Lichte voertuigen")*SUMIFS(TableECFTransport[EnergieConsumptieFactor (PJ per km)],TableECFTransport[Index],CONCATENATE($A6,"_CNG_CNG"))</f>
        <v>4.0884222530974425E-6</v>
      </c>
      <c r="E6" s="435">
        <f>vkm_2011_GW_PW*SUMIFS(TableVerdeelsleutelVkm[LPG],TableVerdeelsleutelVkm[Voertuigtype],"Lichte voertuigen")*SUMIFS(TableECFTransport[EnergieConsumptieFactor (PJ per km)],TableECFTransport[Index],CONCATENATE($A6,"_LPG_LPG"))</f>
        <v>2.4234054276561261E-4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3.5033176224021877E-2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9.1811890038072923E-3</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1.9800007006499261E-3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3.4028825957477414E-3</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1.3729304601430365E-6</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1.5159736679605873E-4</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4.9008238998529852E-6</v>
      </c>
      <c r="C8" s="433"/>
      <c r="D8" s="435">
        <f>vkm_2011_NGW_PW*SUMIFS(TableVerdeelsleutelVkm[CNG],TableVerdeelsleutelVkm[Voertuigtype],"Lichte voertuigen")*SUMIFS(TableECFTransport[EnergieConsumptieFactor (PJ per km)],TableECFTransport[Index],CONCATENATE($A8,"_CNG_CNG"))</f>
        <v>2.1472435262578537E-5</v>
      </c>
      <c r="E8" s="435">
        <f>vkm_2011_NGW_PW*SUMIFS(TableVerdeelsleutelVkm[LPG],TableVerdeelsleutelVkm[Voertuigtype],"Lichte voertuigen")*SUMIFS(TableECFTransport[EnergieConsumptieFactor (PJ per km)],TableECFTransport[Index],CONCATENATE($A8,"_LPG_LPG"))</f>
        <v>1.1676434242981564E-3</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0.15945960194010861</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4.6175045935907738E-2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9.2128916228959648E-3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3.3846576924856729E-2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1.1890022496059262E-5</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1.5077737678380382E-3</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3.3877040980471455E-6</v>
      </c>
      <c r="C10" s="433"/>
      <c r="D10" s="435">
        <f>vkm_2011_SW_PW*SUMIFS(TableVerdeelsleutelVkm[CNG],TableVerdeelsleutelVkm[Voertuigtype],"Lichte voertuigen")*SUMIFS(TableECFTransport[EnergieConsumptieFactor (PJ per km)],TableECFTransport[Index],CONCATENATE($A10,"_CNG_CNG"))</f>
        <v>8.5618211731344686E-6</v>
      </c>
      <c r="E10" s="435">
        <f>vkm_2011_SW_PW*SUMIFS(TableVerdeelsleutelVkm[LPG],TableVerdeelsleutelVkm[Voertuigtype],"Lichte voertuigen")*SUMIFS(TableECFTransport[EnergieConsumptieFactor (PJ per km)],TableECFTransport[Index],CONCATENATE($A10,"_LPG_LPG"))</f>
        <v>6.3501655240030049E-4</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8.3659879109954469E-2</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2.0311954371994269E-2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4.6545078537876183E-3</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5.4944118656000608E-2</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2.3518906618560696E-5</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2.4478052831185212E-3</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2.7674241953292986</v>
      </c>
      <c r="C14" s="22"/>
      <c r="D14" s="22">
        <f t="shared" ref="D14:M14" si="0">((D5)*10^9/3600)+D12</f>
        <v>9.4785218580029014</v>
      </c>
      <c r="E14" s="22">
        <f t="shared" si="0"/>
        <v>568.05569985113038</v>
      </c>
      <c r="F14" s="22"/>
      <c r="G14" s="22">
        <f t="shared" si="0"/>
        <v>102873.95429185836</v>
      </c>
      <c r="H14" s="22">
        <f t="shared" si="0"/>
        <v>21029.158658690012</v>
      </c>
      <c r="I14" s="22"/>
      <c r="J14" s="22"/>
      <c r="K14" s="22"/>
      <c r="L14" s="22"/>
      <c r="M14" s="22">
        <f t="shared" si="0"/>
        <v>5542.9379430794797</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0.21046796068679177</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0.58245412674624319</v>
      </c>
      <c r="C18" s="24"/>
      <c r="D18" s="24">
        <f t="shared" ref="D18:M18" si="1">D14*D16</f>
        <v>1.9146614153165862</v>
      </c>
      <c r="E18" s="24">
        <f t="shared" si="1"/>
        <v>128.9486438662066</v>
      </c>
      <c r="F18" s="24"/>
      <c r="G18" s="24">
        <f t="shared" si="1"/>
        <v>27467.345795926183</v>
      </c>
      <c r="H18" s="24">
        <f t="shared" si="1"/>
        <v>5236.260506013813</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9.085875900945754E-3</v>
      </c>
      <c r="H50" s="323">
        <f t="shared" si="2"/>
        <v>0</v>
      </c>
      <c r="I50" s="323">
        <f t="shared" si="2"/>
        <v>0</v>
      </c>
      <c r="J50" s="323">
        <f t="shared" si="2"/>
        <v>0</v>
      </c>
      <c r="K50" s="323">
        <f t="shared" si="2"/>
        <v>0</v>
      </c>
      <c r="L50" s="323">
        <f t="shared" si="2"/>
        <v>0</v>
      </c>
      <c r="M50" s="323">
        <f t="shared" si="2"/>
        <v>3.9897579890034798E-4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9.085875900945754E-3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3.9897579890034798E-4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2523.8544169293764</v>
      </c>
      <c r="H54" s="22">
        <f t="shared" si="3"/>
        <v>0</v>
      </c>
      <c r="I54" s="22">
        <f t="shared" si="3"/>
        <v>0</v>
      </c>
      <c r="J54" s="22">
        <f t="shared" si="3"/>
        <v>0</v>
      </c>
      <c r="K54" s="22">
        <f t="shared" si="3"/>
        <v>0</v>
      </c>
      <c r="L54" s="22">
        <f t="shared" si="3"/>
        <v>0</v>
      </c>
      <c r="M54" s="22">
        <f t="shared" si="3"/>
        <v>110.82661080565221</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0.21046796068679177</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673.86912932014354</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0</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0</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4927.0111007690848</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45"/>
      <c r="Q8" s="1246"/>
      <c r="S8" s="1028"/>
      <c r="T8" s="1220"/>
      <c r="U8" s="1220"/>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4927.0111007690848</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2019-08-12T07:53:23Z</dcterms:modified>
</cp:coreProperties>
</file>