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H101"/>
  <c r="J8" s="1"/>
  <c r="D101"/>
  <c r="F101"/>
  <c r="I8" s="1"/>
  <c r="B101"/>
  <c r="C8" s="1"/>
  <c r="C10" s="1"/>
  <c r="C20"/>
  <c r="I17"/>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Q52"/>
  <c r="R44"/>
  <c r="Q26"/>
  <c r="N26"/>
  <c r="J26"/>
  <c r="I26"/>
  <c r="E25"/>
  <c r="D14" i="48" s="1"/>
  <c r="C25" i="14"/>
  <c r="P26"/>
  <c r="L26"/>
  <c r="P22"/>
  <c r="G22"/>
  <c r="R12"/>
  <c r="F13" i="15"/>
  <c r="D13"/>
  <c r="C13"/>
  <c r="J10" i="18" l="1"/>
  <c r="J76" i="14"/>
  <c r="I10" i="18"/>
  <c r="I76" i="14"/>
  <c r="I8" i="56" s="1"/>
  <c r="I10" s="1"/>
  <c r="G8"/>
  <c r="G10" s="1"/>
  <c r="G78" i="14"/>
  <c r="I20" i="18"/>
  <c r="I87" i="14"/>
  <c r="I17" i="56" s="1"/>
  <c r="I20" s="1"/>
  <c r="N78" i="14"/>
  <c r="N8" i="56"/>
  <c r="N10" s="1"/>
  <c r="F17"/>
  <c r="F20" s="1"/>
  <c r="F90" i="14"/>
  <c r="K90"/>
  <c r="K18" i="56"/>
  <c r="N90" i="14"/>
  <c r="O10" i="56"/>
  <c r="C88" i="14"/>
  <c r="C18" i="56" s="1"/>
  <c r="G20"/>
  <c r="O20"/>
  <c r="E8"/>
  <c r="E10" s="1"/>
  <c r="M78" i="14"/>
  <c r="M8" i="56"/>
  <c r="M10" s="1"/>
  <c r="H78" i="14"/>
  <c r="H9" i="56"/>
  <c r="H10" s="1"/>
  <c r="Q87" i="14"/>
  <c r="P17" i="56" s="1"/>
  <c r="D17"/>
  <c r="K78" i="14"/>
  <c r="K8" i="56"/>
  <c r="K10" s="1"/>
  <c r="O78" i="14"/>
  <c r="O9" i="56"/>
  <c r="L90" i="14"/>
  <c r="L17" i="56"/>
  <c r="L20" s="1"/>
  <c r="G90" i="14"/>
  <c r="G18" i="56"/>
  <c r="O90" i="14"/>
  <c r="O18" i="56"/>
  <c r="C77" i="14"/>
  <c r="C9" i="56" s="1"/>
  <c r="D9"/>
  <c r="D10" s="1"/>
  <c r="Q88" i="14"/>
  <c r="P18" i="56" s="1"/>
  <c r="D18"/>
  <c r="M20"/>
  <c r="K20"/>
  <c r="L78" i="14"/>
  <c r="N20" i="56"/>
  <c r="Q89" i="14"/>
  <c r="P19" i="56" s="1"/>
  <c r="Q76" i="14"/>
  <c r="P8"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Q90" i="14"/>
  <c r="B17" i="6" s="1"/>
  <c r="D20" i="56"/>
  <c r="B76" i="14"/>
  <c r="C76"/>
  <c r="I78"/>
  <c r="C87"/>
  <c r="C17" i="56" s="1"/>
  <c r="C20" s="1"/>
  <c r="B87" i="14"/>
  <c r="B8" i="56" l="1"/>
  <c r="B10" s="1"/>
  <c r="B78" i="14"/>
  <c r="B4" i="6" s="1"/>
  <c r="C8" i="56"/>
  <c r="C10" s="1"/>
  <c r="C78" i="14"/>
  <c r="B90"/>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7"/>
  <c r="K31"/>
  <c r="K25"/>
  <c r="K28"/>
  <c r="K24"/>
  <c r="K26"/>
  <c r="K22"/>
  <c r="K29"/>
  <c r="K30"/>
  <c r="J10" i="14"/>
  <c r="J16" s="1"/>
  <c r="J27" s="1"/>
  <c r="I5" i="48"/>
  <c r="J30"/>
  <c r="J31"/>
  <c r="J29"/>
  <c r="J24"/>
  <c r="J32"/>
  <c r="J28"/>
  <c r="J27"/>
  <c r="P4"/>
  <c r="Q11" i="14"/>
  <c r="B7" i="48"/>
  <c r="C24" i="14"/>
  <c r="C26" s="1"/>
  <c r="P11"/>
  <c r="O4" i="48"/>
  <c r="I32"/>
  <c r="I22"/>
  <c r="I25"/>
  <c r="I29"/>
  <c r="I26"/>
  <c r="I24"/>
  <c r="I27"/>
  <c r="I30"/>
  <c r="I31"/>
  <c r="I28"/>
  <c r="E11" i="14"/>
  <c r="D4" i="48"/>
  <c r="D22" s="1"/>
  <c r="H32"/>
  <c r="H25"/>
  <c r="H26"/>
  <c r="H28"/>
  <c r="H29"/>
  <c r="H22"/>
  <c r="H30"/>
  <c r="H24"/>
  <c r="H23"/>
  <c r="D11" i="14"/>
  <c r="C4" i="48"/>
  <c r="G32"/>
  <c r="G26"/>
  <c r="G24"/>
  <c r="G22"/>
  <c r="G25"/>
  <c r="G29"/>
  <c r="G30"/>
  <c r="G23"/>
  <c r="C11" i="14"/>
  <c r="B4" i="48"/>
  <c r="F30"/>
  <c r="F24"/>
  <c r="F28"/>
  <c r="F27"/>
  <c r="F32"/>
  <c r="F31"/>
  <c r="F29"/>
  <c r="N32"/>
  <c r="N30"/>
  <c r="N31"/>
  <c r="N28"/>
  <c r="N24"/>
  <c r="N27"/>
  <c r="N29"/>
  <c r="C19" i="14"/>
  <c r="B10" i="48"/>
  <c r="E32"/>
  <c r="E28"/>
  <c r="E24"/>
  <c r="E31"/>
  <c r="E29"/>
  <c r="E30"/>
  <c r="M12" i="13"/>
  <c r="N41" i="14" s="1"/>
  <c r="M17" i="48"/>
  <c r="L10" i="14"/>
  <c r="L16" s="1"/>
  <c r="L27" s="1"/>
  <c r="K5" i="48"/>
  <c r="D28"/>
  <c r="D30"/>
  <c r="D24"/>
  <c r="D32"/>
  <c r="D31"/>
  <c r="D29"/>
  <c r="L28"/>
  <c r="L32"/>
  <c r="L27"/>
  <c r="L31"/>
  <c r="L22"/>
  <c r="L30"/>
  <c r="L29"/>
  <c r="L24"/>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M32"/>
  <c r="M22"/>
  <c r="M26"/>
  <c r="M29"/>
  <c r="M30"/>
  <c r="M25"/>
  <c r="M24"/>
  <c r="M23"/>
  <c r="G11" i="14"/>
  <c r="F4" i="48"/>
  <c r="F22" s="1"/>
  <c r="I18" i="14"/>
  <c r="H13" i="48"/>
  <c r="H31" s="1"/>
  <c r="L63" i="14"/>
  <c r="Q13"/>
  <c r="Q16" s="1"/>
  <c r="Q27" s="1"/>
  <c r="P8" i="48"/>
  <c r="P26" s="1"/>
  <c r="K23"/>
  <c r="K15"/>
  <c r="P22"/>
  <c r="I23"/>
  <c r="I33" s="1"/>
  <c r="I15"/>
  <c r="H18" i="14"/>
  <c r="G13" i="48"/>
  <c r="N18" i="14"/>
  <c r="M13" i="48"/>
  <c r="M31" s="1"/>
  <c r="J12" i="17"/>
  <c r="K54" i="14" s="1"/>
  <c r="K56" s="1"/>
  <c r="J7" i="48"/>
  <c r="J25" s="1"/>
  <c r="K24" i="14"/>
  <c r="K26" s="1"/>
  <c r="J63"/>
  <c r="J46"/>
  <c r="J61"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O11" l="1"/>
  <c r="N4" i="48"/>
  <c r="N22" s="1"/>
  <c r="E12" i="13"/>
  <c r="F41" i="14" s="1"/>
  <c r="F11"/>
  <c r="E4" i="48"/>
  <c r="E9"/>
  <c r="E27" s="1"/>
  <c r="F20" i="14"/>
  <c r="F22" s="1"/>
  <c r="I20"/>
  <c r="H9" i="48"/>
  <c r="P16" i="14"/>
  <c r="P27" s="1"/>
  <c r="P13"/>
  <c r="O8" i="48"/>
  <c r="O26" s="1"/>
  <c r="O33" s="1"/>
  <c r="R18" i="14"/>
  <c r="M10" i="48"/>
  <c r="M28" s="1"/>
  <c r="N19" i="14"/>
  <c r="D9" i="48"/>
  <c r="D27" s="1"/>
  <c r="E20" i="14"/>
  <c r="E22" s="1"/>
  <c r="G31" i="48"/>
  <c r="Q13"/>
  <c r="C20" i="14"/>
  <c r="B9" i="48"/>
  <c r="H19" i="14"/>
  <c r="G10" i="48"/>
  <c r="K11" i="14"/>
  <c r="J4" i="48"/>
  <c r="E7"/>
  <c r="E25" s="1"/>
  <c r="F24" i="14"/>
  <c r="F26" s="1"/>
  <c r="I22"/>
  <c r="I27" s="1"/>
  <c r="D18" i="22"/>
  <c r="E50" i="14" s="1"/>
  <c r="E52" s="1"/>
  <c r="Q46"/>
  <c r="Q61" s="1"/>
  <c r="Q63" s="1"/>
  <c r="I52"/>
  <c r="I61" s="1"/>
  <c r="I63" s="1"/>
  <c r="O15" i="48"/>
  <c r="P15"/>
  <c r="M14" i="22"/>
  <c r="P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E22" i="48" l="1"/>
  <c r="Q4"/>
  <c r="M9"/>
  <c r="N20" i="14"/>
  <c r="N22" s="1"/>
  <c r="N27" s="1"/>
  <c r="N63" s="1"/>
  <c r="H27" i="48"/>
  <c r="H33" s="1"/>
  <c r="H15"/>
  <c r="R19" i="14"/>
  <c r="G28" i="48"/>
  <c r="Q10"/>
  <c r="H20" i="14"/>
  <c r="H22" s="1"/>
  <c r="H27" s="1"/>
  <c r="G9" i="48"/>
  <c r="K10" i="14"/>
  <c r="J5" i="48"/>
  <c r="J23" s="1"/>
  <c r="J22"/>
  <c r="E5"/>
  <c r="E23" s="1"/>
  <c r="F10" i="14"/>
  <c r="R20"/>
  <c r="R22" s="1"/>
  <c r="C22"/>
  <c r="R11"/>
  <c r="E46"/>
  <c r="E61" s="1"/>
  <c r="G18" i="22"/>
  <c r="H50" i="14" s="1"/>
  <c r="H52" s="1"/>
  <c r="H61" s="1"/>
  <c r="Q9" i="48"/>
  <c r="D15"/>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J26" s="1"/>
  <c r="G27"/>
  <c r="G33" s="1"/>
  <c r="G15"/>
  <c r="H63" i="14"/>
  <c r="F46"/>
  <c r="F61" s="1"/>
  <c r="J33" i="48"/>
  <c r="J15"/>
  <c r="M27"/>
  <c r="M33" s="1"/>
  <c r="M15"/>
  <c r="F13" i="14"/>
  <c r="E8" i="48"/>
  <c r="E26" s="1"/>
  <c r="E33" s="1"/>
  <c r="F16" i="14"/>
  <c r="F27" s="1"/>
  <c r="F63" s="1"/>
  <c r="Q5"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15" i="48" l="1"/>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<sst xmlns="http://schemas.openxmlformats.org/spreadsheetml/2006/main" count="2486" uniqueCount="948">
  <si>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</si>
  <si>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</si>
  <si>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</si>
  <si>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</si>
  <si>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</si>
  <si>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</si>
  <si>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</si>
  <si>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</si>
  <si>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</si>
  <si>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</si>
  <si>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</si>
  <si>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</si>
  <si>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</si>
  <si>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</si>
  <si>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</si>
  <si>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</si>
  <si>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</si>
  <si>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</si>
  <si>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</si>
  <si>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</si>
  <si>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</si>
  <si>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</si>
  <si>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</si>
  <si>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</si>
  <si>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</si>
  <si>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</si>
  <si>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</si>
  <si>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</si>
  <si>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</si>
  <si>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</si>
  <si>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</si>
  <si>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</si>
  <si>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</si>
  <si>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</si>
  <si>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</si>
  <si>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</si>
  <si>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</si>
  <si>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</si>
  <si>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</si>
  <si>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</si>
  <si>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</si>
  <si>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</si>
  <si>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</si>
  <si>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</si>
  <si>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</si>
  <si>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</si>
  <si>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</si>
  <si>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</si>
  <si>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</si>
  <si>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</si>
  <si>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</si>
  <si>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</si>
  <si>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</si>
  <si>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</si>
  <si>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</si>
  <si>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</si>
  <si>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</si>
  <si>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</si>
  <si>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</si>
  <si>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</si>
  <si>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</si>
  <si>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</si>
  <si>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</si>
  <si>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</si>
  <si>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</si>
  <si>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</si>
  <si>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</si>
  <si>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</si>
  <si>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</si>
  <si>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</si>
  <si>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</si>
  <si>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</si>
  <si>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</si>
  <si>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</si>
  <si>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</si>
  <si>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</si>
  <si>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</si>
  <si>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</si>
  <si>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</si>
  <si>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</si>
  <si>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</si>
  <si>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</si>
  <si>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</si>
  <si>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</si>
  <si>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</si>
  <si>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</si>
  <si>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</si>
  <si>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</si>
  <si>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</si>
  <si>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</si>
  <si>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</si>
  <si>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</si>
  <si>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</si>
  <si>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</si>
  <si>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</si>
  <si>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</si>
  <si>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</si>
  <si>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</si>
  <si>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</si>
  <si>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</si>
  <si>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</si>
  <si>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</si>
  <si>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</si>
  <si>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</si>
  <si>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</si>
  <si>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</si>
  <si>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</si>
  <si>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</si>
  <si>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</si>
  <si>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</si>
  <si>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</si>
  <si>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</si>
  <si>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</si>
  <si>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</si>
  <si>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</si>
  <si>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</si>
  <si>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</si>
  <si>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</si>
  <si>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</si>
  <si>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</si>
  <si>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</si>
  <si>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</si>
  <si>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</si>
  <si>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</si>
  <si>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</si>
  <si>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</si>
  <si>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</si>
  <si>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</si>
  <si>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</si>
  <si>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</si>
  <si>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</si>
  <si>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</si>
  <si>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</si>
  <si>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</si>
  <si>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</si>
  <si>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</si>
  <si>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</si>
  <si>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</si>
  <si>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</si>
  <si>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</si>
  <si>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</si>
  <si>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</si>
  <si>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</si>
  <si>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</si>
  <si>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</si>
  <si>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</si>
  <si>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</si>
  <si>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</si>
  <si>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</si>
  <si>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</si>
  <si>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</si>
  <si>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</si>
  <si>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</si>
  <si>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</si>
  <si>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</si>
  <si>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</si>
  <si>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</si>
  <si>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</si>
  <si>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</si>
  <si>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</si>
  <si>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</si>
  <si>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</si>
  <si>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</si>
  <si>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</si>
  <si>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</si>
  <si>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</si>
  <si>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</si>
  <si>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</si>
  <si>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</si>
  <si>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</si>
  <si>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</si>
  <si>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</si>
  <si>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</si>
  <si>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</si>
  <si>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</si>
  <si>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</si>
  <si>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</si>
  <si>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</si>
  <si>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</si>
  <si>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</si>
  <si>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</si>
  <si>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</si>
  <si>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</si>
  <si>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</si>
  <si>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</si>
  <si>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</si>
  <si>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</si>
  <si>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</si>
  <si>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</si>
  <si>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</si>
  <si>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</si>
  <si>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</si>
  <si>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</si>
  <si>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</si>
  <si>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</si>
  <si>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</si>
  <si>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</si>
  <si>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</si>
  <si>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</si>
  <si>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</si>
  <si>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</si>
  <si>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</si>
  <si>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</si>
  <si>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</si>
  <si>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</si>
  <si>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</si>
  <si>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</si>
  <si>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</si>
  <si>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</si>
  <si>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</si>
  <si>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</si>
  <si>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</si>
  <si>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</si>
  <si>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</si>
  <si>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</si>
  <si>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</si>
  <si>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</si>
  <si>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</si>
  <si>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</si>
  <si>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</si>
  <si>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</si>
  <si>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</si>
  <si>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</si>
  <si>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</si>
  <si>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</si>
  <si>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</si>
  <si>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</si>
  <si>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</si>
  <si>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</si>
  <si>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</si>
  <si>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</si>
  <si>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</si>
  <si>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</si>
  <si>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</si>
  <si>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</si>
  <si>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</si>
  <si>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</si>
  <si>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</si>
  <si>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</si>
  <si>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</si>
  <si>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</si>
  <si>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</si>
  <si>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</si>
  <si>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</si>
  <si>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</si>
  <si>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</si>
  <si>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</si>
  <si>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</si>
  <si>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</si>
  <si>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</si>
  <si>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</si>
  <si>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</si>
  <si>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</si>
  <si>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</si>
  <si>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</si>
  <si>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</si>
  <si>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</si>
  <si>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</si>
  <si>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</si>
  <si>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</si>
  <si>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</si>
  <si>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</si>
  <si>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</si>
  <si>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</si>
  <si>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</si>
  <si>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</si>
  <si>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</si>
  <si>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</si>
  <si>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</si>
  <si>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</si>
  <si>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</si>
  <si>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</si>
  <si>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</si>
  <si>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</si>
  <si>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</si>
  <si>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</si>
  <si>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</si>
  <si>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</si>
  <si>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</si>
  <si>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</si>
  <si>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</si>
  <si>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</si>
  <si>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</si>
  <si>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</si>
  <si>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</si>
  <si>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</si>
  <si>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</si>
  <si>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</si>
  <si>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</si>
  <si>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</si>
  <si>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</si>
  <si>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</si>
  <si>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</si>
  <si>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</si>
  <si>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</si>
  <si>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</si>
  <si>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</si>
  <si>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</si>
  <si>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</si>
  <si>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</si>
  <si>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</si>
  <si>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</si>
  <si>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</si>
  <si>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</si>
  <si>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</si>
  <si>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</si>
  <si>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</si>
  <si>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</si>
  <si>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</si>
  <si>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</si>
  <si>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</si>
  <si>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</si>
  <si>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</si>
  <si>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</si>
  <si>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</si>
  <si>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</si>
  <si>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</si>
  <si>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</si>
  <si>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</si>
  <si>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</si>
  <si>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</si>
  <si>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</si>
  <si>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</si>
  <si>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</si>
  <si>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</si>
  <si>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</si>
  <si>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</si>
  <si>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</si>
  <si>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</si>
  <si>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</si>
  <si>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</si>
  <si>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</si>
  <si>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</si>
  <si>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</si>
  <si>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</si>
  <si>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</si>
  <si>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</si>
  <si>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</si>
  <si>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</si>
  <si>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</si>
  <si>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</si>
  <si>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</si>
  <si>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</si>
  <si>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</si>
  <si>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</si>
  <si>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</si>
  <si>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</si>
  <si>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</si>
  <si>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</si>
  <si>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</si>
  <si>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</si>
  <si>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</si>
  <si>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</si>
  <si>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</si>
  <si>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</si>
  <si>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</si>
  <si>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</si>
  <si>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</si>
  <si>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</si>
  <si>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</si>
  <si>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</si>
  <si>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</si>
  <si>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</si>
  <si>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</si>
  <si>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</si>
  <si>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</si>
  <si>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</si>
  <si>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</si>
  <si>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</si>
  <si>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</si>
  <si>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</si>
  <si>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</si>
  <si>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</si>
  <si>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</si>
  <si>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</si>
  <si>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</si>
  <si>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</si>
  <si>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</si>
  <si>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</si>
  <si>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</si>
  <si>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</si>
  <si>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</si>
  <si>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</si>
  <si>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</si>
  <si>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</si>
  <si>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</si>
  <si>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</si>
  <si>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</si>
  <si>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</si>
  <si>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</si>
  <si>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</si>
  <si>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</si>
  <si>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</si>
  <si>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</si>
  <si>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</si>
  <si>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</si>
  <si>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</si>
  <si>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</si>
  <si>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</si>
  <si>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</si>
  <si>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</si>
  <si>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</si>
  <si>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</si>
  <si>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</si>
  <si>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</si>
  <si>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</si>
  <si>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</si>
  <si>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</si>
  <si>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</si>
  <si>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</si>
  <si>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</si>
  <si>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</si>
  <si>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</si>
  <si>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</si>
  <si>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</si>
  <si>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</si>
  <si>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</si>
  <si>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</si>
  <si>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</si>
  <si>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</si>
  <si>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</si>
  <si>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</si>
  <si>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</si>
  <si>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</si>
  <si>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</si>
  <si>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</si>
  <si>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</si>
  <si>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</si>
  <si>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</si>
  <si>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</si>
  <si>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</si>
  <si>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</si>
  <si>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</si>
  <si>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</si>
  <si>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</si>
  <si>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</si>
  <si>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</si>
  <si>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</si>
  <si>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</si>
  <si>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</si>
  <si>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</si>
  <si>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</si>
  <si>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</si>
  <si>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</si>
  <si>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</si>
  <si>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</si>
  <si>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</si>
  <si>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</si>
  <si>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</si>
  <si>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</si>
  <si>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</si>
  <si>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</si>
  <si>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</si>
  <si>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</si>
  <si>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</si>
  <si>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</si>
  <si>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</si>
  <si>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</si>
  <si>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</si>
  <si>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</si>
  <si>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</si>
  <si>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</si>
  <si>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</si>
  <si>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</si>
  <si>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</si>
  <si>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</si>
  <si>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</si>
  <si>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</si>
  <si>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</si>
  <si>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</si>
  <si>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</si>
  <si>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</si>
  <si>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</si>
  <si>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</si>
  <si>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</si>
  <si>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</si>
  <si>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</si>
  <si>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</si>
  <si>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</si>
  <si>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</si>
  <si>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</si>
  <si>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</si>
  <si>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</si>
  <si>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</si>
  <si>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</si>
  <si>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</si>
  <si>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</si>
  <si>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</si>
  <si>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</si>
  <si>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</si>
  <si>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</si>
  <si>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</si>
  <si>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</si>
  <si>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</si>
  <si>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</si>
  <si>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</si>
  <si>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</si>
  <si>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</si>
  <si>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</si>
  <si>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</si>
  <si>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</si>
  <si>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</si>
  <si>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</si>
  <si>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</si>
  <si>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</si>
  <si>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</si>
  <si>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</si>
  <si>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</si>
  <si>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</si>
  <si>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</si>
  <si>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</si>
  <si>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</si>
  <si>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</si>
  <si>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</si>
  <si>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</si>
  <si>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</si>
  <si>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</si>
  <si>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</si>
  <si>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</si>
  <si>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</si>
  <si>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</si>
  <si>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</si>
  <si>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</si>
  <si>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</si>
  <si>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</si>
  <si>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</si>
  <si>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</si>
  <si>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</si>
  <si>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</si>
  <si>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</si>
  <si>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</si>
  <si>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</si>
  <si>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</si>
  <si>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</si>
  <si>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</si>
  <si>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</si>
  <si>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</si>
  <si>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</si>
  <si>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</si>
  <si>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</si>
  <si>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</si>
  <si>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</si>
  <si>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</si>
  <si>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</si>
  <si>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</si>
  <si>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</si>
  <si>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</si>
  <si>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</si>
  <si>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</si>
  <si>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</si>
  <si>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</si>
  <si>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</si>
  <si>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</si>
  <si>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</si>
  <si>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</si>
  <si>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</si>
  <si>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</si>
  <si>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</si>
  <si>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</si>
  <si>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</si>
  <si>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</si>
  <si>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</si>
  <si>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</si>
  <si>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</si>
  <si>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</si>
  <si>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</si>
  <si>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</si>
  <si>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</si>
  <si>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</si>
  <si>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</si>
  <si>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</si>
  <si>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</si>
  <si>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</si>
  <si>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</si>
  <si>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</si>
  <si>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</si>
  <si>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</si>
  <si>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</si>
  <si>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</si>
  <si>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</si>
  <si>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</si>
  <si>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</si>
  <si>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</si>
  <si>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</si>
  <si>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</si>
  <si>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</si>
  <si>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</si>
  <si>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</si>
  <si>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</si>
  <si>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</si>
  <si>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</si>
  <si>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</si>
  <si>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</si>
  <si>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</si>
  <si>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</si>
  <si>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</si>
  <si>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</si>
  <si>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</si>
  <si>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</si>
  <si>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</si>
  <si>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</si>
  <si>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</si>
  <si>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</si>
  <si>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</si>
  <si>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</si>
  <si>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</si>
  <si>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</si>
  <si>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</si>
  <si>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</si>
  <si>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</si>
  <si>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</si>
  <si>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</si>
  <si>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</si>
  <si>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</si>
  <si>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</si>
  <si>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</si>
  <si>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</si>
  <si>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</si>
  <si>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</si>
  <si>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</si>
  <si>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</si>
  <si>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</si>
  <si>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</si>
  <si>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</si>
  <si>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</si>
  <si>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</si>
  <si>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</si>
  <si>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</si>
  <si>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</si>
  <si>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</si>
  <si>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</si>
  <si>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</si>
  <si>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</si>
  <si>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</si>
  <si>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</si>
  <si>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</si>
  <si>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</si>
  <si>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</si>
  <si>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</si>
  <si>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</si>
  <si>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</si>
  <si>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</si>
  <si>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</si>
  <si>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</si>
  <si>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</si>
  <si>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</si>
  <si>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</si>
  <si>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</si>
  <si>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</si>
  <si>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</si>
  <si>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</si>
  <si>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</si>
  <si>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</si>
  <si>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</si>
  <si>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</si>
  <si>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</si>
  <si>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</si>
  <si>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</si>
  <si>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</si>
  <si>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</si>
  <si>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</si>
  <si>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</si>
  <si>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</si>
  <si>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</si>
  <si>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</si>
  <si>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</si>
  <si>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</si>
  <si>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</si>
  <si>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</si>
  <si>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</si>
  <si>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</si>
  <si>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</si>
  <si>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</si>
  <si>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</si>
  <si>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</si>
  <si>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</si>
  <si>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</si>
  <si>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</si>
  <si>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</si>
  <si>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</si>
  <si>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</si>
  <si>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</si>
  <si>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</si>
  <si>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</si>
  <si>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</si>
  <si>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</si>
  <si>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</si>
  <si>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</si>
  <si>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</si>
  <si>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</si>
  <si>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</si>
  <si>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</si>
  <si>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</si>
  <si>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</si>
  <si>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</si>
  <si>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</si>
  <si>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</si>
  <si>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</si>
  <si>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</si>
  <si>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</si>
  <si>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</si>
  <si>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</si>
  <si>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</si>
  <si>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</si>
  <si>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</si>
  <si>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</si>
  <si>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</si>
  <si>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</si>
  <si>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</si>
  <si>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</si>
  <si>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</si>
  <si>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</si>
  <si>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</si>
  <si>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</si>
  <si>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</si>
  <si>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</si>
  <si>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</si>
  <si>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</si>
  <si>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</si>
  <si>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</si>
  <si>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</si>
  <si>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</si>
  <si>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</si>
  <si>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</si>
  <si>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</si>
  <si>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</si>
  <si>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</si>
  <si>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</si>
  <si>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</si>
  <si>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</si>
  <si>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</si>
  <si>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</si>
  <si>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</si>
  <si>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</si>
  <si>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</si>
  <si>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</si>
  <si>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</si>
  <si>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</si>
  <si>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</si>
  <si>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</si>
  <si>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</si>
  <si>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</si>
  <si>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</si>
  <si>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</si>
  <si>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</si>
  <si>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</si>
  <si>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</si>
  <si>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</si>
  <si>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</si>
  <si>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</si>
  <si>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</si>
  <si>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</si>
  <si>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</si>
  <si>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</si>
  <si>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</si>
  <si>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</si>
  <si>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</si>
  <si>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</si>
  <si>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</si>
  <si>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</si>
  <si>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</si>
  <si>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</si>
  <si>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</si>
  <si>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</si>
  <si>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</si>
  <si>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</si>
  <si>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</si>
  <si>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</si>
  <si>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</si>
  <si>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</si>
  <si>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</si>
  <si>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</si>
  <si>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</si>
  <si>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</si>
  <si>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</si>
  <si>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</si>
  <si>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</si>
  <si>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</si>
  <si>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</si>
  <si>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</si>
  <si>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</si>
  <si>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</si>
  <si>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</si>
  <si>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</si>
  <si>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</si>
  <si>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</si>
  <si>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</si>
  <si>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</si>
  <si>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</si>
  <si>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</si>
  <si>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</si>
  <si>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</si>
  <si>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</si>
  <si>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</si>
  <si>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</si>
  <si>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</si>
  <si>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</si>
  <si>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</si>
  <si>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</si>
  <si>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</si>
  <si>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</si>
  <si>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</si>
  <si>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</si>
  <si>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</si>
  <si>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</si>
  <si>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</si>
  <si>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</si>
  <si>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</si>
  <si>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</si>
  <si>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</si>
  <si>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</si>
  <si>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</si>
  <si>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</si>
  <si>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</si>
  <si>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</si>
  <si>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</si>
  <si>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</si>
  <si>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</si>
  <si>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</si>
  <si>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</si>
  <si>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</si>
  <si>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</si>
  <si>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</si>
  <si>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</si>
  <si>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</si>
  <si>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</si>
  <si>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</si>
  <si>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</si>
  <si>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</si>
  <si>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</si>
  <si>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</si>
  <si>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</si>
  <si>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</si>
  <si>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</si>
  <si>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</si>
  <si>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</si>
  <si>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</si>
  <si>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</si>
  <si>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</si>
  <si>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</si>
  <si>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</si>
  <si>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</si>
  <si>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</si>
  <si>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</si>
  <si>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</si>
  <si>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</si>
  <si>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</si>
  <si>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</si>
  <si>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</si>
  <si>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</si>
  <si>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</si>
  <si>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</si>
  <si>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</si>
  <si>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</si>
  <si>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</si>
  <si>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</si>
  <si>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</si>
  <si>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</si>
  <si>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</si>
  <si>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</si>
  <si>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</si>
  <si>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</si>
  <si>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</si>
  <si>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</si>
  <si>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</si>
  <si>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</si>
  <si>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</si>
  <si>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</si>
  <si>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</si>
  <si>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</si>
  <si>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</si>
  <si>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</si>
  <si>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</si>
  <si>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</si>
  <si>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</si>
  <si>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</si>
  <si>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</si>
  <si>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</si>
  <si>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</si>
  <si>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</si>
  <si>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</si>
  <si>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</si>
  <si>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</si>
  <si>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</si>
  <si>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</si>
  <si>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</si>
  <si>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</si>
  <si>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</si>
  <si>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</si>
  <si>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</si>
  <si>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</si>
  <si>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</si>
  <si>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</si>
  <si>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</si>
  <si>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</si>
  <si>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</si>
  <si>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</si>
  <si>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</si>
  <si>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</si>
  <si>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</si>
  <si>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</si>
  <si>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</si>
  <si>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</si>
  <si>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</si>
  <si>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</si>
  <si>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</si>
  <si>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</si>
  <si>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</si>
  <si>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</si>
  <si>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</si>
  <si>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</si>
  <si>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</si>
  <si>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</si>
  <si>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</si>
  <si>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</si>
  <si>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</si>
  <si>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</si>
  <si>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</si>
  <si>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</si>
  <si>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</si>
  <si>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</si>
  <si>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</si>
  <si>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</si>
  <si>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</si>
  <si>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</si>
  <si>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</si>
  <si>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</si>
  <si>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</si>
  <si>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</si>
  <si>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</si>
  <si>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</si>
  <si>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</si>
  <si>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</si>
  <si>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</si>
  <si>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</si>
  <si>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</si>
  <si>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</si>
  <si>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</si>
  <si>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</si>
  <si>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</si>
  <si>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</si>
  <si>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</si>
  <si>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23044</t>
  </si>
  <si>
    <t>LIEDEKERKE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</si>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</sst>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23044</v>
      </c>
      <c r="B6" s="397"/>
      <c r="C6" s="398"/>
    </row>
    <row r="7" spans="1:7" s="395" customFormat="1" ht="15.75" customHeight="1">
      <c r="A7" s="399" t="str">
        <f>txtMunicipality</f>
        <v>LIEDEKERKE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13993.08390847963</v>
      </c>
      <c r="D10" s="688">
        <f ca="1">tertiair!C16</f>
        <v>0</v>
      </c>
      <c r="E10" s="688">
        <f ca="1">tertiair!D16</f>
        <v>11883.852858762457</v>
      </c>
      <c r="F10" s="688">
        <f>tertiair!E16</f>
        <v>106.90893544610914</v>
      </c>
      <c r="G10" s="688">
        <f ca="1">tertiair!F16</f>
        <v>2549.369098560981</v>
      </c>
      <c r="H10" s="688">
        <f>tertiair!G16</f>
        <v>0</v>
      </c>
      <c r="I10" s="688">
        <f>tertiair!H16</f>
        <v>0</v>
      </c>
      <c r="J10" s="688">
        <f>tertiair!I16</f>
        <v>0</v>
      </c>
      <c r="K10" s="688">
        <f>tertiair!J16</f>
        <v>0</v>
      </c>
      <c r="L10" s="688">
        <f>tertiair!K16</f>
        <v>0</v>
      </c>
      <c r="M10" s="688">
        <f ca="1">tertiair!L16</f>
        <v>0</v>
      </c>
      <c r="N10" s="688">
        <f>tertiair!M16</f>
        <v>0</v>
      </c>
      <c r="O10" s="688">
        <f ca="1">tertiair!N16</f>
        <v>541.11635712345878</v>
      </c>
      <c r="P10" s="688">
        <f>tertiair!O16</f>
        <v>0</v>
      </c>
      <c r="Q10" s="689">
        <f>tertiair!P16</f>
        <v>0</v>
      </c>
      <c r="R10" s="691">
        <f ca="1">SUM(C10:Q10)</f>
        <v>29074.331158372632</v>
      </c>
      <c r="S10" s="68"/>
    </row>
    <row r="11" spans="1:19" s="457" customFormat="1">
      <c r="A11" s="803" t="s">
        <v>225</v>
      </c>
      <c r="B11" s="808"/>
      <c r="C11" s="688">
        <f>huishoudens!B8</f>
        <v>24083.913314378133</v>
      </c>
      <c r="D11" s="688">
        <f>huishoudens!C8</f>
        <v>0</v>
      </c>
      <c r="E11" s="688">
        <f>huishoudens!D8</f>
        <v>42531.966690046691</v>
      </c>
      <c r="F11" s="688">
        <f>huishoudens!E8</f>
        <v>3537.4826822225082</v>
      </c>
      <c r="G11" s="688">
        <f>huishoudens!F8</f>
        <v>26834.398703332648</v>
      </c>
      <c r="H11" s="688">
        <f>huishoudens!G8</f>
        <v>0</v>
      </c>
      <c r="I11" s="688">
        <f>huishoudens!H8</f>
        <v>0</v>
      </c>
      <c r="J11" s="688">
        <f>huishoudens!I8</f>
        <v>0</v>
      </c>
      <c r="K11" s="688">
        <f>huishoudens!J8</f>
        <v>2354.1536040846522</v>
      </c>
      <c r="L11" s="688">
        <f>huishoudens!K8</f>
        <v>0</v>
      </c>
      <c r="M11" s="688">
        <f>huishoudens!L8</f>
        <v>0</v>
      </c>
      <c r="N11" s="688">
        <f>huishoudens!M8</f>
        <v>0</v>
      </c>
      <c r="O11" s="688">
        <f>huishoudens!N8</f>
        <v>3318.791701455003</v>
      </c>
      <c r="P11" s="688">
        <f>huishoudens!O8</f>
        <v>32.830000000000005</v>
      </c>
      <c r="Q11" s="689">
        <f>huishoudens!P8</f>
        <v>152.53333333333333</v>
      </c>
      <c r="R11" s="691">
        <f>SUM(C11:Q11)</f>
        <v>102846.07002885298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8775.0853556915645</v>
      </c>
      <c r="D13" s="688">
        <f>industrie!C18</f>
        <v>0</v>
      </c>
      <c r="E13" s="688">
        <f>industrie!D18</f>
        <v>3237.0310730120918</v>
      </c>
      <c r="F13" s="688">
        <f>industrie!E18</f>
        <v>79.372224882911681</v>
      </c>
      <c r="G13" s="688">
        <f>industrie!F18</f>
        <v>1970.4793617765224</v>
      </c>
      <c r="H13" s="688">
        <f>industrie!G18</f>
        <v>0</v>
      </c>
      <c r="I13" s="688">
        <f>industrie!H18</f>
        <v>0</v>
      </c>
      <c r="J13" s="688">
        <f>industrie!I18</f>
        <v>0</v>
      </c>
      <c r="K13" s="688">
        <f>industrie!J18</f>
        <v>45.01584436047299</v>
      </c>
      <c r="L13" s="688">
        <f>industrie!K18</f>
        <v>0</v>
      </c>
      <c r="M13" s="688">
        <f>industrie!L18</f>
        <v>0</v>
      </c>
      <c r="N13" s="688">
        <f>industrie!M18</f>
        <v>0</v>
      </c>
      <c r="O13" s="688">
        <f>industrie!N18</f>
        <v>271.28042134297704</v>
      </c>
      <c r="P13" s="688">
        <f>industrie!O18</f>
        <v>0</v>
      </c>
      <c r="Q13" s="689">
        <f>industrie!P18</f>
        <v>0</v>
      </c>
      <c r="R13" s="691">
        <f>SUM(C13:Q13)</f>
        <v>14378.264281066538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46852.082578549322</v>
      </c>
      <c r="D16" s="721">
        <f t="shared" ref="D16:R16" ca="1" si="0">SUM(D9:D15)</f>
        <v>0</v>
      </c>
      <c r="E16" s="721">
        <f t="shared" ca="1" si="0"/>
        <v>57652.850621821235</v>
      </c>
      <c r="F16" s="721">
        <f t="shared" si="0"/>
        <v>3723.7638425515293</v>
      </c>
      <c r="G16" s="721">
        <f t="shared" ca="1" si="0"/>
        <v>31354.247163670148</v>
      </c>
      <c r="H16" s="721">
        <f t="shared" si="0"/>
        <v>0</v>
      </c>
      <c r="I16" s="721">
        <f t="shared" si="0"/>
        <v>0</v>
      </c>
      <c r="J16" s="721">
        <f t="shared" si="0"/>
        <v>0</v>
      </c>
      <c r="K16" s="721">
        <f t="shared" si="0"/>
        <v>2399.169448445125</v>
      </c>
      <c r="L16" s="721">
        <f t="shared" si="0"/>
        <v>0</v>
      </c>
      <c r="M16" s="721">
        <f t="shared" ca="1" si="0"/>
        <v>0</v>
      </c>
      <c r="N16" s="721">
        <f t="shared" si="0"/>
        <v>0</v>
      </c>
      <c r="O16" s="721">
        <f t="shared" ca="1" si="0"/>
        <v>4131.1884799214386</v>
      </c>
      <c r="P16" s="721">
        <f t="shared" si="0"/>
        <v>32.830000000000005</v>
      </c>
      <c r="Q16" s="721">
        <f t="shared" si="0"/>
        <v>152.53333333333333</v>
      </c>
      <c r="R16" s="721">
        <f t="shared" ca="1" si="0"/>
        <v>146298.66546829214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1195.8431526615211</v>
      </c>
      <c r="I19" s="688">
        <f>transport!H54</f>
        <v>0</v>
      </c>
      <c r="J19" s="688">
        <f>transport!I54</f>
        <v>0</v>
      </c>
      <c r="K19" s="688">
        <f>transport!J54</f>
        <v>0</v>
      </c>
      <c r="L19" s="688">
        <f>transport!K54</f>
        <v>0</v>
      </c>
      <c r="M19" s="688">
        <f>transport!L54</f>
        <v>0</v>
      </c>
      <c r="N19" s="688">
        <f>transport!M54</f>
        <v>52.511445500040161</v>
      </c>
      <c r="O19" s="688">
        <f>transport!N54</f>
        <v>0</v>
      </c>
      <c r="P19" s="688">
        <f>transport!O54</f>
        <v>0</v>
      </c>
      <c r="Q19" s="689">
        <f>transport!P54</f>
        <v>0</v>
      </c>
      <c r="R19" s="691">
        <f>SUM(C19:Q19)</f>
        <v>1248.3545981615612</v>
      </c>
      <c r="S19" s="68"/>
    </row>
    <row r="20" spans="1:19" s="457" customFormat="1">
      <c r="A20" s="803" t="s">
        <v>307</v>
      </c>
      <c r="B20" s="808"/>
      <c r="C20" s="688">
        <f>transport!B14</f>
        <v>0.69982457570988543</v>
      </c>
      <c r="D20" s="688">
        <f>transport!C14</f>
        <v>0</v>
      </c>
      <c r="E20" s="688">
        <f>transport!D14</f>
        <v>2.283187996720446</v>
      </c>
      <c r="F20" s="688">
        <f>transport!E14</f>
        <v>128.98419624912657</v>
      </c>
      <c r="G20" s="688">
        <f>transport!F14</f>
        <v>0</v>
      </c>
      <c r="H20" s="688">
        <f>transport!G14</f>
        <v>22012.351276680914</v>
      </c>
      <c r="I20" s="688">
        <f>transport!H14</f>
        <v>5005.2523878168331</v>
      </c>
      <c r="J20" s="688">
        <f>transport!I14</f>
        <v>0</v>
      </c>
      <c r="K20" s="688">
        <f>transport!J14</f>
        <v>0</v>
      </c>
      <c r="L20" s="688">
        <f>transport!K14</f>
        <v>0</v>
      </c>
      <c r="M20" s="688">
        <f>transport!L14</f>
        <v>0</v>
      </c>
      <c r="N20" s="688">
        <f>transport!M14</f>
        <v>1209.1679042314092</v>
      </c>
      <c r="O20" s="688">
        <f>transport!N14</f>
        <v>0</v>
      </c>
      <c r="P20" s="688">
        <f>transport!O14</f>
        <v>0</v>
      </c>
      <c r="Q20" s="689">
        <f>transport!P14</f>
        <v>0</v>
      </c>
      <c r="R20" s="691">
        <f>SUM(C20:Q20)</f>
        <v>28358.738777550712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0.69982457570988543</v>
      </c>
      <c r="D22" s="806">
        <f t="shared" ref="D22:R22" si="1">SUM(D18:D21)</f>
        <v>0</v>
      </c>
      <c r="E22" s="806">
        <f t="shared" si="1"/>
        <v>2.283187996720446</v>
      </c>
      <c r="F22" s="806">
        <f t="shared" si="1"/>
        <v>128.98419624912657</v>
      </c>
      <c r="G22" s="806">
        <f t="shared" si="1"/>
        <v>0</v>
      </c>
      <c r="H22" s="806">
        <f t="shared" si="1"/>
        <v>23208.194429342435</v>
      </c>
      <c r="I22" s="806">
        <f t="shared" si="1"/>
        <v>5005.2523878168331</v>
      </c>
      <c r="J22" s="806">
        <f t="shared" si="1"/>
        <v>0</v>
      </c>
      <c r="K22" s="806">
        <f t="shared" si="1"/>
        <v>0</v>
      </c>
      <c r="L22" s="806">
        <f t="shared" si="1"/>
        <v>0</v>
      </c>
      <c r="M22" s="806">
        <f t="shared" si="1"/>
        <v>0</v>
      </c>
      <c r="N22" s="806">
        <f t="shared" si="1"/>
        <v>1261.6793497314493</v>
      </c>
      <c r="O22" s="806">
        <f t="shared" si="1"/>
        <v>0</v>
      </c>
      <c r="P22" s="806">
        <f t="shared" si="1"/>
        <v>0</v>
      </c>
      <c r="Q22" s="806">
        <f t="shared" si="1"/>
        <v>0</v>
      </c>
      <c r="R22" s="806">
        <f t="shared" si="1"/>
        <v>29607.093375712273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60.085393888371499</v>
      </c>
      <c r="D24" s="688">
        <f>+landbouw!C8</f>
        <v>0</v>
      </c>
      <c r="E24" s="688">
        <f>+landbouw!D8</f>
        <v>49.116416214418678</v>
      </c>
      <c r="F24" s="688">
        <f>+landbouw!E8</f>
        <v>0.56604466896296934</v>
      </c>
      <c r="G24" s="688">
        <f>+landbouw!F8</f>
        <v>196.07858084873999</v>
      </c>
      <c r="H24" s="688">
        <f>+landbouw!G8</f>
        <v>0</v>
      </c>
      <c r="I24" s="688">
        <f>+landbouw!H8</f>
        <v>0</v>
      </c>
      <c r="J24" s="688">
        <f>+landbouw!I8</f>
        <v>0</v>
      </c>
      <c r="K24" s="688">
        <f>+landbouw!J8</f>
        <v>7.4328554792912884</v>
      </c>
      <c r="L24" s="688">
        <f>+landbouw!K8</f>
        <v>0</v>
      </c>
      <c r="M24" s="688">
        <f>+landbouw!L8</f>
        <v>0</v>
      </c>
      <c r="N24" s="688">
        <f>+landbouw!M8</f>
        <v>0</v>
      </c>
      <c r="O24" s="688">
        <f>+landbouw!N8</f>
        <v>0</v>
      </c>
      <c r="P24" s="688">
        <f>+landbouw!O8</f>
        <v>0</v>
      </c>
      <c r="Q24" s="689">
        <f>+landbouw!P8</f>
        <v>0</v>
      </c>
      <c r="R24" s="691">
        <f>SUM(C24:Q24)</f>
        <v>313.27929109978442</v>
      </c>
      <c r="S24" s="68"/>
    </row>
    <row r="25" spans="1:19" s="457" customFormat="1" ht="15" thickBot="1">
      <c r="A25" s="825" t="s">
        <v>912</v>
      </c>
      <c r="B25" s="1001"/>
      <c r="C25" s="1002">
        <f>IF(Onbekend_ele_kWh="---",0,Onbekend_ele_kWh)/1000+IF(REST_rest_ele_kWh="---",0,REST_rest_ele_kWh)/1000</f>
        <v>640.79933918322706</v>
      </c>
      <c r="D25" s="1002"/>
      <c r="E25" s="1002">
        <f>IF(onbekend_gas_kWh="---",0,onbekend_gas_kWh)/1000+IF(REST_rest_gas_kWh="---",0,REST_rest_gas_kWh)/1000</f>
        <v>2105.0408857020898</v>
      </c>
      <c r="F25" s="1002"/>
      <c r="G25" s="1002"/>
      <c r="H25" s="1002"/>
      <c r="I25" s="1002"/>
      <c r="J25" s="1002"/>
      <c r="K25" s="1002"/>
      <c r="L25" s="1002"/>
      <c r="M25" s="1002"/>
      <c r="N25" s="1002"/>
      <c r="O25" s="1002"/>
      <c r="P25" s="1002"/>
      <c r="Q25" s="1003"/>
      <c r="R25" s="691">
        <f>SUM(C25:Q25)</f>
        <v>2745.8402248853167</v>
      </c>
      <c r="S25" s="68"/>
    </row>
    <row r="26" spans="1:19" s="457" customFormat="1" ht="15.75" thickBot="1">
      <c r="A26" s="694" t="s">
        <v>913</v>
      </c>
      <c r="B26" s="811"/>
      <c r="C26" s="806">
        <f>SUM(C24:C25)</f>
        <v>700.88473307159859</v>
      </c>
      <c r="D26" s="806">
        <f t="shared" ref="D26:R26" si="2">SUM(D24:D25)</f>
        <v>0</v>
      </c>
      <c r="E26" s="806">
        <f t="shared" si="2"/>
        <v>2154.1573019165085</v>
      </c>
      <c r="F26" s="806">
        <f t="shared" si="2"/>
        <v>0.56604466896296934</v>
      </c>
      <c r="G26" s="806">
        <f t="shared" si="2"/>
        <v>196.07858084873999</v>
      </c>
      <c r="H26" s="806">
        <f t="shared" si="2"/>
        <v>0</v>
      </c>
      <c r="I26" s="806">
        <f t="shared" si="2"/>
        <v>0</v>
      </c>
      <c r="J26" s="806">
        <f t="shared" si="2"/>
        <v>0</v>
      </c>
      <c r="K26" s="806">
        <f t="shared" si="2"/>
        <v>7.4328554792912884</v>
      </c>
      <c r="L26" s="806">
        <f t="shared" si="2"/>
        <v>0</v>
      </c>
      <c r="M26" s="806">
        <f t="shared" si="2"/>
        <v>0</v>
      </c>
      <c r="N26" s="806">
        <f t="shared" si="2"/>
        <v>0</v>
      </c>
      <c r="O26" s="806">
        <f t="shared" si="2"/>
        <v>0</v>
      </c>
      <c r="P26" s="806">
        <f t="shared" si="2"/>
        <v>0</v>
      </c>
      <c r="Q26" s="806">
        <f t="shared" si="2"/>
        <v>0</v>
      </c>
      <c r="R26" s="806">
        <f t="shared" si="2"/>
        <v>3059.1195159851013</v>
      </c>
      <c r="S26" s="68"/>
    </row>
    <row r="27" spans="1:19" s="457" customFormat="1" ht="17.25" thickTop="1" thickBot="1">
      <c r="A27" s="695" t="s">
        <v>116</v>
      </c>
      <c r="B27" s="798"/>
      <c r="C27" s="696">
        <f ca="1">C22+C16+C26</f>
        <v>47553.667136196636</v>
      </c>
      <c r="D27" s="696">
        <f t="shared" ref="D27:R27" ca="1" si="3">D22+D16+D26</f>
        <v>0</v>
      </c>
      <c r="E27" s="696">
        <f t="shared" ca="1" si="3"/>
        <v>59809.291111734463</v>
      </c>
      <c r="F27" s="696">
        <f t="shared" si="3"/>
        <v>3853.3140834696187</v>
      </c>
      <c r="G27" s="696">
        <f t="shared" ca="1" si="3"/>
        <v>31550.32574451889</v>
      </c>
      <c r="H27" s="696">
        <f t="shared" si="3"/>
        <v>23208.194429342435</v>
      </c>
      <c r="I27" s="696">
        <f t="shared" si="3"/>
        <v>5005.2523878168331</v>
      </c>
      <c r="J27" s="696">
        <f t="shared" si="3"/>
        <v>0</v>
      </c>
      <c r="K27" s="696">
        <f t="shared" si="3"/>
        <v>2406.6023039244164</v>
      </c>
      <c r="L27" s="696">
        <f t="shared" si="3"/>
        <v>0</v>
      </c>
      <c r="M27" s="696">
        <f t="shared" ca="1" si="3"/>
        <v>0</v>
      </c>
      <c r="N27" s="696">
        <f t="shared" si="3"/>
        <v>1261.6793497314493</v>
      </c>
      <c r="O27" s="696">
        <f t="shared" ca="1" si="3"/>
        <v>4131.1884799214386</v>
      </c>
      <c r="P27" s="696">
        <f t="shared" si="3"/>
        <v>32.830000000000005</v>
      </c>
      <c r="Q27" s="696">
        <f t="shared" si="3"/>
        <v>152.53333333333333</v>
      </c>
      <c r="R27" s="696">
        <f t="shared" ca="1" si="3"/>
        <v>178964.87835998953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2976.7316742731837</v>
      </c>
      <c r="D40" s="688">
        <f ca="1">tertiair!C20</f>
        <v>0</v>
      </c>
      <c r="E40" s="688">
        <f ca="1">tertiair!D20</f>
        <v>2400.5382774700165</v>
      </c>
      <c r="F40" s="688">
        <f>tertiair!E20</f>
        <v>24.268328346266777</v>
      </c>
      <c r="G40" s="688">
        <f ca="1">tertiair!F20</f>
        <v>680.68154931578192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6082.2198294052487</v>
      </c>
    </row>
    <row r="41" spans="1:18">
      <c r="A41" s="816" t="s">
        <v>225</v>
      </c>
      <c r="B41" s="823"/>
      <c r="C41" s="688">
        <f ca="1">huishoudens!B12</f>
        <v>5123.3415072938287</v>
      </c>
      <c r="D41" s="688">
        <f ca="1">huishoudens!C12</f>
        <v>0</v>
      </c>
      <c r="E41" s="688">
        <f>huishoudens!D12</f>
        <v>8591.4572713894322</v>
      </c>
      <c r="F41" s="688">
        <f>huishoudens!E12</f>
        <v>803.00856886450936</v>
      </c>
      <c r="G41" s="688">
        <f>huishoudens!F12</f>
        <v>7164.7844537898172</v>
      </c>
      <c r="H41" s="688">
        <f>huishoudens!G12</f>
        <v>0</v>
      </c>
      <c r="I41" s="688">
        <f>huishoudens!H12</f>
        <v>0</v>
      </c>
      <c r="J41" s="688">
        <f>huishoudens!I12</f>
        <v>0</v>
      </c>
      <c r="K41" s="688">
        <f>huishoudens!J12</f>
        <v>833.37037584596681</v>
      </c>
      <c r="L41" s="688">
        <f>huishoudens!K12</f>
        <v>0</v>
      </c>
      <c r="M41" s="688">
        <f>huishoudens!L12</f>
        <v>0</v>
      </c>
      <c r="N41" s="688">
        <f>huishoudens!M12</f>
        <v>0</v>
      </c>
      <c r="O41" s="688">
        <f>huishoudens!N12</f>
        <v>0</v>
      </c>
      <c r="P41" s="688">
        <f>huishoudens!O12</f>
        <v>0</v>
      </c>
      <c r="Q41" s="763">
        <f>huishoudens!P12</f>
        <v>0</v>
      </c>
      <c r="R41" s="844">
        <f t="shared" ca="1" si="4"/>
        <v>22515.962177183552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1866.7132058651355</v>
      </c>
      <c r="D43" s="688">
        <f ca="1">industrie!C22</f>
        <v>0</v>
      </c>
      <c r="E43" s="688">
        <f>industrie!D22</f>
        <v>653.88027674844261</v>
      </c>
      <c r="F43" s="688">
        <f>industrie!E22</f>
        <v>18.017495048420951</v>
      </c>
      <c r="G43" s="688">
        <f>industrie!F22</f>
        <v>526.11798959433156</v>
      </c>
      <c r="H43" s="688">
        <f>industrie!G22</f>
        <v>0</v>
      </c>
      <c r="I43" s="688">
        <f>industrie!H22</f>
        <v>0</v>
      </c>
      <c r="J43" s="688">
        <f>industrie!I22</f>
        <v>0</v>
      </c>
      <c r="K43" s="688">
        <f>industrie!J22</f>
        <v>15.935608903607438</v>
      </c>
      <c r="L43" s="688">
        <f>industrie!K22</f>
        <v>0</v>
      </c>
      <c r="M43" s="688">
        <f>industrie!L22</f>
        <v>0</v>
      </c>
      <c r="N43" s="688">
        <f>industrie!M22</f>
        <v>0</v>
      </c>
      <c r="O43" s="688">
        <f>industrie!N22</f>
        <v>0</v>
      </c>
      <c r="P43" s="688">
        <f>industrie!O22</f>
        <v>0</v>
      </c>
      <c r="Q43" s="763">
        <f>industrie!P22</f>
        <v>0</v>
      </c>
      <c r="R43" s="843">
        <f t="shared" ca="1" si="4"/>
        <v>3080.664576159938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9966.7863874321483</v>
      </c>
      <c r="D46" s="721">
        <f t="shared" ref="D46:Q46" ca="1" si="5">SUM(D39:D45)</f>
        <v>0</v>
      </c>
      <c r="E46" s="721">
        <f t="shared" ca="1" si="5"/>
        <v>11645.875825607893</v>
      </c>
      <c r="F46" s="721">
        <f t="shared" si="5"/>
        <v>845.29439225919714</v>
      </c>
      <c r="G46" s="721">
        <f t="shared" ca="1" si="5"/>
        <v>8371.5839926999306</v>
      </c>
      <c r="H46" s="721">
        <f t="shared" si="5"/>
        <v>0</v>
      </c>
      <c r="I46" s="721">
        <f t="shared" si="5"/>
        <v>0</v>
      </c>
      <c r="J46" s="721">
        <f t="shared" si="5"/>
        <v>0</v>
      </c>
      <c r="K46" s="721">
        <f t="shared" si="5"/>
        <v>849.30598474957424</v>
      </c>
      <c r="L46" s="721">
        <f t="shared" si="5"/>
        <v>0</v>
      </c>
      <c r="M46" s="721">
        <f t="shared" ca="1" si="5"/>
        <v>0</v>
      </c>
      <c r="N46" s="721">
        <f t="shared" si="5"/>
        <v>0</v>
      </c>
      <c r="O46" s="721">
        <f t="shared" ca="1" si="5"/>
        <v>0</v>
      </c>
      <c r="P46" s="721">
        <f t="shared" si="5"/>
        <v>0</v>
      </c>
      <c r="Q46" s="721">
        <f t="shared" si="5"/>
        <v>0</v>
      </c>
      <c r="R46" s="721">
        <f ca="1">SUM(R39:R45)</f>
        <v>31678.846582748742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319.29012176062616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319.29012176062616</v>
      </c>
    </row>
    <row r="50" spans="1:18">
      <c r="A50" s="819" t="s">
        <v>307</v>
      </c>
      <c r="B50" s="829"/>
      <c r="C50" s="1008">
        <f ca="1">transport!B18</f>
        <v>0.14887282850408848</v>
      </c>
      <c r="D50" s="1008">
        <f>transport!C18</f>
        <v>0</v>
      </c>
      <c r="E50" s="1008">
        <f>transport!D18</f>
        <v>0.4612039753375301</v>
      </c>
      <c r="F50" s="1008">
        <f>transport!E18</f>
        <v>29.279412548551733</v>
      </c>
      <c r="G50" s="1008">
        <f>transport!F18</f>
        <v>0</v>
      </c>
      <c r="H50" s="1008">
        <f>transport!G18</f>
        <v>5877.2977908738048</v>
      </c>
      <c r="I50" s="1008">
        <f>transport!H18</f>
        <v>1246.3078445663914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7153.4951247925892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0.14887282850408848</v>
      </c>
      <c r="D52" s="721">
        <f t="shared" ref="D52:Q52" ca="1" si="6">SUM(D48:D51)</f>
        <v>0</v>
      </c>
      <c r="E52" s="721">
        <f t="shared" si="6"/>
        <v>0.4612039753375301</v>
      </c>
      <c r="F52" s="721">
        <f t="shared" si="6"/>
        <v>29.279412548551733</v>
      </c>
      <c r="G52" s="721">
        <f t="shared" si="6"/>
        <v>0</v>
      </c>
      <c r="H52" s="721">
        <f t="shared" si="6"/>
        <v>6196.5879126344307</v>
      </c>
      <c r="I52" s="721">
        <f t="shared" si="6"/>
        <v>1246.3078445663914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7472.7852465532151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12.781892563390555</v>
      </c>
      <c r="D54" s="1008">
        <f ca="1">+landbouw!C12</f>
        <v>0</v>
      </c>
      <c r="E54" s="1008">
        <f>+landbouw!D12</f>
        <v>9.9215160753125726</v>
      </c>
      <c r="F54" s="1008">
        <f>+landbouw!E12</f>
        <v>0.12849213985459404</v>
      </c>
      <c r="G54" s="1008">
        <f>+landbouw!F12</f>
        <v>52.352981086613582</v>
      </c>
      <c r="H54" s="1008">
        <f>+landbouw!G12</f>
        <v>0</v>
      </c>
      <c r="I54" s="1008">
        <f>+landbouw!H12</f>
        <v>0</v>
      </c>
      <c r="J54" s="1008">
        <f>+landbouw!I12</f>
        <v>0</v>
      </c>
      <c r="K54" s="1008">
        <f>+landbouw!J12</f>
        <v>2.631230839669116</v>
      </c>
      <c r="L54" s="1008">
        <f>+landbouw!K12</f>
        <v>0</v>
      </c>
      <c r="M54" s="1008">
        <f>+landbouw!L12</f>
        <v>0</v>
      </c>
      <c r="N54" s="1008">
        <f>+landbouw!M12</f>
        <v>0</v>
      </c>
      <c r="O54" s="1008">
        <f>+landbouw!N12</f>
        <v>0</v>
      </c>
      <c r="P54" s="1008">
        <f>+landbouw!O12</f>
        <v>0</v>
      </c>
      <c r="Q54" s="1009">
        <f>+landbouw!P12</f>
        <v>0</v>
      </c>
      <c r="R54" s="720">
        <f ca="1">SUM(C54:Q54)</f>
        <v>77.816112704840421</v>
      </c>
    </row>
    <row r="55" spans="1:18" ht="15" thickBot="1">
      <c r="A55" s="819" t="s">
        <v>912</v>
      </c>
      <c r="B55" s="829"/>
      <c r="C55" s="1008">
        <f ca="1">C25*'EF ele_warmte'!B12</f>
        <v>136.31646192331658</v>
      </c>
      <c r="D55" s="1008"/>
      <c r="E55" s="1008">
        <f>E25*EF_CO2_aardgas</f>
        <v>425.21825891182215</v>
      </c>
      <c r="F55" s="1008"/>
      <c r="G55" s="1008"/>
      <c r="H55" s="1008"/>
      <c r="I55" s="1008"/>
      <c r="J55" s="1008"/>
      <c r="K55" s="1008"/>
      <c r="L55" s="1008"/>
      <c r="M55" s="1008"/>
      <c r="N55" s="1008"/>
      <c r="O55" s="1008"/>
      <c r="P55" s="1008"/>
      <c r="Q55" s="1009"/>
      <c r="R55" s="720">
        <f ca="1">SUM(C55:Q55)</f>
        <v>561.53472083513873</v>
      </c>
    </row>
    <row r="56" spans="1:18" ht="15.75" thickBot="1">
      <c r="A56" s="817" t="s">
        <v>913</v>
      </c>
      <c r="B56" s="830"/>
      <c r="C56" s="721">
        <f ca="1">SUM(C54:C55)</f>
        <v>149.09835448670714</v>
      </c>
      <c r="D56" s="721">
        <f t="shared" ref="D56:Q56" ca="1" si="7">SUM(D54:D55)</f>
        <v>0</v>
      </c>
      <c r="E56" s="721">
        <f t="shared" si="7"/>
        <v>435.13977498713473</v>
      </c>
      <c r="F56" s="721">
        <f t="shared" si="7"/>
        <v>0.12849213985459404</v>
      </c>
      <c r="G56" s="721">
        <f t="shared" si="7"/>
        <v>52.352981086613582</v>
      </c>
      <c r="H56" s="721">
        <f t="shared" si="7"/>
        <v>0</v>
      </c>
      <c r="I56" s="721">
        <f t="shared" si="7"/>
        <v>0</v>
      </c>
      <c r="J56" s="721">
        <f t="shared" si="7"/>
        <v>0</v>
      </c>
      <c r="K56" s="721">
        <f t="shared" si="7"/>
        <v>2.631230839669116</v>
      </c>
      <c r="L56" s="721">
        <f t="shared" si="7"/>
        <v>0</v>
      </c>
      <c r="M56" s="721">
        <f t="shared" si="7"/>
        <v>0</v>
      </c>
      <c r="N56" s="721">
        <f t="shared" si="7"/>
        <v>0</v>
      </c>
      <c r="O56" s="721">
        <f t="shared" si="7"/>
        <v>0</v>
      </c>
      <c r="P56" s="721">
        <f t="shared" si="7"/>
        <v>0</v>
      </c>
      <c r="Q56" s="722">
        <f t="shared" si="7"/>
        <v>0</v>
      </c>
      <c r="R56" s="723">
        <f ca="1">SUM(R54:R55)</f>
        <v>639.35083353997913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10116.033614747359</v>
      </c>
      <c r="D61" s="729">
        <f t="shared" ref="D61:Q61" ca="1" si="8">D46+D52+D56</f>
        <v>0</v>
      </c>
      <c r="E61" s="729">
        <f t="shared" ca="1" si="8"/>
        <v>12081.476804570364</v>
      </c>
      <c r="F61" s="729">
        <f t="shared" si="8"/>
        <v>874.70229694760349</v>
      </c>
      <c r="G61" s="729">
        <f t="shared" ca="1" si="8"/>
        <v>8423.9369737865436</v>
      </c>
      <c r="H61" s="729">
        <f t="shared" si="8"/>
        <v>6196.5879126344307</v>
      </c>
      <c r="I61" s="729">
        <f t="shared" si="8"/>
        <v>1246.3078445663914</v>
      </c>
      <c r="J61" s="729">
        <f t="shared" si="8"/>
        <v>0</v>
      </c>
      <c r="K61" s="729">
        <f t="shared" si="8"/>
        <v>851.93721558924335</v>
      </c>
      <c r="L61" s="729">
        <f t="shared" si="8"/>
        <v>0</v>
      </c>
      <c r="M61" s="729">
        <f t="shared" ca="1" si="8"/>
        <v>0</v>
      </c>
      <c r="N61" s="729">
        <f t="shared" si="8"/>
        <v>0</v>
      </c>
      <c r="O61" s="729">
        <f t="shared" ca="1" si="8"/>
        <v>0</v>
      </c>
      <c r="P61" s="729">
        <f t="shared" si="8"/>
        <v>0</v>
      </c>
      <c r="Q61" s="729">
        <f t="shared" si="8"/>
        <v>0</v>
      </c>
      <c r="R61" s="729">
        <f ca="1">R46+R52+R56</f>
        <v>39790.98266284194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0.21272878042768847</v>
      </c>
      <c r="D63" s="773">
        <f t="shared" ca="1" si="9"/>
        <v>0</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1779.7593771588172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1779.7593771588172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24083.913314378133</v>
      </c>
      <c r="C4" s="461">
        <f>huishoudens!C8</f>
        <v>0</v>
      </c>
      <c r="D4" s="461">
        <f>huishoudens!D8</f>
        <v>42531.966690046691</v>
      </c>
      <c r="E4" s="461">
        <f>huishoudens!E8</f>
        <v>3537.4826822225082</v>
      </c>
      <c r="F4" s="461">
        <f>huishoudens!F8</f>
        <v>26834.398703332648</v>
      </c>
      <c r="G4" s="461">
        <f>huishoudens!G8</f>
        <v>0</v>
      </c>
      <c r="H4" s="461">
        <f>huishoudens!H8</f>
        <v>0</v>
      </c>
      <c r="I4" s="461">
        <f>huishoudens!I8</f>
        <v>0</v>
      </c>
      <c r="J4" s="461">
        <f>huishoudens!J8</f>
        <v>2354.1536040846522</v>
      </c>
      <c r="K4" s="461">
        <f>huishoudens!K8</f>
        <v>0</v>
      </c>
      <c r="L4" s="461">
        <f>huishoudens!L8</f>
        <v>0</v>
      </c>
      <c r="M4" s="461">
        <f>huishoudens!M8</f>
        <v>0</v>
      </c>
      <c r="N4" s="461">
        <f>huishoudens!N8</f>
        <v>3318.791701455003</v>
      </c>
      <c r="O4" s="461">
        <f>huishoudens!O8</f>
        <v>32.830000000000005</v>
      </c>
      <c r="P4" s="462">
        <f>huishoudens!P8</f>
        <v>152.53333333333333</v>
      </c>
      <c r="Q4" s="463">
        <f>SUM(B4:P4)</f>
        <v>102846.07002885298</v>
      </c>
    </row>
    <row r="5" spans="1:17">
      <c r="A5" s="460" t="s">
        <v>156</v>
      </c>
      <c r="B5" s="461">
        <f ca="1">tertiair!B16</f>
        <v>13424.31490847963</v>
      </c>
      <c r="C5" s="461">
        <f ca="1">tertiair!C16</f>
        <v>0</v>
      </c>
      <c r="D5" s="461">
        <f ca="1">tertiair!D16</f>
        <v>11883.852858762457</v>
      </c>
      <c r="E5" s="461">
        <f>tertiair!E16</f>
        <v>106.90893544610914</v>
      </c>
      <c r="F5" s="461">
        <f ca="1">tertiair!F16</f>
        <v>2549.369098560981</v>
      </c>
      <c r="G5" s="461">
        <f>tertiair!G16</f>
        <v>0</v>
      </c>
      <c r="H5" s="461">
        <f>tertiair!H16</f>
        <v>0</v>
      </c>
      <c r="I5" s="461">
        <f>tertiair!I16</f>
        <v>0</v>
      </c>
      <c r="J5" s="461">
        <f>tertiair!J16</f>
        <v>0</v>
      </c>
      <c r="K5" s="461">
        <f>tertiair!K16</f>
        <v>0</v>
      </c>
      <c r="L5" s="461">
        <f ca="1">tertiair!L16</f>
        <v>0</v>
      </c>
      <c r="M5" s="461">
        <f>tertiair!M16</f>
        <v>0</v>
      </c>
      <c r="N5" s="461">
        <f ca="1">tertiair!N16</f>
        <v>541.11635712345878</v>
      </c>
      <c r="O5" s="461">
        <f>tertiair!O16</f>
        <v>0</v>
      </c>
      <c r="P5" s="462">
        <f>tertiair!P16</f>
        <v>0</v>
      </c>
      <c r="Q5" s="460">
        <f t="shared" ref="Q5:Q14" ca="1" si="0">SUM(B5:P5)</f>
        <v>28505.562158372632</v>
      </c>
    </row>
    <row r="6" spans="1:17">
      <c r="A6" s="460" t="s">
        <v>194</v>
      </c>
      <c r="B6" s="461">
        <f>'openbare verlichting'!B8</f>
        <v>568.76900000000001</v>
      </c>
      <c r="C6" s="461"/>
      <c r="D6" s="461"/>
      <c r="E6" s="461"/>
      <c r="F6" s="461"/>
      <c r="G6" s="461"/>
      <c r="H6" s="461"/>
      <c r="I6" s="461"/>
      <c r="J6" s="461"/>
      <c r="K6" s="461"/>
      <c r="L6" s="461"/>
      <c r="M6" s="461"/>
      <c r="N6" s="461"/>
      <c r="O6" s="461"/>
      <c r="P6" s="462"/>
      <c r="Q6" s="460">
        <f t="shared" si="0"/>
        <v>568.76900000000001</v>
      </c>
    </row>
    <row r="7" spans="1:17">
      <c r="A7" s="460" t="s">
        <v>112</v>
      </c>
      <c r="B7" s="461">
        <f>landbouw!B8</f>
        <v>60.085393888371499</v>
      </c>
      <c r="C7" s="461">
        <f>landbouw!C8</f>
        <v>0</v>
      </c>
      <c r="D7" s="461">
        <f>landbouw!D8</f>
        <v>49.116416214418678</v>
      </c>
      <c r="E7" s="461">
        <f>landbouw!E8</f>
        <v>0.56604466896296934</v>
      </c>
      <c r="F7" s="461">
        <f>landbouw!F8</f>
        <v>196.07858084873999</v>
      </c>
      <c r="G7" s="461">
        <f>landbouw!G8</f>
        <v>0</v>
      </c>
      <c r="H7" s="461">
        <f>landbouw!H8</f>
        <v>0</v>
      </c>
      <c r="I7" s="461">
        <f>landbouw!I8</f>
        <v>0</v>
      </c>
      <c r="J7" s="461">
        <f>landbouw!J8</f>
        <v>7.4328554792912884</v>
      </c>
      <c r="K7" s="461">
        <f>landbouw!K8</f>
        <v>0</v>
      </c>
      <c r="L7" s="461">
        <f>landbouw!L8</f>
        <v>0</v>
      </c>
      <c r="M7" s="461">
        <f>landbouw!M8</f>
        <v>0</v>
      </c>
      <c r="N7" s="461">
        <f>landbouw!N8</f>
        <v>0</v>
      </c>
      <c r="O7" s="461">
        <f>landbouw!O8</f>
        <v>0</v>
      </c>
      <c r="P7" s="462">
        <f>landbouw!P8</f>
        <v>0</v>
      </c>
      <c r="Q7" s="460">
        <f t="shared" si="0"/>
        <v>313.27929109978442</v>
      </c>
    </row>
    <row r="8" spans="1:17">
      <c r="A8" s="460" t="s">
        <v>685</v>
      </c>
      <c r="B8" s="461">
        <f>industrie!B18</f>
        <v>8775.0853556915645</v>
      </c>
      <c r="C8" s="461">
        <f>industrie!C18</f>
        <v>0</v>
      </c>
      <c r="D8" s="461">
        <f>industrie!D18</f>
        <v>3237.0310730120918</v>
      </c>
      <c r="E8" s="461">
        <f>industrie!E18</f>
        <v>79.372224882911681</v>
      </c>
      <c r="F8" s="461">
        <f>industrie!F18</f>
        <v>1970.4793617765224</v>
      </c>
      <c r="G8" s="461">
        <f>industrie!G18</f>
        <v>0</v>
      </c>
      <c r="H8" s="461">
        <f>industrie!H18</f>
        <v>0</v>
      </c>
      <c r="I8" s="461">
        <f>industrie!I18</f>
        <v>0</v>
      </c>
      <c r="J8" s="461">
        <f>industrie!J18</f>
        <v>45.01584436047299</v>
      </c>
      <c r="K8" s="461">
        <f>industrie!K18</f>
        <v>0</v>
      </c>
      <c r="L8" s="461">
        <f>industrie!L18</f>
        <v>0</v>
      </c>
      <c r="M8" s="461">
        <f>industrie!M18</f>
        <v>0</v>
      </c>
      <c r="N8" s="461">
        <f>industrie!N18</f>
        <v>271.28042134297704</v>
      </c>
      <c r="O8" s="461">
        <f>industrie!O18</f>
        <v>0</v>
      </c>
      <c r="P8" s="462">
        <f>industrie!P18</f>
        <v>0</v>
      </c>
      <c r="Q8" s="460">
        <f t="shared" si="0"/>
        <v>14378.264281066538</v>
      </c>
    </row>
    <row r="9" spans="1:17" s="466" customFormat="1">
      <c r="A9" s="464" t="s">
        <v>579</v>
      </c>
      <c r="B9" s="465">
        <f>transport!B14</f>
        <v>0.69982457570988543</v>
      </c>
      <c r="C9" s="465">
        <f>transport!C14</f>
        <v>0</v>
      </c>
      <c r="D9" s="465">
        <f>transport!D14</f>
        <v>2.283187996720446</v>
      </c>
      <c r="E9" s="465">
        <f>transport!E14</f>
        <v>128.98419624912657</v>
      </c>
      <c r="F9" s="465">
        <f>transport!F14</f>
        <v>0</v>
      </c>
      <c r="G9" s="465">
        <f>transport!G14</f>
        <v>22012.351276680914</v>
      </c>
      <c r="H9" s="465">
        <f>transport!H14</f>
        <v>5005.2523878168331</v>
      </c>
      <c r="I9" s="465">
        <f>transport!I14</f>
        <v>0</v>
      </c>
      <c r="J9" s="465">
        <f>transport!J14</f>
        <v>0</v>
      </c>
      <c r="K9" s="465">
        <f>transport!K14</f>
        <v>0</v>
      </c>
      <c r="L9" s="465">
        <f>transport!L14</f>
        <v>0</v>
      </c>
      <c r="M9" s="465">
        <f>transport!M14</f>
        <v>1209.1679042314092</v>
      </c>
      <c r="N9" s="465">
        <f>transport!N14</f>
        <v>0</v>
      </c>
      <c r="O9" s="465">
        <f>transport!O14</f>
        <v>0</v>
      </c>
      <c r="P9" s="465">
        <f>transport!P14</f>
        <v>0</v>
      </c>
      <c r="Q9" s="464">
        <f>SUM(B9:P9)</f>
        <v>28358.738777550712</v>
      </c>
    </row>
    <row r="10" spans="1:17">
      <c r="A10" s="460" t="s">
        <v>569</v>
      </c>
      <c r="B10" s="461">
        <f>transport!B54</f>
        <v>0</v>
      </c>
      <c r="C10" s="461">
        <f>transport!C54</f>
        <v>0</v>
      </c>
      <c r="D10" s="461">
        <f>transport!D54</f>
        <v>0</v>
      </c>
      <c r="E10" s="461">
        <f>transport!E54</f>
        <v>0</v>
      </c>
      <c r="F10" s="461">
        <f>transport!F54</f>
        <v>0</v>
      </c>
      <c r="G10" s="461">
        <f>transport!G54</f>
        <v>1195.8431526615211</v>
      </c>
      <c r="H10" s="461">
        <f>transport!H54</f>
        <v>0</v>
      </c>
      <c r="I10" s="461">
        <f>transport!I54</f>
        <v>0</v>
      </c>
      <c r="J10" s="461">
        <f>transport!J54</f>
        <v>0</v>
      </c>
      <c r="K10" s="461">
        <f>transport!K54</f>
        <v>0</v>
      </c>
      <c r="L10" s="461">
        <f>transport!L54</f>
        <v>0</v>
      </c>
      <c r="M10" s="461">
        <f>transport!M54</f>
        <v>52.511445500040161</v>
      </c>
      <c r="N10" s="461">
        <f>transport!N54</f>
        <v>0</v>
      </c>
      <c r="O10" s="461">
        <f>transport!O54</f>
        <v>0</v>
      </c>
      <c r="P10" s="462">
        <f>transport!P54</f>
        <v>0</v>
      </c>
      <c r="Q10" s="460">
        <f t="shared" si="0"/>
        <v>1248.3545981615612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640.79933918322706</v>
      </c>
      <c r="C14" s="468"/>
      <c r="D14" s="468">
        <f>'SEAP template'!E25</f>
        <v>2105.0408857020898</v>
      </c>
      <c r="E14" s="468"/>
      <c r="F14" s="468"/>
      <c r="G14" s="468"/>
      <c r="H14" s="468"/>
      <c r="I14" s="468"/>
      <c r="J14" s="468"/>
      <c r="K14" s="468"/>
      <c r="L14" s="468"/>
      <c r="M14" s="468"/>
      <c r="N14" s="468"/>
      <c r="O14" s="468"/>
      <c r="P14" s="469"/>
      <c r="Q14" s="460">
        <f t="shared" si="0"/>
        <v>2745.8402248853167</v>
      </c>
    </row>
    <row r="15" spans="1:17" s="473" customFormat="1">
      <c r="A15" s="470" t="s">
        <v>573</v>
      </c>
      <c r="B15" s="471">
        <f ca="1">SUM(B4:B14)</f>
        <v>47553.667136196644</v>
      </c>
      <c r="C15" s="471">
        <f t="shared" ref="C15:Q15" ca="1" si="1">SUM(C4:C14)</f>
        <v>0</v>
      </c>
      <c r="D15" s="471">
        <f t="shared" ca="1" si="1"/>
        <v>59809.291111734463</v>
      </c>
      <c r="E15" s="471">
        <f t="shared" si="1"/>
        <v>3853.3140834696187</v>
      </c>
      <c r="F15" s="471">
        <f t="shared" ca="1" si="1"/>
        <v>31550.32574451889</v>
      </c>
      <c r="G15" s="471">
        <f t="shared" si="1"/>
        <v>23208.194429342435</v>
      </c>
      <c r="H15" s="471">
        <f t="shared" si="1"/>
        <v>5005.2523878168331</v>
      </c>
      <c r="I15" s="471">
        <f t="shared" si="1"/>
        <v>0</v>
      </c>
      <c r="J15" s="471">
        <f t="shared" si="1"/>
        <v>2406.6023039244164</v>
      </c>
      <c r="K15" s="471">
        <f t="shared" si="1"/>
        <v>0</v>
      </c>
      <c r="L15" s="471">
        <f t="shared" ca="1" si="1"/>
        <v>0</v>
      </c>
      <c r="M15" s="471">
        <f t="shared" si="1"/>
        <v>1261.6793497314493</v>
      </c>
      <c r="N15" s="471">
        <f t="shared" ca="1" si="1"/>
        <v>4131.1884799214386</v>
      </c>
      <c r="O15" s="471">
        <f t="shared" si="1"/>
        <v>32.830000000000005</v>
      </c>
      <c r="P15" s="471">
        <f t="shared" si="1"/>
        <v>152.53333333333333</v>
      </c>
      <c r="Q15" s="471">
        <f t="shared" ca="1" si="1"/>
        <v>178964.87835998955</v>
      </c>
    </row>
    <row r="17" spans="1:17">
      <c r="A17" s="474" t="s">
        <v>574</v>
      </c>
      <c r="B17" s="778">
        <f ca="1">huishoudens!B10</f>
        <v>0.21272878042768847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5123.3415072938287</v>
      </c>
      <c r="C22" s="461">
        <f t="shared" ref="C22:C32" ca="1" si="3">C4*$C$17</f>
        <v>0</v>
      </c>
      <c r="D22" s="461">
        <f t="shared" ref="D22:D32" si="4">D4*$D$17</f>
        <v>8591.4572713894322</v>
      </c>
      <c r="E22" s="461">
        <f t="shared" ref="E22:E32" si="5">E4*$E$17</f>
        <v>803.00856886450936</v>
      </c>
      <c r="F22" s="461">
        <f t="shared" ref="F22:F32" si="6">F4*$F$17</f>
        <v>7164.7844537898172</v>
      </c>
      <c r="G22" s="461">
        <f t="shared" ref="G22:G32" si="7">G4*$G$17</f>
        <v>0</v>
      </c>
      <c r="H22" s="461">
        <f t="shared" ref="H22:H32" si="8">H4*$H$17</f>
        <v>0</v>
      </c>
      <c r="I22" s="461">
        <f t="shared" ref="I22:I32" si="9">I4*$I$17</f>
        <v>0</v>
      </c>
      <c r="J22" s="461">
        <f t="shared" ref="J22:J32" si="10">J4*$J$17</f>
        <v>833.37037584596681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22515.962177183552</v>
      </c>
    </row>
    <row r="23" spans="1:17">
      <c r="A23" s="460" t="s">
        <v>156</v>
      </c>
      <c r="B23" s="461">
        <f t="shared" ca="1" si="2"/>
        <v>2855.7381385581079</v>
      </c>
      <c r="C23" s="461">
        <f t="shared" ca="1" si="3"/>
        <v>0</v>
      </c>
      <c r="D23" s="461">
        <f t="shared" ca="1" si="4"/>
        <v>2400.5382774700165</v>
      </c>
      <c r="E23" s="461">
        <f t="shared" si="5"/>
        <v>24.268328346266777</v>
      </c>
      <c r="F23" s="461">
        <f t="shared" ca="1" si="6"/>
        <v>680.68154931578192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5961.2262936901725</v>
      </c>
    </row>
    <row r="24" spans="1:17">
      <c r="A24" s="460" t="s">
        <v>194</v>
      </c>
      <c r="B24" s="461">
        <f t="shared" ca="1" si="2"/>
        <v>120.99353571507595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120.99353571507595</v>
      </c>
    </row>
    <row r="25" spans="1:17">
      <c r="A25" s="460" t="s">
        <v>112</v>
      </c>
      <c r="B25" s="461">
        <f t="shared" ca="1" si="2"/>
        <v>12.781892563390555</v>
      </c>
      <c r="C25" s="461">
        <f t="shared" ca="1" si="3"/>
        <v>0</v>
      </c>
      <c r="D25" s="461">
        <f t="shared" si="4"/>
        <v>9.9215160753125726</v>
      </c>
      <c r="E25" s="461">
        <f t="shared" si="5"/>
        <v>0.12849213985459404</v>
      </c>
      <c r="F25" s="461">
        <f t="shared" si="6"/>
        <v>52.352981086613582</v>
      </c>
      <c r="G25" s="461">
        <f t="shared" si="7"/>
        <v>0</v>
      </c>
      <c r="H25" s="461">
        <f t="shared" si="8"/>
        <v>0</v>
      </c>
      <c r="I25" s="461">
        <f t="shared" si="9"/>
        <v>0</v>
      </c>
      <c r="J25" s="461">
        <f t="shared" si="10"/>
        <v>2.631230839669116</v>
      </c>
      <c r="K25" s="461">
        <f t="shared" si="11"/>
        <v>0</v>
      </c>
      <c r="L25" s="461">
        <f t="shared" si="12"/>
        <v>0</v>
      </c>
      <c r="M25" s="461">
        <f t="shared" si="13"/>
        <v>0</v>
      </c>
      <c r="N25" s="461">
        <f t="shared" si="14"/>
        <v>0</v>
      </c>
      <c r="O25" s="461">
        <f t="shared" si="15"/>
        <v>0</v>
      </c>
      <c r="P25" s="462">
        <f t="shared" si="16"/>
        <v>0</v>
      </c>
      <c r="Q25" s="460">
        <f t="shared" ca="1" si="17"/>
        <v>77.816112704840421</v>
      </c>
    </row>
    <row r="26" spans="1:17">
      <c r="A26" s="460" t="s">
        <v>685</v>
      </c>
      <c r="B26" s="461">
        <f t="shared" ca="1" si="2"/>
        <v>1866.7132058651355</v>
      </c>
      <c r="C26" s="461">
        <f t="shared" ca="1" si="3"/>
        <v>0</v>
      </c>
      <c r="D26" s="461">
        <f t="shared" si="4"/>
        <v>653.88027674844261</v>
      </c>
      <c r="E26" s="461">
        <f t="shared" si="5"/>
        <v>18.017495048420951</v>
      </c>
      <c r="F26" s="461">
        <f t="shared" si="6"/>
        <v>526.11798959433156</v>
      </c>
      <c r="G26" s="461">
        <f t="shared" si="7"/>
        <v>0</v>
      </c>
      <c r="H26" s="461">
        <f t="shared" si="8"/>
        <v>0</v>
      </c>
      <c r="I26" s="461">
        <f t="shared" si="9"/>
        <v>0</v>
      </c>
      <c r="J26" s="461">
        <f t="shared" si="10"/>
        <v>15.935608903607438</v>
      </c>
      <c r="K26" s="461">
        <f t="shared" si="11"/>
        <v>0</v>
      </c>
      <c r="L26" s="461">
        <f t="shared" si="12"/>
        <v>0</v>
      </c>
      <c r="M26" s="461">
        <f t="shared" si="13"/>
        <v>0</v>
      </c>
      <c r="N26" s="461">
        <f t="shared" si="14"/>
        <v>0</v>
      </c>
      <c r="O26" s="461">
        <f t="shared" si="15"/>
        <v>0</v>
      </c>
      <c r="P26" s="462">
        <f t="shared" si="16"/>
        <v>0</v>
      </c>
      <c r="Q26" s="460">
        <f t="shared" ca="1" si="17"/>
        <v>3080.664576159938</v>
      </c>
    </row>
    <row r="27" spans="1:17" s="466" customFormat="1">
      <c r="A27" s="464" t="s">
        <v>579</v>
      </c>
      <c r="B27" s="772">
        <f t="shared" ca="1" si="2"/>
        <v>0.14887282850408848</v>
      </c>
      <c r="C27" s="465">
        <f t="shared" ca="1" si="3"/>
        <v>0</v>
      </c>
      <c r="D27" s="465">
        <f t="shared" si="4"/>
        <v>0.4612039753375301</v>
      </c>
      <c r="E27" s="465">
        <f t="shared" si="5"/>
        <v>29.279412548551733</v>
      </c>
      <c r="F27" s="465">
        <f t="shared" si="6"/>
        <v>0</v>
      </c>
      <c r="G27" s="465">
        <f t="shared" si="7"/>
        <v>5877.2977908738048</v>
      </c>
      <c r="H27" s="465">
        <f t="shared" si="8"/>
        <v>1246.3078445663914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7153.4951247925892</v>
      </c>
    </row>
    <row r="28" spans="1:17">
      <c r="A28" s="460" t="s">
        <v>569</v>
      </c>
      <c r="B28" s="461">
        <f t="shared" ca="1" si="2"/>
        <v>0</v>
      </c>
      <c r="C28" s="461">
        <f t="shared" ca="1" si="3"/>
        <v>0</v>
      </c>
      <c r="D28" s="461">
        <f t="shared" si="4"/>
        <v>0</v>
      </c>
      <c r="E28" s="461">
        <f t="shared" si="5"/>
        <v>0</v>
      </c>
      <c r="F28" s="461">
        <f t="shared" si="6"/>
        <v>0</v>
      </c>
      <c r="G28" s="461">
        <f t="shared" si="7"/>
        <v>319.29012176062616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319.29012176062616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136.31646192331658</v>
      </c>
      <c r="C32" s="461">
        <f t="shared" ca="1" si="3"/>
        <v>0</v>
      </c>
      <c r="D32" s="461">
        <f t="shared" si="4"/>
        <v>425.21825891182215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561.53472083513873</v>
      </c>
    </row>
    <row r="33" spans="1:17" s="473" customFormat="1">
      <c r="A33" s="470" t="s">
        <v>573</v>
      </c>
      <c r="B33" s="471">
        <f ca="1">SUM(B22:B32)</f>
        <v>10116.033614747357</v>
      </c>
      <c r="C33" s="471">
        <f t="shared" ref="C33:Q33" ca="1" si="18">SUM(C22:C32)</f>
        <v>0</v>
      </c>
      <c r="D33" s="471">
        <f t="shared" ca="1" si="18"/>
        <v>12081.476804570364</v>
      </c>
      <c r="E33" s="471">
        <f t="shared" si="18"/>
        <v>874.70229694760349</v>
      </c>
      <c r="F33" s="471">
        <f t="shared" ca="1" si="18"/>
        <v>8423.9369737865454</v>
      </c>
      <c r="G33" s="471">
        <f t="shared" si="18"/>
        <v>6196.5879126344307</v>
      </c>
      <c r="H33" s="471">
        <f t="shared" si="18"/>
        <v>1246.3078445663914</v>
      </c>
      <c r="I33" s="471">
        <f t="shared" si="18"/>
        <v>0</v>
      </c>
      <c r="J33" s="471">
        <f t="shared" si="18"/>
        <v>851.93721558924335</v>
      </c>
      <c r="K33" s="471">
        <f t="shared" si="18"/>
        <v>0</v>
      </c>
      <c r="L33" s="471">
        <f t="shared" ca="1" si="18"/>
        <v>0</v>
      </c>
      <c r="M33" s="471">
        <f t="shared" si="18"/>
        <v>0</v>
      </c>
      <c r="N33" s="471">
        <f t="shared" ca="1" si="18"/>
        <v>0</v>
      </c>
      <c r="O33" s="471">
        <f t="shared" si="18"/>
        <v>0</v>
      </c>
      <c r="P33" s="471">
        <f t="shared" si="18"/>
        <v>0</v>
      </c>
      <c r="Q33" s="471">
        <f t="shared" ca="1" si="18"/>
        <v>39790.982662841932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1779.7593771588172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1779.7593771588172</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0.21272878042768847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0.21272878042768847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0.21272878042768847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0.21272878042768847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23044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5127</v>
      </c>
      <c r="C9" s="338">
        <v>5530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217</v>
      </c>
    </row>
    <row r="15" spans="1:6">
      <c r="A15" s="1286" t="s">
        <v>184</v>
      </c>
      <c r="B15" s="335">
        <v>0</v>
      </c>
    </row>
    <row r="16" spans="1:6">
      <c r="A16" s="1286" t="s">
        <v>6</v>
      </c>
      <c r="B16" s="335">
        <v>38</v>
      </c>
    </row>
    <row r="17" spans="1:6">
      <c r="A17" s="1286" t="s">
        <v>7</v>
      </c>
      <c r="B17" s="335">
        <v>50</v>
      </c>
    </row>
    <row r="18" spans="1:6">
      <c r="A18" s="1286" t="s">
        <v>8</v>
      </c>
      <c r="B18" s="335">
        <v>54</v>
      </c>
    </row>
    <row r="19" spans="1:6">
      <c r="A19" s="1286" t="s">
        <v>9</v>
      </c>
      <c r="B19" s="335">
        <v>53</v>
      </c>
    </row>
    <row r="20" spans="1:6">
      <c r="A20" s="1286" t="s">
        <v>10</v>
      </c>
      <c r="B20" s="335">
        <v>70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43</v>
      </c>
    </row>
    <row r="27" spans="1:6">
      <c r="A27" s="1286" t="s">
        <v>17</v>
      </c>
      <c r="B27" s="335">
        <v>0</v>
      </c>
    </row>
    <row r="28" spans="1:6" s="341" customFormat="1">
      <c r="A28" s="1287" t="s">
        <v>18</v>
      </c>
      <c r="B28" s="1287">
        <v>30</v>
      </c>
    </row>
    <row r="29" spans="1:6">
      <c r="A29" s="1287" t="s">
        <v>944</v>
      </c>
      <c r="B29" s="1287">
        <v>4</v>
      </c>
      <c r="C29" s="341"/>
      <c r="D29" s="341"/>
      <c r="E29" s="341"/>
      <c r="F29" s="341"/>
    </row>
    <row r="30" spans="1:6">
      <c r="A30" s="1282" t="s">
        <v>945</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5</v>
      </c>
      <c r="F38" s="335">
        <v>25717.2267325176</v>
      </c>
    </row>
    <row r="39" spans="1:6">
      <c r="A39" s="1286" t="s">
        <v>30</v>
      </c>
      <c r="B39" s="1286" t="s">
        <v>31</v>
      </c>
      <c r="C39" s="335">
        <v>2572</v>
      </c>
      <c r="D39" s="335">
        <v>47152956.419120498</v>
      </c>
      <c r="E39" s="335">
        <v>5198</v>
      </c>
      <c r="F39" s="335">
        <v>22693983.116224401</v>
      </c>
    </row>
    <row r="40" spans="1:6">
      <c r="A40" s="1286" t="s">
        <v>30</v>
      </c>
      <c r="B40" s="1286" t="s">
        <v>29</v>
      </c>
      <c r="C40" s="335">
        <v>0</v>
      </c>
      <c r="D40" s="335">
        <v>0</v>
      </c>
      <c r="E40" s="335">
        <v>0</v>
      </c>
      <c r="F40" s="335">
        <v>0</v>
      </c>
    </row>
    <row r="41" spans="1:6">
      <c r="A41" s="1286" t="s">
        <v>32</v>
      </c>
      <c r="B41" s="1286" t="s">
        <v>33</v>
      </c>
      <c r="C41" s="335">
        <v>16</v>
      </c>
      <c r="D41" s="335">
        <v>368785.47821104998</v>
      </c>
      <c r="E41" s="335">
        <v>56</v>
      </c>
      <c r="F41" s="335">
        <v>483299.61122329498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417970.68120015698</v>
      </c>
    </row>
    <row r="45" spans="1:6">
      <c r="A45" s="1286" t="s">
        <v>32</v>
      </c>
      <c r="B45" s="1286" t="s">
        <v>37</v>
      </c>
      <c r="C45" s="335">
        <v>3</v>
      </c>
      <c r="D45" s="335">
        <v>122842.11769041</v>
      </c>
      <c r="E45" s="335">
        <v>5</v>
      </c>
      <c r="F45" s="335">
        <v>106498.69789316499</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14</v>
      </c>
      <c r="D48" s="335">
        <v>3003823.36815752</v>
      </c>
      <c r="E48" s="335">
        <v>27</v>
      </c>
      <c r="F48" s="335">
        <v>7439469.9485410796</v>
      </c>
    </row>
    <row r="49" spans="1:6">
      <c r="A49" s="1286" t="s">
        <v>32</v>
      </c>
      <c r="B49" s="1286" t="s">
        <v>40</v>
      </c>
      <c r="C49" s="335">
        <v>0</v>
      </c>
      <c r="D49" s="335">
        <v>0</v>
      </c>
      <c r="E49" s="335">
        <v>0</v>
      </c>
      <c r="F49" s="335">
        <v>0</v>
      </c>
    </row>
    <row r="50" spans="1:6">
      <c r="A50" s="1286" t="s">
        <v>32</v>
      </c>
      <c r="B50" s="1286" t="s">
        <v>41</v>
      </c>
      <c r="C50" s="335">
        <v>5</v>
      </c>
      <c r="D50" s="335">
        <v>93275.280965512007</v>
      </c>
      <c r="E50" s="335">
        <v>15</v>
      </c>
      <c r="F50" s="335">
        <v>327846.41683386901</v>
      </c>
    </row>
    <row r="51" spans="1:6">
      <c r="A51" s="1286" t="s">
        <v>42</v>
      </c>
      <c r="B51" s="1286" t="s">
        <v>43</v>
      </c>
      <c r="C51" s="335">
        <v>0</v>
      </c>
      <c r="D51" s="335">
        <v>0</v>
      </c>
      <c r="E51" s="335">
        <v>0</v>
      </c>
      <c r="F51" s="335">
        <v>0</v>
      </c>
    </row>
    <row r="52" spans="1:6">
      <c r="A52" s="1286" t="s">
        <v>42</v>
      </c>
      <c r="B52" s="1286" t="s">
        <v>29</v>
      </c>
      <c r="C52" s="335">
        <v>2</v>
      </c>
      <c r="D52" s="335">
        <v>54452.789594699199</v>
      </c>
      <c r="E52" s="335">
        <v>9</v>
      </c>
      <c r="F52" s="335">
        <v>60085.393888371502</v>
      </c>
    </row>
    <row r="53" spans="1:6">
      <c r="A53" s="1286" t="s">
        <v>44</v>
      </c>
      <c r="B53" s="1286" t="s">
        <v>45</v>
      </c>
      <c r="C53" s="335">
        <v>75</v>
      </c>
      <c r="D53" s="335">
        <v>2105040.8857020899</v>
      </c>
      <c r="E53" s="335">
        <v>132</v>
      </c>
      <c r="F53" s="335">
        <v>640799.33918322704</v>
      </c>
    </row>
    <row r="54" spans="1:6">
      <c r="A54" s="1286" t="s">
        <v>46</v>
      </c>
      <c r="B54" s="1286" t="s">
        <v>47</v>
      </c>
      <c r="C54" s="335">
        <v>0</v>
      </c>
      <c r="D54" s="335">
        <v>0</v>
      </c>
      <c r="E54" s="335">
        <v>1</v>
      </c>
      <c r="F54" s="335">
        <v>568769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10</v>
      </c>
      <c r="D57" s="335">
        <v>301325.487596213</v>
      </c>
      <c r="E57" s="335">
        <v>27</v>
      </c>
      <c r="F57" s="335">
        <v>236629.276542142</v>
      </c>
    </row>
    <row r="58" spans="1:6">
      <c r="A58" s="1286" t="s">
        <v>49</v>
      </c>
      <c r="B58" s="1286" t="s">
        <v>51</v>
      </c>
      <c r="C58" s="335">
        <v>14</v>
      </c>
      <c r="D58" s="335">
        <v>949626.72250541905</v>
      </c>
      <c r="E58" s="335">
        <v>18</v>
      </c>
      <c r="F58" s="335">
        <v>285785.37574803602</v>
      </c>
    </row>
    <row r="59" spans="1:6">
      <c r="A59" s="1286" t="s">
        <v>49</v>
      </c>
      <c r="B59" s="1286" t="s">
        <v>52</v>
      </c>
      <c r="C59" s="335">
        <v>26</v>
      </c>
      <c r="D59" s="335">
        <v>1438937.9035519599</v>
      </c>
      <c r="E59" s="335">
        <v>112</v>
      </c>
      <c r="F59" s="335">
        <v>2213705.0577644999</v>
      </c>
    </row>
    <row r="60" spans="1:6">
      <c r="A60" s="1286" t="s">
        <v>49</v>
      </c>
      <c r="B60" s="1286" t="s">
        <v>53</v>
      </c>
      <c r="C60" s="335">
        <v>32</v>
      </c>
      <c r="D60" s="335">
        <v>1109282.34652981</v>
      </c>
      <c r="E60" s="335">
        <v>55</v>
      </c>
      <c r="F60" s="335">
        <v>681981.30201367999</v>
      </c>
    </row>
    <row r="61" spans="1:6">
      <c r="A61" s="1286" t="s">
        <v>49</v>
      </c>
      <c r="B61" s="1286" t="s">
        <v>54</v>
      </c>
      <c r="C61" s="335">
        <v>40</v>
      </c>
      <c r="D61" s="335">
        <v>3370240.0593331</v>
      </c>
      <c r="E61" s="335">
        <v>147</v>
      </c>
      <c r="F61" s="335">
        <v>3669828.0639558602</v>
      </c>
    </row>
    <row r="62" spans="1:6">
      <c r="A62" s="1286" t="s">
        <v>49</v>
      </c>
      <c r="B62" s="1286" t="s">
        <v>55</v>
      </c>
      <c r="C62" s="335">
        <v>3</v>
      </c>
      <c r="D62" s="335">
        <v>455535.04290566698</v>
      </c>
      <c r="E62" s="335">
        <v>3</v>
      </c>
      <c r="F62" s="335">
        <v>422804.676551721</v>
      </c>
    </row>
    <row r="63" spans="1:6">
      <c r="A63" s="1286" t="s">
        <v>49</v>
      </c>
      <c r="B63" s="1286" t="s">
        <v>29</v>
      </c>
      <c r="C63" s="335">
        <v>80</v>
      </c>
      <c r="D63" s="335">
        <v>5550055.6069375398</v>
      </c>
      <c r="E63" s="335">
        <v>95</v>
      </c>
      <c r="F63" s="335">
        <v>5913581.1559036896</v>
      </c>
    </row>
    <row r="64" spans="1:6">
      <c r="A64" s="1286" t="s">
        <v>56</v>
      </c>
      <c r="B64" s="1286" t="s">
        <v>57</v>
      </c>
      <c r="C64" s="335">
        <v>0</v>
      </c>
      <c r="D64" s="335">
        <v>0</v>
      </c>
      <c r="E64" s="335">
        <v>0</v>
      </c>
      <c r="F64" s="335">
        <v>0</v>
      </c>
    </row>
    <row r="65" spans="1:6">
      <c r="A65" s="1286" t="s">
        <v>56</v>
      </c>
      <c r="B65" s="1286" t="s">
        <v>29</v>
      </c>
      <c r="C65" s="335">
        <v>0</v>
      </c>
      <c r="D65" s="335">
        <v>0</v>
      </c>
      <c r="E65" s="335">
        <v>3</v>
      </c>
      <c r="F65" s="335">
        <v>14164.009965061599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45776.133973260403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19189498</v>
      </c>
      <c r="E73" s="335">
        <v>19705968.882660646</v>
      </c>
    </row>
    <row r="74" spans="1:6">
      <c r="A74" s="1286" t="s">
        <v>64</v>
      </c>
      <c r="B74" s="1286" t="s">
        <v>772</v>
      </c>
      <c r="C74" s="1297" t="s">
        <v>766</v>
      </c>
      <c r="D74" s="335">
        <v>1057398.7911153447</v>
      </c>
      <c r="E74" s="335">
        <v>1148239.2173071541</v>
      </c>
    </row>
    <row r="75" spans="1:6">
      <c r="A75" s="1286" t="s">
        <v>65</v>
      </c>
      <c r="B75" s="1286" t="s">
        <v>771</v>
      </c>
      <c r="C75" s="1297" t="s">
        <v>767</v>
      </c>
      <c r="D75" s="335">
        <v>14072081</v>
      </c>
      <c r="E75" s="335">
        <v>14943737.51871103</v>
      </c>
    </row>
    <row r="76" spans="1:6">
      <c r="A76" s="1286" t="s">
        <v>65</v>
      </c>
      <c r="B76" s="1286" t="s">
        <v>772</v>
      </c>
      <c r="C76" s="1297" t="s">
        <v>768</v>
      </c>
      <c r="D76" s="335">
        <v>334964.79111534485</v>
      </c>
      <c r="E76" s="335">
        <v>365270.45624287601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328446.41776931036</v>
      </c>
      <c r="C83" s="335">
        <v>318342.14878890454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1389.9301981537324</v>
      </c>
    </row>
    <row r="92" spans="1:6">
      <c r="A92" s="1282" t="s">
        <v>69</v>
      </c>
      <c r="B92" s="338">
        <v>389.82917900508488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1228</v>
      </c>
    </row>
    <row r="98" spans="1:6">
      <c r="A98" s="1286" t="s">
        <v>72</v>
      </c>
      <c r="B98" s="335">
        <v>3</v>
      </c>
    </row>
    <row r="99" spans="1:6">
      <c r="A99" s="1286" t="s">
        <v>73</v>
      </c>
      <c r="B99" s="335">
        <v>90</v>
      </c>
    </row>
    <row r="100" spans="1:6">
      <c r="A100" s="1286" t="s">
        <v>74</v>
      </c>
      <c r="B100" s="335">
        <v>508</v>
      </c>
    </row>
    <row r="101" spans="1:6">
      <c r="A101" s="1286" t="s">
        <v>75</v>
      </c>
      <c r="B101" s="335">
        <v>26</v>
      </c>
    </row>
    <row r="102" spans="1:6">
      <c r="A102" s="1286" t="s">
        <v>76</v>
      </c>
      <c r="B102" s="335">
        <v>50</v>
      </c>
    </row>
    <row r="103" spans="1:6">
      <c r="A103" s="1286" t="s">
        <v>77</v>
      </c>
      <c r="B103" s="335">
        <v>209</v>
      </c>
    </row>
    <row r="104" spans="1:6">
      <c r="A104" s="1286" t="s">
        <v>78</v>
      </c>
      <c r="B104" s="335">
        <v>2569</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18</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47553.667136196636</v>
      </c>
      <c r="C3" s="44" t="s">
        <v>170</v>
      </c>
      <c r="D3" s="44"/>
      <c r="E3" s="157"/>
      <c r="F3" s="44"/>
      <c r="G3" s="44"/>
      <c r="H3" s="44"/>
      <c r="I3" s="44"/>
      <c r="J3" s="44"/>
      <c r="K3" s="97"/>
    </row>
    <row r="4" spans="1:11">
      <c r="A4" s="365" t="s">
        <v>171</v>
      </c>
      <c r="B4" s="50">
        <f>IF(ISERROR('SEAP template'!B78+'SEAP template'!C78),0,'SEAP template'!B78+'SEAP template'!C78)</f>
        <v>1779.7593771588172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0.21272878042768847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568.76900000000001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568.76900000000001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0.21272878042768847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120.99353571507595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22693.983116224401</v>
      </c>
      <c r="C5" s="18">
        <f>IF(ISERROR('Eigen informatie GS &amp; warmtenet'!B57),0,'Eigen informatie GS &amp; warmtenet'!B57)</f>
        <v>0</v>
      </c>
      <c r="D5" s="31">
        <f>(SUM(HH_hh_gas_kWh,HH_rest_gas_kWh)/1000)*0.902</f>
        <v>42531.966690046691</v>
      </c>
      <c r="E5" s="18">
        <f>B46*B57</f>
        <v>3537.4826822225082</v>
      </c>
      <c r="F5" s="18">
        <f>B51*B62</f>
        <v>26834.398703332648</v>
      </c>
      <c r="G5" s="19"/>
      <c r="H5" s="18"/>
      <c r="I5" s="18"/>
      <c r="J5" s="18">
        <f>B50*B61+C50*C61</f>
        <v>2354.1536040846522</v>
      </c>
      <c r="K5" s="18"/>
      <c r="L5" s="18"/>
      <c r="M5" s="18"/>
      <c r="N5" s="18">
        <f>B48*B59+C48*C59</f>
        <v>3318.791701455003</v>
      </c>
      <c r="O5" s="18">
        <f>B69*B70*B71</f>
        <v>32.830000000000005</v>
      </c>
      <c r="P5" s="18">
        <f>B77*B78*B79/1000-B77*B78*B79/1000/B80</f>
        <v>152.53333333333333</v>
      </c>
    </row>
    <row r="6" spans="1:16">
      <c r="A6" s="17" t="s">
        <v>639</v>
      </c>
      <c r="B6" s="780">
        <f>kWh_PV_kleiner_dan_10kW</f>
        <v>1389.9301981537324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24083.913314378133</v>
      </c>
      <c r="C8" s="22">
        <f>C5</f>
        <v>0</v>
      </c>
      <c r="D8" s="22">
        <f>D5</f>
        <v>42531.966690046691</v>
      </c>
      <c r="E8" s="22">
        <f>E5</f>
        <v>3537.4826822225082</v>
      </c>
      <c r="F8" s="22">
        <f>F5</f>
        <v>26834.398703332648</v>
      </c>
      <c r="G8" s="22"/>
      <c r="H8" s="22"/>
      <c r="I8" s="22"/>
      <c r="J8" s="22">
        <f>J5</f>
        <v>2354.1536040846522</v>
      </c>
      <c r="K8" s="22"/>
      <c r="L8" s="22">
        <f>L5</f>
        <v>0</v>
      </c>
      <c r="M8" s="22">
        <f>M5</f>
        <v>0</v>
      </c>
      <c r="N8" s="22">
        <f>N5</f>
        <v>3318.791701455003</v>
      </c>
      <c r="O8" s="22">
        <f>O5</f>
        <v>32.830000000000005</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0.21272878042768847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5123.3415072938287</v>
      </c>
      <c r="C12" s="24">
        <f ca="1">C10*C8</f>
        <v>0</v>
      </c>
      <c r="D12" s="24">
        <f>D8*D10</f>
        <v>8591.4572713894322</v>
      </c>
      <c r="E12" s="24">
        <f>E10*E8</f>
        <v>803.00856886450936</v>
      </c>
      <c r="F12" s="24">
        <f>F10*F8</f>
        <v>7164.7844537898172</v>
      </c>
      <c r="G12" s="24"/>
      <c r="H12" s="24"/>
      <c r="I12" s="24"/>
      <c r="J12" s="24">
        <f>J10*J8</f>
        <v>833.37037584596681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1228</v>
      </c>
      <c r="C18" s="169" t="s">
        <v>111</v>
      </c>
      <c r="D18" s="231"/>
      <c r="E18" s="16"/>
    </row>
    <row r="19" spans="1:7">
      <c r="A19" s="174" t="s">
        <v>72</v>
      </c>
      <c r="B19" s="38">
        <f>aantalw2001_ander</f>
        <v>3</v>
      </c>
      <c r="C19" s="169" t="s">
        <v>111</v>
      </c>
      <c r="D19" s="232"/>
      <c r="E19" s="16"/>
    </row>
    <row r="20" spans="1:7">
      <c r="A20" s="174" t="s">
        <v>73</v>
      </c>
      <c r="B20" s="38">
        <f>aantalw2001_propaan</f>
        <v>90</v>
      </c>
      <c r="C20" s="170">
        <f>IF(ISERROR(B20/SUM($B$20,$B$21,$B$22)*100),0,B20/SUM($B$20,$B$21,$B$22)*100)</f>
        <v>14.423076923076922</v>
      </c>
      <c r="D20" s="232"/>
      <c r="E20" s="16"/>
    </row>
    <row r="21" spans="1:7">
      <c r="A21" s="174" t="s">
        <v>74</v>
      </c>
      <c r="B21" s="38">
        <f>aantalw2001_elektriciteit</f>
        <v>508</v>
      </c>
      <c r="C21" s="170">
        <f>IF(ISERROR(B21/SUM($B$20,$B$21,$B$22)*100),0,B21/SUM($B$20,$B$21,$B$22)*100)</f>
        <v>81.410256410256409</v>
      </c>
      <c r="D21" s="232"/>
      <c r="E21" s="16"/>
    </row>
    <row r="22" spans="1:7">
      <c r="A22" s="174" t="s">
        <v>75</v>
      </c>
      <c r="B22" s="38">
        <f>aantalw2001_hout</f>
        <v>26</v>
      </c>
      <c r="C22" s="170">
        <f>IF(ISERROR(B22/SUM($B$20,$B$21,$B$22)*100),0,B22/SUM($B$20,$B$21,$B$22)*100)</f>
        <v>4.1666666666666661</v>
      </c>
      <c r="D22" s="232"/>
      <c r="E22" s="16"/>
    </row>
    <row r="23" spans="1:7">
      <c r="A23" s="174" t="s">
        <v>76</v>
      </c>
      <c r="B23" s="38">
        <f>aantalw2001_niet_gespec</f>
        <v>50</v>
      </c>
      <c r="C23" s="169" t="s">
        <v>111</v>
      </c>
      <c r="D23" s="231"/>
      <c r="E23" s="16"/>
    </row>
    <row r="24" spans="1:7">
      <c r="A24" s="174" t="s">
        <v>77</v>
      </c>
      <c r="B24" s="38">
        <f>aantalw2001_steenkool</f>
        <v>209</v>
      </c>
      <c r="C24" s="169" t="s">
        <v>111</v>
      </c>
      <c r="D24" s="232"/>
      <c r="E24" s="16"/>
    </row>
    <row r="25" spans="1:7">
      <c r="A25" s="174" t="s">
        <v>78</v>
      </c>
      <c r="B25" s="38">
        <f>aantalw2001_stookolie</f>
        <v>2569</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5127</v>
      </c>
      <c r="C28" s="37"/>
      <c r="D28" s="231"/>
    </row>
    <row r="29" spans="1:7" s="16" customFormat="1">
      <c r="A29" s="233" t="s">
        <v>666</v>
      </c>
      <c r="B29" s="38">
        <f>SUM(HH_hh_gas_aantal,HH_rest_gas_aantal)</f>
        <v>2572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2572</v>
      </c>
      <c r="C32" s="170">
        <f>IF(ISERROR(B32/SUM($B$32,$B$34,$B$35,$B$36,$B$38,$B$39)*100),0,B32/SUM($B$32,$B$34,$B$35,$B$36,$B$38,$B$39)*100)</f>
        <v>50.244188318030872</v>
      </c>
      <c r="D32" s="236"/>
      <c r="G32" s="16"/>
    </row>
    <row r="33" spans="1:7">
      <c r="A33" s="174" t="s">
        <v>72</v>
      </c>
      <c r="B33" s="35" t="s">
        <v>111</v>
      </c>
      <c r="C33" s="170"/>
      <c r="D33" s="236"/>
      <c r="G33" s="16"/>
    </row>
    <row r="34" spans="1:7">
      <c r="A34" s="174" t="s">
        <v>73</v>
      </c>
      <c r="B34" s="34">
        <f>IF((($B$28-$B$32-$B$39-$B$77-$B$38)*C20/100)&lt;0,0,($B$28-$B$32-$B$39-$B$77-$B$38)*C20/100)</f>
        <v>160.52884615384616</v>
      </c>
      <c r="C34" s="170">
        <f>IF(ISERROR(B34/SUM($B$32,$B$34,$B$35,$B$36,$B$38,$B$39)*100),0,B34/SUM($B$32,$B$34,$B$35,$B$36,$B$38,$B$39)*100)</f>
        <v>3.1359415150194603</v>
      </c>
      <c r="D34" s="236"/>
      <c r="G34" s="16"/>
    </row>
    <row r="35" spans="1:7">
      <c r="A35" s="174" t="s">
        <v>74</v>
      </c>
      <c r="B35" s="34">
        <f>IF((($B$28-$B$32-$B$39-$B$77-$B$38)*C21/100)&lt;0,0,($B$28-$B$32-$B$39-$B$77-$B$38)*C21/100)</f>
        <v>906.09615384615404</v>
      </c>
      <c r="C35" s="170">
        <f>IF(ISERROR(B35/SUM($B$32,$B$34,$B$35,$B$36,$B$38,$B$39)*100),0,B35/SUM($B$32,$B$34,$B$35,$B$36,$B$38,$B$39)*100)</f>
        <v>17.700647662554289</v>
      </c>
      <c r="D35" s="236"/>
      <c r="G35" s="16"/>
    </row>
    <row r="36" spans="1:7">
      <c r="A36" s="174" t="s">
        <v>75</v>
      </c>
      <c r="B36" s="34">
        <f>IF((($B$28-$B$32-$B$39-$B$77-$B$38)*C22/100)&lt;0,0,($B$28-$B$32-$B$39-$B$77-$B$38)*C22/100)</f>
        <v>46.375</v>
      </c>
      <c r="C36" s="170">
        <f>IF(ISERROR(B36/SUM($B$32,$B$34,$B$35,$B$36,$B$38,$B$39)*100),0,B36/SUM($B$32,$B$34,$B$35,$B$36,$B$38,$B$39)*100)</f>
        <v>0.90593865989451061</v>
      </c>
      <c r="D36" s="236"/>
      <c r="G36" s="16"/>
    </row>
    <row r="37" spans="1:7">
      <c r="A37" s="174" t="s">
        <v>76</v>
      </c>
      <c r="B37" s="35" t="s">
        <v>111</v>
      </c>
      <c r="C37" s="170"/>
      <c r="D37" s="176"/>
      <c r="G37" s="16"/>
    </row>
    <row r="38" spans="1:7">
      <c r="A38" s="174" t="s">
        <v>77</v>
      </c>
      <c r="B38" s="34">
        <f>IF((B24-(B29-B18)*0.1)&lt;0,0,B24-(B29-B18)*0.1)</f>
        <v>74.599999999999994</v>
      </c>
      <c r="C38" s="170">
        <f>IF(ISERROR(B38/SUM($B$32,$B$34,$B$35,$B$36,$B$38,$B$39)*100),0,B38/SUM($B$32,$B$34,$B$35,$B$36,$B$38,$B$39)*100)</f>
        <v>1.4573158820082046</v>
      </c>
      <c r="D38" s="237"/>
      <c r="G38" s="16"/>
    </row>
    <row r="39" spans="1:7">
      <c r="A39" s="174" t="s">
        <v>78</v>
      </c>
      <c r="B39" s="34">
        <f>IF((B25-(B29-B18))&lt;0,0,B25-(B29-B18)*0.9)</f>
        <v>1359.3999999999999</v>
      </c>
      <c r="C39" s="170">
        <f>IF(ISERROR(B39/SUM($B$32,$B$34,$B$35,$B$36,$B$38,$B$39)*100),0,B39/SUM($B$32,$B$34,$B$35,$B$36,$B$38,$B$39)*100)</f>
        <v>26.555967962492673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2572</v>
      </c>
      <c r="C44" s="35" t="s">
        <v>111</v>
      </c>
      <c r="D44" s="177"/>
    </row>
    <row r="45" spans="1:7">
      <c r="A45" s="174" t="s">
        <v>72</v>
      </c>
      <c r="B45" s="34" t="str">
        <f t="shared" si="0"/>
        <v>-</v>
      </c>
      <c r="C45" s="35" t="s">
        <v>111</v>
      </c>
      <c r="D45" s="177"/>
    </row>
    <row r="46" spans="1:7">
      <c r="A46" s="174" t="s">
        <v>73</v>
      </c>
      <c r="B46" s="34">
        <f t="shared" si="0"/>
        <v>160.52884615384616</v>
      </c>
      <c r="C46" s="35" t="s">
        <v>111</v>
      </c>
      <c r="D46" s="177"/>
    </row>
    <row r="47" spans="1:7">
      <c r="A47" s="174" t="s">
        <v>74</v>
      </c>
      <c r="B47" s="34">
        <f t="shared" si="0"/>
        <v>906.09615384615404</v>
      </c>
      <c r="C47" s="35" t="s">
        <v>111</v>
      </c>
      <c r="D47" s="177"/>
    </row>
    <row r="48" spans="1:7">
      <c r="A48" s="174" t="s">
        <v>75</v>
      </c>
      <c r="B48" s="34">
        <f t="shared" si="0"/>
        <v>46.375</v>
      </c>
      <c r="C48" s="34">
        <f>B48*10</f>
        <v>463.75</v>
      </c>
      <c r="D48" s="237"/>
    </row>
    <row r="49" spans="1:6">
      <c r="A49" s="174" t="s">
        <v>76</v>
      </c>
      <c r="B49" s="34" t="str">
        <f t="shared" si="0"/>
        <v>-</v>
      </c>
      <c r="C49" s="35" t="s">
        <v>111</v>
      </c>
      <c r="D49" s="237"/>
    </row>
    <row r="50" spans="1:6">
      <c r="A50" s="174" t="s">
        <v>77</v>
      </c>
      <c r="B50" s="34">
        <f t="shared" si="0"/>
        <v>74.599999999999994</v>
      </c>
      <c r="C50" s="34">
        <f>B50*2</f>
        <v>149.19999999999999</v>
      </c>
      <c r="D50" s="237"/>
    </row>
    <row r="51" spans="1:6">
      <c r="A51" s="174" t="s">
        <v>78</v>
      </c>
      <c r="B51" s="34">
        <f t="shared" si="0"/>
        <v>1359.3999999999999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13424.31490847963</v>
      </c>
      <c r="C5" s="18">
        <f>IF(ISERROR('Eigen informatie GS &amp; warmtenet'!B58),0,'Eigen informatie GS &amp; warmtenet'!B58)</f>
        <v>0</v>
      </c>
      <c r="D5" s="31">
        <f>SUM(D6:D12)</f>
        <v>11883.852858762457</v>
      </c>
      <c r="E5" s="18">
        <f>SUM(E6:E12)</f>
        <v>106.90893544610914</v>
      </c>
      <c r="F5" s="18">
        <f>SUM(F6:F12)</f>
        <v>2549.369098560981</v>
      </c>
      <c r="G5" s="19"/>
      <c r="H5" s="18"/>
      <c r="I5" s="18"/>
      <c r="J5" s="18">
        <f>SUM(J6:J12)</f>
        <v>0</v>
      </c>
      <c r="K5" s="18"/>
      <c r="L5" s="18"/>
      <c r="M5" s="18"/>
      <c r="N5" s="18">
        <f>SUM(N6:N12)</f>
        <v>541.11635712345878</v>
      </c>
      <c r="O5" s="18">
        <f>B38*B39*B40</f>
        <v>0</v>
      </c>
      <c r="P5" s="18">
        <f>B46*B47*B48/1000-B46*B47*B48/1000/B49</f>
        <v>0</v>
      </c>
      <c r="R5" s="33"/>
    </row>
    <row r="6" spans="1:18">
      <c r="A6" s="33" t="s">
        <v>54</v>
      </c>
      <c r="B6" s="38">
        <f>B26</f>
        <v>3669.8280639558602</v>
      </c>
      <c r="C6" s="34"/>
      <c r="D6" s="38">
        <f>IF(ISERROR(TER_kantoor_gas_kWh/1000),0,TER_kantoor_gas_kWh/1000)*0.902</f>
        <v>3039.9565335184561</v>
      </c>
      <c r="E6" s="34">
        <f>$C$26*'E Balans VL '!I12/100/3.6*1000000</f>
        <v>6.0229316384700375</v>
      </c>
      <c r="F6" s="34">
        <f>$C$26*('E Balans VL '!L12+'E Balans VL '!N12)/100/3.6*1000000</f>
        <v>432.58638237505113</v>
      </c>
      <c r="G6" s="35"/>
      <c r="H6" s="34"/>
      <c r="I6" s="34"/>
      <c r="J6" s="34">
        <f>$C$26*('E Balans VL '!D12+'E Balans VL '!E12)/100/3.6*1000000</f>
        <v>0</v>
      </c>
      <c r="K6" s="34"/>
      <c r="L6" s="34"/>
      <c r="M6" s="34"/>
      <c r="N6" s="34">
        <f>$C$26*'E Balans VL '!Y12/100/3.6*1000000</f>
        <v>0.74147138226370235</v>
      </c>
      <c r="O6" s="34"/>
      <c r="P6" s="34"/>
      <c r="R6" s="33"/>
    </row>
    <row r="7" spans="1:18">
      <c r="A7" s="33" t="s">
        <v>53</v>
      </c>
      <c r="B7" s="38">
        <f t="shared" ref="B7:B12" si="0">B27</f>
        <v>681.98130201367997</v>
      </c>
      <c r="C7" s="34"/>
      <c r="D7" s="38">
        <f>IF(ISERROR(TER_horeca_gas_kWh/1000),0,TER_horeca_gas_kWh/1000)*0.902</f>
        <v>1000.5726765698886</v>
      </c>
      <c r="E7" s="34">
        <f>$C$27*'E Balans VL '!I9/100/3.6*1000000</f>
        <v>35.389894652205214</v>
      </c>
      <c r="F7" s="34">
        <f>$C$27*('E Balans VL '!L9+'E Balans VL '!N9)/100/3.6*1000000</f>
        <v>155.62862796760709</v>
      </c>
      <c r="G7" s="35"/>
      <c r="H7" s="34"/>
      <c r="I7" s="34"/>
      <c r="J7" s="34">
        <f>$C$27*('E Balans VL '!D9+'E Balans VL '!E9)/100/3.6*1000000</f>
        <v>0</v>
      </c>
      <c r="K7" s="34"/>
      <c r="L7" s="34"/>
      <c r="M7" s="34"/>
      <c r="N7" s="34">
        <f>$C$27*'E Balans VL '!Y9/100/3.6*1000000</f>
        <v>7.2016912961078011E-2</v>
      </c>
      <c r="O7" s="34"/>
      <c r="P7" s="34"/>
      <c r="R7" s="33"/>
    </row>
    <row r="8" spans="1:18">
      <c r="A8" s="6" t="s">
        <v>52</v>
      </c>
      <c r="B8" s="38">
        <f t="shared" si="0"/>
        <v>2213.7050577645</v>
      </c>
      <c r="C8" s="34"/>
      <c r="D8" s="38">
        <f>IF(ISERROR(TER_handel_gas_kWh/1000),0,TER_handel_gas_kWh/1000)*0.902</f>
        <v>1297.9219890038678</v>
      </c>
      <c r="E8" s="34">
        <f>$C$28*'E Balans VL '!I13/100/3.6*1000000</f>
        <v>11.921073764257962</v>
      </c>
      <c r="F8" s="34">
        <f>$C$28*('E Balans VL '!L13+'E Balans VL '!N13)/100/3.6*1000000</f>
        <v>451.44024666742126</v>
      </c>
      <c r="G8" s="35"/>
      <c r="H8" s="34"/>
      <c r="I8" s="34"/>
      <c r="J8" s="34">
        <f>$C$28*('E Balans VL '!D13+'E Balans VL '!E13)/100/3.6*1000000</f>
        <v>0</v>
      </c>
      <c r="K8" s="34"/>
      <c r="L8" s="34"/>
      <c r="M8" s="34"/>
      <c r="N8" s="34">
        <f>$C$28*'E Balans VL '!Y13/100/3.6*1000000</f>
        <v>11.007586228115073</v>
      </c>
      <c r="O8" s="34"/>
      <c r="P8" s="34"/>
      <c r="R8" s="33"/>
    </row>
    <row r="9" spans="1:18">
      <c r="A9" s="33" t="s">
        <v>51</v>
      </c>
      <c r="B9" s="38">
        <f t="shared" si="0"/>
        <v>285.78537574803602</v>
      </c>
      <c r="C9" s="34"/>
      <c r="D9" s="38">
        <f>IF(ISERROR(TER_gezond_gas_kWh/1000),0,TER_gezond_gas_kWh/1000)*0.902</f>
        <v>856.56330369988802</v>
      </c>
      <c r="E9" s="34">
        <f>$C$29*'E Balans VL '!I10/100/3.6*1000000</f>
        <v>0.28321655730414652</v>
      </c>
      <c r="F9" s="34">
        <f>$C$29*('E Balans VL '!L10+'E Balans VL '!N10)/100/3.6*1000000</f>
        <v>99.159287937136938</v>
      </c>
      <c r="G9" s="35"/>
      <c r="H9" s="34"/>
      <c r="I9" s="34"/>
      <c r="J9" s="34">
        <f>$C$29*('E Balans VL '!D10+'E Balans VL '!E10)/100/3.6*1000000</f>
        <v>0</v>
      </c>
      <c r="K9" s="34"/>
      <c r="L9" s="34"/>
      <c r="M9" s="34"/>
      <c r="N9" s="34">
        <f>$C$29*'E Balans VL '!Y10/100/3.6*1000000</f>
        <v>2.4625878253524203</v>
      </c>
      <c r="O9" s="34"/>
      <c r="P9" s="34"/>
      <c r="R9" s="33"/>
    </row>
    <row r="10" spans="1:18">
      <c r="A10" s="33" t="s">
        <v>50</v>
      </c>
      <c r="B10" s="38">
        <f t="shared" si="0"/>
        <v>236.62927654214201</v>
      </c>
      <c r="C10" s="34"/>
      <c r="D10" s="38">
        <f>IF(ISERROR(TER_ander_gas_kWh/1000),0,TER_ander_gas_kWh/1000)*0.902</f>
        <v>271.79558981178417</v>
      </c>
      <c r="E10" s="34">
        <f>$C$30*'E Balans VL '!I14/100/3.6*1000000</f>
        <v>1.9358639762340255</v>
      </c>
      <c r="F10" s="34">
        <f>$C$30*('E Balans VL '!L14+'E Balans VL '!N14)/100/3.6*1000000</f>
        <v>69.180766884085259</v>
      </c>
      <c r="G10" s="35"/>
      <c r="H10" s="34"/>
      <c r="I10" s="34"/>
      <c r="J10" s="34">
        <f>$C$30*('E Balans VL '!D14+'E Balans VL '!E14)/100/3.6*1000000</f>
        <v>0</v>
      </c>
      <c r="K10" s="34"/>
      <c r="L10" s="34"/>
      <c r="M10" s="34"/>
      <c r="N10" s="34">
        <f>$C$30*'E Balans VL '!Y14/100/3.6*1000000</f>
        <v>136.50404418031806</v>
      </c>
      <c r="O10" s="34"/>
      <c r="P10" s="34"/>
      <c r="R10" s="33"/>
    </row>
    <row r="11" spans="1:18">
      <c r="A11" s="33" t="s">
        <v>55</v>
      </c>
      <c r="B11" s="38">
        <f t="shared" si="0"/>
        <v>422.804676551721</v>
      </c>
      <c r="C11" s="34"/>
      <c r="D11" s="38">
        <f>IF(ISERROR(TER_onderwijs_gas_kWh/1000),0,TER_onderwijs_gas_kWh/1000)*0.902</f>
        <v>410.89260870091158</v>
      </c>
      <c r="E11" s="34">
        <f>$C$31*'E Balans VL '!I11/100/3.6*1000000</f>
        <v>0.26059896272599936</v>
      </c>
      <c r="F11" s="34">
        <f>$C$31*('E Balans VL '!L11+'E Balans VL '!N11)/100/3.6*1000000</f>
        <v>163.46313513681685</v>
      </c>
      <c r="G11" s="35"/>
      <c r="H11" s="34"/>
      <c r="I11" s="34"/>
      <c r="J11" s="34">
        <f>$C$31*('E Balans VL '!D11+'E Balans VL '!E11)/100/3.6*1000000</f>
        <v>0</v>
      </c>
      <c r="K11" s="34"/>
      <c r="L11" s="34"/>
      <c r="M11" s="34"/>
      <c r="N11" s="34">
        <f>$C$31*'E Balans VL '!Y11/100/3.6*1000000</f>
        <v>1.3752930077151129</v>
      </c>
      <c r="O11" s="34"/>
      <c r="P11" s="34"/>
      <c r="R11" s="33"/>
    </row>
    <row r="12" spans="1:18">
      <c r="A12" s="33" t="s">
        <v>260</v>
      </c>
      <c r="B12" s="38">
        <f t="shared" si="0"/>
        <v>5913.5811559036893</v>
      </c>
      <c r="C12" s="34"/>
      <c r="D12" s="38">
        <f>IF(ISERROR(TER_rest_gas_kWh/1000),0,TER_rest_gas_kWh/1000)*0.902</f>
        <v>5006.1501574576614</v>
      </c>
      <c r="E12" s="34">
        <f>$C$32*'E Balans VL '!I8/100/3.6*1000000</f>
        <v>51.095355894911755</v>
      </c>
      <c r="F12" s="34">
        <f>$C$32*('E Balans VL '!L8+'E Balans VL '!N8)/100/3.6*1000000</f>
        <v>1177.9106515928629</v>
      </c>
      <c r="G12" s="35"/>
      <c r="H12" s="34"/>
      <c r="I12" s="34"/>
      <c r="J12" s="34">
        <f>$C$32*('E Balans VL '!D8+'E Balans VL '!E8)/100/3.6*1000000</f>
        <v>0</v>
      </c>
      <c r="K12" s="34"/>
      <c r="L12" s="34"/>
      <c r="M12" s="34"/>
      <c r="N12" s="34">
        <f>$C$32*'E Balans VL '!Y8/100/3.6*1000000</f>
        <v>388.95335758673338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13424.31490847963</v>
      </c>
      <c r="C16" s="22">
        <f t="shared" ca="1" si="1"/>
        <v>0</v>
      </c>
      <c r="D16" s="22">
        <f t="shared" ca="1" si="1"/>
        <v>11883.852858762457</v>
      </c>
      <c r="E16" s="22">
        <f t="shared" si="1"/>
        <v>106.90893544610914</v>
      </c>
      <c r="F16" s="22">
        <f t="shared" ca="1" si="1"/>
        <v>2549.369098560981</v>
      </c>
      <c r="G16" s="22">
        <f t="shared" si="1"/>
        <v>0</v>
      </c>
      <c r="H16" s="22">
        <f t="shared" si="1"/>
        <v>0</v>
      </c>
      <c r="I16" s="22">
        <f t="shared" si="1"/>
        <v>0</v>
      </c>
      <c r="J16" s="22">
        <f t="shared" si="1"/>
        <v>0</v>
      </c>
      <c r="K16" s="22">
        <f t="shared" si="1"/>
        <v>0</v>
      </c>
      <c r="L16" s="22">
        <f t="shared" ca="1" si="1"/>
        <v>0</v>
      </c>
      <c r="M16" s="22">
        <f t="shared" si="1"/>
        <v>0</v>
      </c>
      <c r="N16" s="22">
        <f t="shared" ca="1" si="1"/>
        <v>541.11635712345878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0.21272878042768847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2855.7381385581079</v>
      </c>
      <c r="C20" s="24">
        <f t="shared" ref="C20:P20" ca="1" si="2">C16*C18</f>
        <v>0</v>
      </c>
      <c r="D20" s="24">
        <f t="shared" ca="1" si="2"/>
        <v>2400.5382774700165</v>
      </c>
      <c r="E20" s="24">
        <f t="shared" si="2"/>
        <v>24.268328346266777</v>
      </c>
      <c r="F20" s="24">
        <f t="shared" ca="1" si="2"/>
        <v>680.68154931578192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3669.8280639558602</v>
      </c>
      <c r="C26" s="40">
        <f>IF(ISERROR(B26*3.6/1000000/'E Balans VL '!Z12*100),0,B26*3.6/1000000/'E Balans VL '!Z12*100)</f>
        <v>7.7981214611432328E-2</v>
      </c>
      <c r="D26" s="240" t="s">
        <v>707</v>
      </c>
      <c r="F26" s="6"/>
    </row>
    <row r="27" spans="1:18">
      <c r="A27" s="234" t="s">
        <v>53</v>
      </c>
      <c r="B27" s="34">
        <f>IF(ISERROR(TER_horeca_ele_kWh/1000),0,TER_horeca_ele_kWh/1000)</f>
        <v>681.98130201367997</v>
      </c>
      <c r="C27" s="40">
        <f>IF(ISERROR(B27*3.6/1000000/'E Balans VL '!Z9*100),0,B27*3.6/1000000/'E Balans VL '!Z9*100)</f>
        <v>5.3677202207014676E-2</v>
      </c>
      <c r="D27" s="240" t="s">
        <v>707</v>
      </c>
      <c r="F27" s="6"/>
    </row>
    <row r="28" spans="1:18">
      <c r="A28" s="174" t="s">
        <v>52</v>
      </c>
      <c r="B28" s="34">
        <f>IF(ISERROR(TER_handel_ele_kWh/1000),0,TER_handel_ele_kWh/1000)</f>
        <v>2213.7050577645</v>
      </c>
      <c r="C28" s="40">
        <f>IF(ISERROR(B28*3.6/1000000/'E Balans VL '!Z13*100),0,B28*3.6/1000000/'E Balans VL '!Z13*100)</f>
        <v>6.2007063396157837E-2</v>
      </c>
      <c r="D28" s="240" t="s">
        <v>707</v>
      </c>
      <c r="F28" s="6"/>
    </row>
    <row r="29" spans="1:18">
      <c r="A29" s="234" t="s">
        <v>51</v>
      </c>
      <c r="B29" s="34">
        <f>IF(ISERROR(TER_gezond_ele_kWh/1000),0,TER_gezond_ele_kWh/1000)</f>
        <v>285.78537574803602</v>
      </c>
      <c r="C29" s="40">
        <f>IF(ISERROR(B29*3.6/1000000/'E Balans VL '!Z10*100),0,B29*3.6/1000000/'E Balans VL '!Z10*100)</f>
        <v>3.6560591359893126E-2</v>
      </c>
      <c r="D29" s="240" t="s">
        <v>707</v>
      </c>
      <c r="F29" s="6"/>
    </row>
    <row r="30" spans="1:18">
      <c r="A30" s="234" t="s">
        <v>50</v>
      </c>
      <c r="B30" s="34">
        <f>IF(ISERROR(TER_ander_ele_kWh/1000),0,TER_ander_ele_kWh/1000)</f>
        <v>236.62927654214201</v>
      </c>
      <c r="C30" s="40">
        <f>IF(ISERROR(B30*3.6/1000000/'E Balans VL '!Z14*100),0,B30*3.6/1000000/'E Balans VL '!Z14*100)</f>
        <v>1.7697876012237306E-2</v>
      </c>
      <c r="D30" s="240" t="s">
        <v>707</v>
      </c>
      <c r="F30" s="6"/>
    </row>
    <row r="31" spans="1:18">
      <c r="A31" s="234" t="s">
        <v>55</v>
      </c>
      <c r="B31" s="34">
        <f>IF(ISERROR(TER_onderwijs_ele_kWh/1000),0,TER_onderwijs_ele_kWh/1000)</f>
        <v>422.804676551721</v>
      </c>
      <c r="C31" s="40">
        <f>IF(ISERROR(B31*3.6/1000000/'E Balans VL '!Z11*100),0,B31*3.6/1000000/'E Balans VL '!Z11*100)</f>
        <v>8.9275755125940479E-2</v>
      </c>
      <c r="D31" s="240" t="s">
        <v>707</v>
      </c>
    </row>
    <row r="32" spans="1:18">
      <c r="A32" s="234" t="s">
        <v>260</v>
      </c>
      <c r="B32" s="34">
        <f>IF(ISERROR(TER_rest_ele_kWh/1000),0,TER_rest_ele_kWh/1000)</f>
        <v>5913.5811559036893</v>
      </c>
      <c r="C32" s="40">
        <f>IF(ISERROR(B32*3.6/1000000/'E Balans VL '!Z8*100),0,B32*3.6/1000000/'E Balans VL '!Z8*100)</f>
        <v>4.8715679825798761E-2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8775.0853556915645</v>
      </c>
      <c r="C5" s="18">
        <f>IF(ISERROR('Eigen informatie GS &amp; warmtenet'!B59),0,'Eigen informatie GS &amp; warmtenet'!B59)</f>
        <v>0</v>
      </c>
      <c r="D5" s="31">
        <f>SUM(D6:D15)</f>
        <v>3237.0310730120918</v>
      </c>
      <c r="E5" s="18">
        <f>SUM(E6:E15)</f>
        <v>79.372224882911681</v>
      </c>
      <c r="F5" s="18">
        <f>SUM(F6:F15)</f>
        <v>1970.4793617765224</v>
      </c>
      <c r="G5" s="19"/>
      <c r="H5" s="18"/>
      <c r="I5" s="18"/>
      <c r="J5" s="18">
        <f>SUM(J6:J15)</f>
        <v>45.01584436047299</v>
      </c>
      <c r="K5" s="18"/>
      <c r="L5" s="18"/>
      <c r="M5" s="18"/>
      <c r="N5" s="18">
        <f>SUM(N6:N15)</f>
        <v>271.28042134297704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417.970681200157</v>
      </c>
      <c r="C8" s="34"/>
      <c r="D8" s="38">
        <f>IF( ISERROR(IND_metaal_Gas_kWH/1000),0,IND_metaal_Gas_kWH/1000)*0.902</f>
        <v>0</v>
      </c>
      <c r="E8" s="34">
        <f>C30*'E Balans VL '!I18/100/3.6*1000000</f>
        <v>3.806383670209287</v>
      </c>
      <c r="F8" s="34">
        <f>C30*'E Balans VL '!L18/100/3.6*1000000+C30*'E Balans VL '!N18/100/3.6*1000000</f>
        <v>55.127158726430388</v>
      </c>
      <c r="G8" s="35"/>
      <c r="H8" s="34"/>
      <c r="I8" s="34"/>
      <c r="J8" s="41">
        <f>C30*'E Balans VL '!D18/100/3.6*1000000+C30*'E Balans VL '!E18/100/3.6*1000000</f>
        <v>6.8541123001062649</v>
      </c>
      <c r="K8" s="34"/>
      <c r="L8" s="34"/>
      <c r="M8" s="34"/>
      <c r="N8" s="34">
        <f>C30*'E Balans VL '!Y18/100/3.6*1000000</f>
        <v>1.4363991928577533</v>
      </c>
      <c r="O8" s="34"/>
      <c r="P8" s="34"/>
      <c r="R8" s="33"/>
    </row>
    <row r="9" spans="1:18">
      <c r="A9" s="6" t="s">
        <v>33</v>
      </c>
      <c r="B9" s="38">
        <f t="shared" si="0"/>
        <v>483.29961122329496</v>
      </c>
      <c r="C9" s="34"/>
      <c r="D9" s="38">
        <f>IF( ISERROR(IND_andere_gas_kWh/1000),0,IND_andere_gas_kWh/1000)*0.902</f>
        <v>332.64450134636706</v>
      </c>
      <c r="E9" s="34">
        <f>C31*'E Balans VL '!I19/100/3.6*1000000</f>
        <v>2.7935439760237499</v>
      </c>
      <c r="F9" s="34">
        <f>C31*'E Balans VL '!L19/100/3.6*1000000+C31*'E Balans VL '!N19/100/3.6*1000000</f>
        <v>384.48809618517095</v>
      </c>
      <c r="G9" s="35"/>
      <c r="H9" s="34"/>
      <c r="I9" s="34"/>
      <c r="J9" s="41">
        <f>C31*'E Balans VL '!D19/100/3.6*1000000+C31*'E Balans VL '!E19/100/3.6*1000000</f>
        <v>4.5714774881694016E-2</v>
      </c>
      <c r="K9" s="34"/>
      <c r="L9" s="34"/>
      <c r="M9" s="34"/>
      <c r="N9" s="34">
        <f>C31*'E Balans VL '!Y19/100/3.6*1000000</f>
        <v>36.617259471675276</v>
      </c>
      <c r="O9" s="34"/>
      <c r="P9" s="34"/>
      <c r="R9" s="33"/>
    </row>
    <row r="10" spans="1:18">
      <c r="A10" s="6" t="s">
        <v>41</v>
      </c>
      <c r="B10" s="38">
        <f t="shared" si="0"/>
        <v>327.846416833869</v>
      </c>
      <c r="C10" s="34"/>
      <c r="D10" s="38">
        <f>IF( ISERROR(IND_voed_gas_kWh/1000),0,IND_voed_gas_kWh/1000)*0.902</f>
        <v>84.134303430891833</v>
      </c>
      <c r="E10" s="34">
        <f>C32*'E Balans VL '!I20/100/3.6*1000000</f>
        <v>3.2235879733113548</v>
      </c>
      <c r="F10" s="34">
        <f>C32*'E Balans VL '!L20/100/3.6*1000000+C32*'E Balans VL '!N20/100/3.6*1000000</f>
        <v>36.41162385209514</v>
      </c>
      <c r="G10" s="35"/>
      <c r="H10" s="34"/>
      <c r="I10" s="34"/>
      <c r="J10" s="41">
        <f>C32*'E Balans VL '!D20/100/3.6*1000000+C32*'E Balans VL '!E20/100/3.6*1000000</f>
        <v>1.2921915620598768E-3</v>
      </c>
      <c r="K10" s="34"/>
      <c r="L10" s="34"/>
      <c r="M10" s="34"/>
      <c r="N10" s="34">
        <f>C32*'E Balans VL '!Y20/100/3.6*1000000</f>
        <v>4.8546342572492911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106.49869789316499</v>
      </c>
      <c r="C12" s="34"/>
      <c r="D12" s="38">
        <f>IF( ISERROR(IND_min_gas_kWh/1000),0,IND_min_gas_kWh/1000)*0.902</f>
        <v>110.80359015674982</v>
      </c>
      <c r="E12" s="34">
        <f>C34*'E Balans VL '!I22/100/3.6*1000000</f>
        <v>2.6999315055004334</v>
      </c>
      <c r="F12" s="34">
        <f>C34*'E Balans VL '!L22/100/3.6*1000000+C34*'E Balans VL '!N22/100/3.6*1000000</f>
        <v>29.468560917864615</v>
      </c>
      <c r="G12" s="35"/>
      <c r="H12" s="34"/>
      <c r="I12" s="34"/>
      <c r="J12" s="41">
        <f>C34*'E Balans VL '!D22/100/3.6*1000000+C34*'E Balans VL '!E22/100/3.6*1000000</f>
        <v>0.70333880189861642</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7439.4699485410792</v>
      </c>
      <c r="C15" s="34"/>
      <c r="D15" s="38">
        <f>IF( ISERROR(IND_rest_gas_kWh/1000),0,IND_rest_gas_kWh/1000)*0.902</f>
        <v>2709.448678078083</v>
      </c>
      <c r="E15" s="34">
        <f>C37*'E Balans VL '!I15/100/3.6*1000000</f>
        <v>66.848777757866856</v>
      </c>
      <c r="F15" s="34">
        <f>C37*'E Balans VL '!L15/100/3.6*1000000+C37*'E Balans VL '!N15/100/3.6*1000000</f>
        <v>1464.9839220949614</v>
      </c>
      <c r="G15" s="35"/>
      <c r="H15" s="34"/>
      <c r="I15" s="34"/>
      <c r="J15" s="41">
        <f>C37*'E Balans VL '!D15/100/3.6*1000000+C37*'E Balans VL '!E15/100/3.6*1000000</f>
        <v>37.411386292024353</v>
      </c>
      <c r="K15" s="34"/>
      <c r="L15" s="34"/>
      <c r="M15" s="34"/>
      <c r="N15" s="34">
        <f>C37*'E Balans VL '!Y15/100/3.6*1000000</f>
        <v>228.3721284211947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8775.0853556915645</v>
      </c>
      <c r="C18" s="22">
        <f>C5+C16</f>
        <v>0</v>
      </c>
      <c r="D18" s="22">
        <f>MAX((D5+D16),0)</f>
        <v>3237.0310730120918</v>
      </c>
      <c r="E18" s="22">
        <f>MAX((E5+E16),0)</f>
        <v>79.372224882911681</v>
      </c>
      <c r="F18" s="22">
        <f>MAX((F5+F16),0)</f>
        <v>1970.4793617765224</v>
      </c>
      <c r="G18" s="22"/>
      <c r="H18" s="22"/>
      <c r="I18" s="22"/>
      <c r="J18" s="22">
        <f>MAX((J5+J16),0)</f>
        <v>45.01584436047299</v>
      </c>
      <c r="K18" s="22"/>
      <c r="L18" s="22">
        <f>MAX((L5+L16),0)</f>
        <v>0</v>
      </c>
      <c r="M18" s="22"/>
      <c r="N18" s="22">
        <f>MAX((N5+N16),0)</f>
        <v>271.28042134297704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0.21272878042768847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1866.7132058651355</v>
      </c>
      <c r="C22" s="24">
        <f ca="1">C18*C20</f>
        <v>0</v>
      </c>
      <c r="D22" s="24">
        <f>D18*D20</f>
        <v>653.88027674844261</v>
      </c>
      <c r="E22" s="24">
        <f>E18*E20</f>
        <v>18.017495048420951</v>
      </c>
      <c r="F22" s="24">
        <f>F18*F20</f>
        <v>526.11798959433156</v>
      </c>
      <c r="G22" s="24"/>
      <c r="H22" s="24"/>
      <c r="I22" s="24"/>
      <c r="J22" s="24">
        <f>J18*J20</f>
        <v>15.935608903607438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417.970681200157</v>
      </c>
      <c r="C30" s="40">
        <f>IF(ISERROR(B30*3.6/1000000/'E Balans VL '!Z18*100),0,B30*3.6/1000000/'E Balans VL '!Z18*100)</f>
        <v>2.3257273462823462E-2</v>
      </c>
      <c r="D30" s="240" t="s">
        <v>707</v>
      </c>
    </row>
    <row r="31" spans="1:18">
      <c r="A31" s="6" t="s">
        <v>33</v>
      </c>
      <c r="B31" s="38">
        <f>IF( ISERROR(IND_ander_ele_kWh/1000),0,IND_ander_ele_kWh/1000)</f>
        <v>483.29961122329496</v>
      </c>
      <c r="C31" s="40">
        <f>IF(ISERROR(B31*3.6/1000000/'E Balans VL '!Z19*100),0,B31*3.6/1000000/'E Balans VL '!Z19*100)</f>
        <v>2.2467329634689209E-2</v>
      </c>
      <c r="D31" s="240" t="s">
        <v>707</v>
      </c>
    </row>
    <row r="32" spans="1:18">
      <c r="A32" s="174" t="s">
        <v>41</v>
      </c>
      <c r="B32" s="38">
        <f>IF( ISERROR(IND_voed_ele_kWh/1000),0,IND_voed_ele_kWh/1000)</f>
        <v>327.846416833869</v>
      </c>
      <c r="C32" s="40">
        <f>IF(ISERROR(B32*3.6/1000000/'E Balans VL '!Z20*100),0,B32*3.6/1000000/'E Balans VL '!Z20*100)</f>
        <v>1.158870872119766E-2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106.49869789316499</v>
      </c>
      <c r="C34" s="40">
        <f>IF(ISERROR(B34*3.6/1000000/'E Balans VL '!Z22*100),0,B34*3.6/1000000/'E Balans VL '!Z22*100)</f>
        <v>2.1403235114704697E-2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7439.4699485410792</v>
      </c>
      <c r="C37" s="40">
        <f>IF(ISERROR(B37*3.6/1000000/'E Balans VL '!Z15*100),0,B37*3.6/1000000/'E Balans VL '!Z15*100)</f>
        <v>5.6178987870415177E-2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60.085393888371499</v>
      </c>
      <c r="C5" s="18">
        <f>'Eigen informatie GS &amp; warmtenet'!B60</f>
        <v>0</v>
      </c>
      <c r="D5" s="31">
        <f>IF(ISERROR(SUM(LB_lb_gas_kWh,LB_rest_gas_kWh)/1000),0,SUM(LB_lb_gas_kWh,LB_rest_gas_kWh)/1000)*0.902</f>
        <v>49.116416214418678</v>
      </c>
      <c r="E5" s="18">
        <f>B17*'E Balans VL '!I25/3.6*1000000/100</f>
        <v>0.56604466896296934</v>
      </c>
      <c r="F5" s="18">
        <f>B17*('E Balans VL '!L25/3.6*1000000+'E Balans VL '!N25/3.6*1000000)/100</f>
        <v>196.07858084873999</v>
      </c>
      <c r="G5" s="19"/>
      <c r="H5" s="18"/>
      <c r="I5" s="18"/>
      <c r="J5" s="18">
        <f>('E Balans VL '!D25+'E Balans VL '!E25)/3.6*1000000*landbouw!B17/100</f>
        <v>7.4328554792912884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60.085393888371499</v>
      </c>
      <c r="C8" s="22">
        <f>C5+C6</f>
        <v>0</v>
      </c>
      <c r="D8" s="22">
        <f>MAX((D5+D6),0)</f>
        <v>49.116416214418678</v>
      </c>
      <c r="E8" s="22">
        <f>MAX((E5+E6),0)</f>
        <v>0.56604466896296934</v>
      </c>
      <c r="F8" s="22">
        <f>MAX((F5+F6),0)</f>
        <v>196.07858084873999</v>
      </c>
      <c r="G8" s="22"/>
      <c r="H8" s="22"/>
      <c r="I8" s="22"/>
      <c r="J8" s="22">
        <f>MAX((J5+J6),0)</f>
        <v>7.4328554792912884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0.21272878042768847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12.781892563390555</v>
      </c>
      <c r="C12" s="24">
        <f ca="1">C8*C10</f>
        <v>0</v>
      </c>
      <c r="D12" s="24">
        <f>D8*D10</f>
        <v>9.9215160753125726</v>
      </c>
      <c r="E12" s="24">
        <f>E8*E10</f>
        <v>0.12849213985459404</v>
      </c>
      <c r="F12" s="24">
        <f>F8*F10</f>
        <v>52.352981086613582</v>
      </c>
      <c r="G12" s="24"/>
      <c r="H12" s="24"/>
      <c r="I12" s="24"/>
      <c r="J12" s="24">
        <f>J8*J10</f>
        <v>2.631230839669116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8.1346021985837357E-3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18.088545667705439</v>
      </c>
      <c r="C26" s="250">
        <f>B26*'GWP N2O_CH4'!B5</f>
        <v>379.85945902181425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2.382488544068043</v>
      </c>
      <c r="C27" s="250">
        <f>B27*'GWP N2O_CH4'!B5</f>
        <v>50.032259425428904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0.24295077780604488</v>
      </c>
      <c r="C28" s="250">
        <f>B28*'GWP N2O_CH4'!B4</f>
        <v>75.314741119873915</v>
      </c>
      <c r="D28" s="51"/>
    </row>
    <row r="29" spans="1:4">
      <c r="A29" s="42" t="s">
        <v>277</v>
      </c>
      <c r="B29" s="250">
        <f>B34*'ha_N2O bodem landbouw'!B4</f>
        <v>1.1968341733484813</v>
      </c>
      <c r="C29" s="250">
        <f>B29*'GWP N2O_CH4'!B4</f>
        <v>371.01859373802921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3.2310755014495172E-4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2.5193684725555875E-6</v>
      </c>
      <c r="C5" s="447" t="s">
        <v>211</v>
      </c>
      <c r="D5" s="432">
        <f>SUM(D6:D11)</f>
        <v>8.2194767881936062E-6</v>
      </c>
      <c r="E5" s="432">
        <f>SUM(E6:E11)</f>
        <v>4.6434310649685564E-4</v>
      </c>
      <c r="F5" s="445" t="s">
        <v>211</v>
      </c>
      <c r="G5" s="432">
        <f>SUM(G6:G11)</f>
        <v>7.9244464596051292E-2</v>
      </c>
      <c r="H5" s="432">
        <f>SUM(H6:H11)</f>
        <v>1.8018908596140602E-2</v>
      </c>
      <c r="I5" s="447" t="s">
        <v>211</v>
      </c>
      <c r="J5" s="447" t="s">
        <v>211</v>
      </c>
      <c r="K5" s="447" t="s">
        <v>211</v>
      </c>
      <c r="L5" s="447" t="s">
        <v>211</v>
      </c>
      <c r="M5" s="432">
        <f>SUM(M6:M11)</f>
        <v>4.3530044552330732E-3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1.4534913169747143E-6</v>
      </c>
      <c r="C6" s="433"/>
      <c r="D6" s="433">
        <f>vkm_2011_GW_PW*SUMIFS(TableVerdeelsleutelVkm[CNG],TableVerdeelsleutelVkm[Voertuigtype],"Lichte voertuigen")*SUMIFS(TableECFTransport[EnergieConsumptieFactor (PJ per km)],TableECFTransport[Index],CONCATENATE($A6,"_CNG_CNG"))</f>
        <v>3.5494501378260591E-6</v>
      </c>
      <c r="E6" s="435">
        <f>vkm_2011_GW_PW*SUMIFS(TableVerdeelsleutelVkm[LPG],TableVerdeelsleutelVkm[Voertuigtype],"Lichte voertuigen")*SUMIFS(TableECFTransport[EnergieConsumptieFactor (PJ per km)],TableECFTransport[Index],CONCATENATE($A6,"_LPG_LPG"))</f>
        <v>2.1039306110531153E-4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3.0414791936579196E-2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7.9708431657913182E-3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1.7189794313669858E-3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9.8312080367970473E-3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3.9665091562630798E-6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4.3797727628484015E-4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1.0658771555808732E-6</v>
      </c>
      <c r="C8" s="433"/>
      <c r="D8" s="435">
        <f>vkm_2011_NGW_PW*SUMIFS(TableVerdeelsleutelVkm[CNG],TableVerdeelsleutelVkm[Voertuigtype],"Lichte voertuigen")*SUMIFS(TableECFTransport[EnergieConsumptieFactor (PJ per km)],TableECFTransport[Index],CONCATENATE($A8,"_CNG_CNG"))</f>
        <v>4.6700266503675463E-6</v>
      </c>
      <c r="E8" s="435">
        <f>vkm_2011_NGW_PW*SUMIFS(TableVerdeelsleutelVkm[LPG],TableVerdeelsleutelVkm[Voertuigtype],"Lichte voertuigen")*SUMIFS(TableECFTransport[EnergieConsumptieFactor (PJ per km)],TableECFTransport[Index],CONCATENATE($A8,"_LPG_LPG"))</f>
        <v>2.5395004539154411E-4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3.4680770094816071E-2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1.0042582150821195E-2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2.0037060948020968E-3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4.3176945278589705E-3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1.516770371826085E-6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1.9234165277915046E-4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0.69982457570988543</v>
      </c>
      <c r="C14" s="22"/>
      <c r="D14" s="22">
        <f t="shared" ref="D14:M14" si="0">((D5)*10^9/3600)+D12</f>
        <v>2.283187996720446</v>
      </c>
      <c r="E14" s="22">
        <f t="shared" si="0"/>
        <v>128.98419624912657</v>
      </c>
      <c r="F14" s="22"/>
      <c r="G14" s="22">
        <f t="shared" si="0"/>
        <v>22012.351276680914</v>
      </c>
      <c r="H14" s="22">
        <f t="shared" si="0"/>
        <v>5005.2523878168331</v>
      </c>
      <c r="I14" s="22"/>
      <c r="J14" s="22"/>
      <c r="K14" s="22"/>
      <c r="L14" s="22"/>
      <c r="M14" s="22">
        <f t="shared" si="0"/>
        <v>1209.1679042314092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0.21272878042768847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0.14887282850408848</v>
      </c>
      <c r="C18" s="24"/>
      <c r="D18" s="24">
        <f t="shared" ref="D18:M18" si="1">D14*D16</f>
        <v>0.4612039753375301</v>
      </c>
      <c r="E18" s="24">
        <f t="shared" si="1"/>
        <v>29.279412548551733</v>
      </c>
      <c r="F18" s="24"/>
      <c r="G18" s="24">
        <f t="shared" si="1"/>
        <v>5877.2977908738048</v>
      </c>
      <c r="H18" s="24">
        <f t="shared" si="1"/>
        <v>1246.3078445663914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4.3050353495814762E-3</v>
      </c>
      <c r="H50" s="323">
        <f t="shared" si="2"/>
        <v>0</v>
      </c>
      <c r="I50" s="323">
        <f t="shared" si="2"/>
        <v>0</v>
      </c>
      <c r="J50" s="323">
        <f t="shared" si="2"/>
        <v>0</v>
      </c>
      <c r="K50" s="323">
        <f t="shared" si="2"/>
        <v>0</v>
      </c>
      <c r="L50" s="323">
        <f t="shared" si="2"/>
        <v>0</v>
      </c>
      <c r="M50" s="323">
        <f t="shared" si="2"/>
        <v>1.8904120380014457E-4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4.3050353495814762E-3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1.8904120380014457E-4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1195.8431526615211</v>
      </c>
      <c r="H54" s="22">
        <f t="shared" si="3"/>
        <v>0</v>
      </c>
      <c r="I54" s="22">
        <f t="shared" si="3"/>
        <v>0</v>
      </c>
      <c r="J54" s="22">
        <f t="shared" si="3"/>
        <v>0</v>
      </c>
      <c r="K54" s="22">
        <f t="shared" si="3"/>
        <v>0</v>
      </c>
      <c r="L54" s="22">
        <f t="shared" si="3"/>
        <v>0</v>
      </c>
      <c r="M54" s="22">
        <f t="shared" si="3"/>
        <v>52.511445500040161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0.21272878042768847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319.29012176062616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1779.7593771588172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1779.7593771588172</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2019-08-12T07:53:22Z</dcterms:modified>
</cp:coreProperties>
</file>