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<sst xmlns="http://schemas.openxmlformats.org/spreadsheetml/2006/main" count="2495" uniqueCount="954">
  <si>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</si>
  <si>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</si>
  <si>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</si>
  <si>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</si>
  <si>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</si>
  <si>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</si>
  <si>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</si>
  <si>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</si>
  <si>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</si>
  <si>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</si>
  <si>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</si>
  <si>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</si>
  <si>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</si>
  <si>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</si>
  <si>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</si>
  <si>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</si>
  <si>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</si>
  <si>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</si>
  <si>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</si>
  <si>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</si>
  <si>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</si>
  <si>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</si>
  <si>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</si>
  <si>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</si>
  <si>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</si>
  <si>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</si>
  <si>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</si>
  <si>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</si>
  <si>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</si>
  <si>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</si>
  <si>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</si>
  <si>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</si>
  <si>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</si>
  <si>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</si>
  <si>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</si>
  <si>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</si>
  <si>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</si>
  <si>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</si>
  <si>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</si>
  <si>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</si>
  <si>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</si>
  <si>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</si>
  <si>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</si>
  <si>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</si>
  <si>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</si>
  <si>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</si>
  <si>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</si>
  <si>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</si>
  <si>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</si>
  <si>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</si>
  <si>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</si>
  <si>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</si>
  <si>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</si>
  <si>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</si>
  <si>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</si>
  <si>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</si>
  <si>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</si>
  <si>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</si>
  <si>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</si>
  <si>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</si>
  <si>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</si>
  <si>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</si>
  <si>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</si>
  <si>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</si>
  <si>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</si>
  <si>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</si>
  <si>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</si>
  <si>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</si>
  <si>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</si>
  <si>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</si>
  <si>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</si>
  <si>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</si>
  <si>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</si>
  <si>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</si>
  <si>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</si>
  <si>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</si>
  <si>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</si>
  <si>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</si>
  <si>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</si>
  <si>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</si>
  <si>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</si>
  <si>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</si>
  <si>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</si>
  <si>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</si>
  <si>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</si>
  <si>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</si>
  <si>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</si>
  <si>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</si>
  <si>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</si>
  <si>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</si>
  <si>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</si>
  <si>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</si>
  <si>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</si>
  <si>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</si>
  <si>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</si>
  <si>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</si>
  <si>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</si>
  <si>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</si>
  <si>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</si>
  <si>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</si>
  <si>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</si>
  <si>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</si>
  <si>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</si>
  <si>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</si>
  <si>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</si>
  <si>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</si>
  <si>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</si>
  <si>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</si>
  <si>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</si>
  <si>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</si>
  <si>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</si>
  <si>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</si>
  <si>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</si>
  <si>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</si>
  <si>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</si>
  <si>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</si>
  <si>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</si>
  <si>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</si>
  <si>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</si>
  <si>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</si>
  <si>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</si>
  <si>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</si>
  <si>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</si>
  <si>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</si>
  <si>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</si>
  <si>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</si>
  <si>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</si>
  <si>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</si>
  <si>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</si>
  <si>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</si>
  <si>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</si>
  <si>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</si>
  <si>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</si>
  <si>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</si>
  <si>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</si>
  <si>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</si>
  <si>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</si>
  <si>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</si>
  <si>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</si>
  <si>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</si>
  <si>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</si>
  <si>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</si>
  <si>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</si>
  <si>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</si>
  <si>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</si>
  <si>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</si>
  <si>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</si>
  <si>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</si>
  <si>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</si>
  <si>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</si>
  <si>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</si>
  <si>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</si>
  <si>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</si>
  <si>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</si>
  <si>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</si>
  <si>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</si>
  <si>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</si>
  <si>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</si>
  <si>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</si>
  <si>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</si>
  <si>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</si>
  <si>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</si>
  <si>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</si>
  <si>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</si>
  <si>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</si>
  <si>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</si>
  <si>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</si>
  <si>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</si>
  <si>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</si>
  <si>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</si>
  <si>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</si>
  <si>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</si>
  <si>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</si>
  <si>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</si>
  <si>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</si>
  <si>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</si>
  <si>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</si>
  <si>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</si>
  <si>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</si>
  <si>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</si>
  <si>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</si>
  <si>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</si>
  <si>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</si>
  <si>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</si>
  <si>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</si>
  <si>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</si>
  <si>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</si>
  <si>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</si>
  <si>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</si>
  <si>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</si>
  <si>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</si>
  <si>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</si>
  <si>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</si>
  <si>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</si>
  <si>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</si>
  <si>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</si>
  <si>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</si>
  <si>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</si>
  <si>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</si>
  <si>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</si>
  <si>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</si>
  <si>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</si>
  <si>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</si>
  <si>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</si>
  <si>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</si>
  <si>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</si>
  <si>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</si>
  <si>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</si>
  <si>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</si>
  <si>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</si>
  <si>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</si>
  <si>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</si>
  <si>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</si>
  <si>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</si>
  <si>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</si>
  <si>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</si>
  <si>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</si>
  <si>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</si>
  <si>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</si>
  <si>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</si>
  <si>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</si>
  <si>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</si>
  <si>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</si>
  <si>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</si>
  <si>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</si>
  <si>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</si>
  <si>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</si>
  <si>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</si>
  <si>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</si>
  <si>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</si>
  <si>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</si>
  <si>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</si>
  <si>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</si>
  <si>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</si>
  <si>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</si>
  <si>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</si>
  <si>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</si>
  <si>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</si>
  <si>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</si>
  <si>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</si>
  <si>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</si>
  <si>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</si>
  <si>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</si>
  <si>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</si>
  <si>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</si>
  <si>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</si>
  <si>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</si>
  <si>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</si>
  <si>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</si>
  <si>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</si>
  <si>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</si>
  <si>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</si>
  <si>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</si>
  <si>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</si>
  <si>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</si>
  <si>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</si>
  <si>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</si>
  <si>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</si>
  <si>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</si>
  <si>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</si>
  <si>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</si>
  <si>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</si>
  <si>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</si>
  <si>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</si>
  <si>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</si>
  <si>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</si>
  <si>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</si>
  <si>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</si>
  <si>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</si>
  <si>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</si>
  <si>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</si>
  <si>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</si>
  <si>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</si>
  <si>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</si>
  <si>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</si>
  <si>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</si>
  <si>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</si>
  <si>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</si>
  <si>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</si>
  <si>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</si>
  <si>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</si>
  <si>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</si>
  <si>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</si>
  <si>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</si>
  <si>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</si>
  <si>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</si>
  <si>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</si>
  <si>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</si>
  <si>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</si>
  <si>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</si>
  <si>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</si>
  <si>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</si>
  <si>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</si>
  <si>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</si>
  <si>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</si>
  <si>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</si>
  <si>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</si>
  <si>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</si>
  <si>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</si>
  <si>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</si>
  <si>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</si>
  <si>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</si>
  <si>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</si>
  <si>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</si>
  <si>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</si>
  <si>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</si>
  <si>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</si>
  <si>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</si>
  <si>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</si>
  <si>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</si>
  <si>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</si>
  <si>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</si>
  <si>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</si>
  <si>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</si>
  <si>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</si>
  <si>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</si>
  <si>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</si>
  <si>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</si>
  <si>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</si>
  <si>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</si>
  <si>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</si>
  <si>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</si>
  <si>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</si>
  <si>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</si>
  <si>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</si>
  <si>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</si>
  <si>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</si>
  <si>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</si>
  <si>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</si>
  <si>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</si>
  <si>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</si>
  <si>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</si>
  <si>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</si>
  <si>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</si>
  <si>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</si>
  <si>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</si>
  <si>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</si>
  <si>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</si>
  <si>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</si>
  <si>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</si>
  <si>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</si>
  <si>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</si>
  <si>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</si>
  <si>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</si>
  <si>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</si>
  <si>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</si>
  <si>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</si>
  <si>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</si>
  <si>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</si>
  <si>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</si>
  <si>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</si>
  <si>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</si>
  <si>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</si>
  <si>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</si>
  <si>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</si>
  <si>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</si>
  <si>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</si>
  <si>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</si>
  <si>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</si>
  <si>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</si>
  <si>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</si>
  <si>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</si>
  <si>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</si>
  <si>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</si>
  <si>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</si>
  <si>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</si>
  <si>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</si>
  <si>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</si>
  <si>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</si>
  <si>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</si>
  <si>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</si>
  <si>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</si>
  <si>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</si>
  <si>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</si>
  <si>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</si>
  <si>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</si>
  <si>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</si>
  <si>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</si>
  <si>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</si>
  <si>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</si>
  <si>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</si>
  <si>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</si>
  <si>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</si>
  <si>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</si>
  <si>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</si>
  <si>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</si>
  <si>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</si>
  <si>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</si>
  <si>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</si>
  <si>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</si>
  <si>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</si>
  <si>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</si>
  <si>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</si>
  <si>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</si>
  <si>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</si>
  <si>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</si>
  <si>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</si>
  <si>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</si>
  <si>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</si>
  <si>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</si>
  <si>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</si>
  <si>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</si>
  <si>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</si>
  <si>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</si>
  <si>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</si>
  <si>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</si>
  <si>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</si>
  <si>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</si>
  <si>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</si>
  <si>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</si>
  <si>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</si>
  <si>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</si>
  <si>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</si>
  <si>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</si>
  <si>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</si>
  <si>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</si>
  <si>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</si>
  <si>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</si>
  <si>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</si>
  <si>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</si>
  <si>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</si>
  <si>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</si>
  <si>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</si>
  <si>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</si>
  <si>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</si>
  <si>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</si>
  <si>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</si>
  <si>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</si>
  <si>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</si>
  <si>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</si>
  <si>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</si>
  <si>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</si>
  <si>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</si>
  <si>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</si>
  <si>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</si>
  <si>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</si>
  <si>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</si>
  <si>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</si>
  <si>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</si>
  <si>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</si>
  <si>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</si>
  <si>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</si>
  <si>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</si>
  <si>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</si>
  <si>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</si>
  <si>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</si>
  <si>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</si>
  <si>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</si>
  <si>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</si>
  <si>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</si>
  <si>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</si>
  <si>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</si>
  <si>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</si>
  <si>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</si>
  <si>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</si>
  <si>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</si>
  <si>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</si>
  <si>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</si>
  <si>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</si>
  <si>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</si>
  <si>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</si>
  <si>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</si>
  <si>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</si>
  <si>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</si>
  <si>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</si>
  <si>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</si>
  <si>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</si>
  <si>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</si>
  <si>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</si>
  <si>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</si>
  <si>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</si>
  <si>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</si>
  <si>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</si>
  <si>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</si>
  <si>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</si>
  <si>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</si>
  <si>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</si>
  <si>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</si>
  <si>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</si>
  <si>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</si>
  <si>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</si>
  <si>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</si>
  <si>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</si>
  <si>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</si>
  <si>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</si>
  <si>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</si>
  <si>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</si>
  <si>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</si>
  <si>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</si>
  <si>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</si>
  <si>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</si>
  <si>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</si>
  <si>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</si>
  <si>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</si>
  <si>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</si>
  <si>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</si>
  <si>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</si>
  <si>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</si>
  <si>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</si>
  <si>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</si>
  <si>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</si>
  <si>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</si>
  <si>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</si>
  <si>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</si>
  <si>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</si>
  <si>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</si>
  <si>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</si>
  <si>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</si>
  <si>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</si>
  <si>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</si>
  <si>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</si>
  <si>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</si>
  <si>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</si>
  <si>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</si>
  <si>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</si>
  <si>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</si>
  <si>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</si>
  <si>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</si>
  <si>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</si>
  <si>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</si>
  <si>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</si>
  <si>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</si>
  <si>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</si>
  <si>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</si>
  <si>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</si>
  <si>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</si>
  <si>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</si>
  <si>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</si>
  <si>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</si>
  <si>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</si>
  <si>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</si>
  <si>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</si>
  <si>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</si>
  <si>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</si>
  <si>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</si>
  <si>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</si>
  <si>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</si>
  <si>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</si>
  <si>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</si>
  <si>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</si>
  <si>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</si>
  <si>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</si>
  <si>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</si>
  <si>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</si>
  <si>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</si>
  <si>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</si>
  <si>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</si>
  <si>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</si>
  <si>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</si>
  <si>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</si>
  <si>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</si>
  <si>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</si>
  <si>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</si>
  <si>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</si>
  <si>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</si>
  <si>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</si>
  <si>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</si>
  <si>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</si>
  <si>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</si>
  <si>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</si>
  <si>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</si>
  <si>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</si>
  <si>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</si>
  <si>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</si>
  <si>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</si>
  <si>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</si>
  <si>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</si>
  <si>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</si>
  <si>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</si>
  <si>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</si>
  <si>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</si>
  <si>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</si>
  <si>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</si>
  <si>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</si>
  <si>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</si>
  <si>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</si>
  <si>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</si>
  <si>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</si>
  <si>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</si>
  <si>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</si>
  <si>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</si>
  <si>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</si>
  <si>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</si>
  <si>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</si>
  <si>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</si>
  <si>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</si>
  <si>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</si>
  <si>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</si>
  <si>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</si>
  <si>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</si>
  <si>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</si>
  <si>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</si>
  <si>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</si>
  <si>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</si>
  <si>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</si>
  <si>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</si>
  <si>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</si>
  <si>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</si>
  <si>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</si>
  <si>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</si>
  <si>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</si>
  <si>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</si>
  <si>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</si>
  <si>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</si>
  <si>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</si>
  <si>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</si>
  <si>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</si>
  <si>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</si>
  <si>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</si>
  <si>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</si>
  <si>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</si>
  <si>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</si>
  <si>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</si>
  <si>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</si>
  <si>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</si>
  <si>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</si>
  <si>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</si>
  <si>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</si>
  <si>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</si>
  <si>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</si>
  <si>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</si>
  <si>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</si>
  <si>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</si>
  <si>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</si>
  <si>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</si>
  <si>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</si>
  <si>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</si>
  <si>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</si>
  <si>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</si>
  <si>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</si>
  <si>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</si>
  <si>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</si>
  <si>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</si>
  <si>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</si>
  <si>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</si>
  <si>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</si>
  <si>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</si>
  <si>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</si>
  <si>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</si>
  <si>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</si>
  <si>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</si>
  <si>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</si>
  <si>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</si>
  <si>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</si>
  <si>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</si>
  <si>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</si>
  <si>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</si>
  <si>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</si>
  <si>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</si>
  <si>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</si>
  <si>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</si>
  <si>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</si>
  <si>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</si>
  <si>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</si>
  <si>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</si>
  <si>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</si>
  <si>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</si>
  <si>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</si>
  <si>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</si>
  <si>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</si>
  <si>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</si>
  <si>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</si>
  <si>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</si>
  <si>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</si>
  <si>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</si>
  <si>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</si>
  <si>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</si>
  <si>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</si>
  <si>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</si>
  <si>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</si>
  <si>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</si>
  <si>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</si>
  <si>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</si>
  <si>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</si>
  <si>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</si>
  <si>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</si>
  <si>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</si>
  <si>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</si>
  <si>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</si>
  <si>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</si>
  <si>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</si>
  <si>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</si>
  <si>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</si>
  <si>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</si>
  <si>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</si>
  <si>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</si>
  <si>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</si>
  <si>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</si>
  <si>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</si>
  <si>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</si>
  <si>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</si>
  <si>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</si>
  <si>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</si>
  <si>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</si>
  <si>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</si>
  <si>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</si>
  <si>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</si>
  <si>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</si>
  <si>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</si>
  <si>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</si>
  <si>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</si>
  <si>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</si>
  <si>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</si>
  <si>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</si>
  <si>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</si>
  <si>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</si>
  <si>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</si>
  <si>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</si>
  <si>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</si>
  <si>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</si>
  <si>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</si>
  <si>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</si>
  <si>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</si>
  <si>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</si>
  <si>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</si>
  <si>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</si>
  <si>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</si>
  <si>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</si>
  <si>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</si>
  <si>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</si>
  <si>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</si>
  <si>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</si>
  <si>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</si>
  <si>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</si>
  <si>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</si>
  <si>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</si>
  <si>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</si>
  <si>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</si>
  <si>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</si>
  <si>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</si>
  <si>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</si>
  <si>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</si>
  <si>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</si>
  <si>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</si>
  <si>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</si>
  <si>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</si>
  <si>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</si>
  <si>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</si>
  <si>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</si>
  <si>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</si>
  <si>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</si>
  <si>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</si>
  <si>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</si>
  <si>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</si>
  <si>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</si>
  <si>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</si>
  <si>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</si>
  <si>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</si>
  <si>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</si>
  <si>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</si>
  <si>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</si>
  <si>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</si>
  <si>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</si>
  <si>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</si>
  <si>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</si>
  <si>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</si>
  <si>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</si>
  <si>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</si>
  <si>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</si>
  <si>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</si>
  <si>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</si>
  <si>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</si>
  <si>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</si>
  <si>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</si>
  <si>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</si>
  <si>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</si>
  <si>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</si>
  <si>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</si>
  <si>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</si>
  <si>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</si>
  <si>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</si>
  <si>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</si>
  <si>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</si>
  <si>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</si>
  <si>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</si>
  <si>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</si>
  <si>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</si>
  <si>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</si>
  <si>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</si>
  <si>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</si>
  <si>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</si>
  <si>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</si>
  <si>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</si>
  <si>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</si>
  <si>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</si>
  <si>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</si>
  <si>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</si>
  <si>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</si>
  <si>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</si>
  <si>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</si>
  <si>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</si>
  <si>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</si>
  <si>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</si>
  <si>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</si>
  <si>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</si>
  <si>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</si>
  <si>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</si>
  <si>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</si>
  <si>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</si>
  <si>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</si>
  <si>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</si>
  <si>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</si>
  <si>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</si>
  <si>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</si>
  <si>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</si>
  <si>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</si>
  <si>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</si>
  <si>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</si>
  <si>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</si>
  <si>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</si>
  <si>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</si>
  <si>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</si>
  <si>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</si>
  <si>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</si>
  <si>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</si>
  <si>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</si>
  <si>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</si>
  <si>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</si>
  <si>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</si>
  <si>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</si>
  <si>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</si>
  <si>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</si>
  <si>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</si>
  <si>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</si>
  <si>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</si>
  <si>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</si>
  <si>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</si>
  <si>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</si>
  <si>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</si>
  <si>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</si>
  <si>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</si>
  <si>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</si>
  <si>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</si>
  <si>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</si>
  <si>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</si>
  <si>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</si>
  <si>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</si>
  <si>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</si>
  <si>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</si>
  <si>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</si>
  <si>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</si>
  <si>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</si>
  <si>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</si>
  <si>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</si>
  <si>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</si>
  <si>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</si>
  <si>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</si>
  <si>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</si>
  <si>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</si>
  <si>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</si>
  <si>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</si>
  <si>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</si>
  <si>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</si>
  <si>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</si>
  <si>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</si>
  <si>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</si>
  <si>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</si>
  <si>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</si>
  <si>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</si>
  <si>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</si>
  <si>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</si>
  <si>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</si>
  <si>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</si>
  <si>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</si>
  <si>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</si>
  <si>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</si>
  <si>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</si>
  <si>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</si>
  <si>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</si>
  <si>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</si>
  <si>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</si>
  <si>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</si>
  <si>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</si>
  <si>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</si>
  <si>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</si>
  <si>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</si>
  <si>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</si>
  <si>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</si>
  <si>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</si>
  <si>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</si>
  <si>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</si>
  <si>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</si>
  <si>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</si>
  <si>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</si>
  <si>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</si>
  <si>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</si>
  <si>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</si>
  <si>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</si>
  <si>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</si>
  <si>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</si>
  <si>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</si>
  <si>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</si>
  <si>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</si>
  <si>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</si>
  <si>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</si>
  <si>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</si>
  <si>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</si>
  <si>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</si>
  <si>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</si>
  <si>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</si>
  <si>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</si>
  <si>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</si>
  <si>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</si>
  <si>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</si>
  <si>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</si>
  <si>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</si>
  <si>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</si>
  <si>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</si>
  <si>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</si>
  <si>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</si>
  <si>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</si>
  <si>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</si>
  <si>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</si>
  <si>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</si>
  <si>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</si>
  <si>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</si>
  <si>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</si>
  <si>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</si>
  <si>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</si>
  <si>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</si>
  <si>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</si>
  <si>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</si>
  <si>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</si>
  <si>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</si>
  <si>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</si>
  <si>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</si>
  <si>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</si>
  <si>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</si>
  <si>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</si>
  <si>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</si>
  <si>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</si>
  <si>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</si>
  <si>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</si>
  <si>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</si>
  <si>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</si>
  <si>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</si>
  <si>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</si>
  <si>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</si>
  <si>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</si>
  <si>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</si>
  <si>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</si>
  <si>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</si>
  <si>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23002</t>
  </si>
  <si>
    <t>ASSE</t>
  </si>
  <si>
    <t>Paarden&amp;pony's 200 - 600 kg</t>
  </si>
  <si>
    <t>Paarden&amp;pony's &lt; 200 kg</t>
  </si>
  <si>
    <t>op basis van VEA (maart 2018) en Inventaris Hernieuwbare Energiebronnen (juni 2018)</t>
  </si>
  <si>
    <t>VEA (juni 2018)</t>
  </si>
  <si>
    <t>De Becker Electrogroep</t>
  </si>
  <si>
    <t>Breker 13, 1730 Asse</t>
  </si>
  <si>
    <t>BMS-0020 De Becker Asse PPO</t>
  </si>
  <si>
    <t>biomassa uit land- of bosbouw</t>
  </si>
  <si>
    <t>niet WKK interne verbrandingsmotor (vloeibaar)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</si>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</sst>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23002</v>
      </c>
      <c r="B6" s="397"/>
      <c r="C6" s="398"/>
    </row>
    <row r="7" spans="1:7" s="395" customFormat="1" ht="15.75" customHeight="1">
      <c r="A7" s="399" t="str">
        <f>txtMunicipality</f>
        <v>ASSE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0.17772542444688547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0.17772542444688547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12734</v>
      </c>
      <c r="C9" s="338">
        <v>13543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2366</v>
      </c>
    </row>
    <row r="15" spans="1:6">
      <c r="A15" s="1286" t="s">
        <v>184</v>
      </c>
      <c r="B15" s="335">
        <v>736</v>
      </c>
    </row>
    <row r="16" spans="1:6">
      <c r="A16" s="1286" t="s">
        <v>6</v>
      </c>
      <c r="B16" s="335">
        <v>233</v>
      </c>
    </row>
    <row r="17" spans="1:6">
      <c r="A17" s="1286" t="s">
        <v>7</v>
      </c>
      <c r="B17" s="335">
        <v>397</v>
      </c>
    </row>
    <row r="18" spans="1:6">
      <c r="A18" s="1286" t="s">
        <v>8</v>
      </c>
      <c r="B18" s="335">
        <v>511</v>
      </c>
    </row>
    <row r="19" spans="1:6">
      <c r="A19" s="1286" t="s">
        <v>9</v>
      </c>
      <c r="B19" s="335">
        <v>519</v>
      </c>
    </row>
    <row r="20" spans="1:6">
      <c r="A20" s="1286" t="s">
        <v>10</v>
      </c>
      <c r="B20" s="335">
        <v>582</v>
      </c>
    </row>
    <row r="21" spans="1:6">
      <c r="A21" s="1286" t="s">
        <v>11</v>
      </c>
      <c r="B21" s="335">
        <v>244</v>
      </c>
    </row>
    <row r="22" spans="1:6">
      <c r="A22" s="1286" t="s">
        <v>12</v>
      </c>
      <c r="B22" s="335">
        <v>3562</v>
      </c>
    </row>
    <row r="23" spans="1:6">
      <c r="A23" s="1286" t="s">
        <v>13</v>
      </c>
      <c r="B23" s="335">
        <v>13</v>
      </c>
    </row>
    <row r="24" spans="1:6">
      <c r="A24" s="1286" t="s">
        <v>14</v>
      </c>
      <c r="B24" s="335">
        <v>2</v>
      </c>
    </row>
    <row r="25" spans="1:6">
      <c r="A25" s="1286" t="s">
        <v>15</v>
      </c>
      <c r="B25" s="335">
        <v>111</v>
      </c>
    </row>
    <row r="26" spans="1:6">
      <c r="A26" s="1286" t="s">
        <v>16</v>
      </c>
      <c r="B26" s="335">
        <v>244</v>
      </c>
    </row>
    <row r="27" spans="1:6">
      <c r="A27" s="1286" t="s">
        <v>17</v>
      </c>
      <c r="B27" s="335">
        <v>0</v>
      </c>
    </row>
    <row r="28" spans="1:6" s="341" customFormat="1">
      <c r="A28" s="1287" t="s">
        <v>18</v>
      </c>
      <c r="B28" s="1287">
        <v>70677</v>
      </c>
    </row>
    <row r="29" spans="1:6">
      <c r="A29" s="1287" t="s">
        <v>944</v>
      </c>
      <c r="B29" s="1287">
        <v>321</v>
      </c>
      <c r="C29" s="341"/>
      <c r="D29" s="341"/>
      <c r="E29" s="341"/>
      <c r="F29" s="341"/>
    </row>
    <row r="30" spans="1:6">
      <c r="A30" s="1282" t="s">
        <v>945</v>
      </c>
      <c r="B30" s="1282">
        <v>85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43894.016127935101</v>
      </c>
    </row>
    <row r="39" spans="1:6">
      <c r="A39" s="1286" t="s">
        <v>30</v>
      </c>
      <c r="B39" s="1286" t="s">
        <v>31</v>
      </c>
      <c r="C39" s="335">
        <v>7265</v>
      </c>
      <c r="D39" s="335">
        <v>132788668.044792</v>
      </c>
      <c r="E39" s="335">
        <v>12882</v>
      </c>
      <c r="F39" s="335">
        <v>50655839.8936387</v>
      </c>
    </row>
    <row r="40" spans="1:6">
      <c r="A40" s="1286" t="s">
        <v>30</v>
      </c>
      <c r="B40" s="1286" t="s">
        <v>29</v>
      </c>
      <c r="C40" s="335">
        <v>0</v>
      </c>
      <c r="D40" s="335">
        <v>0</v>
      </c>
      <c r="E40" s="335">
        <v>0</v>
      </c>
      <c r="F40" s="335">
        <v>0</v>
      </c>
    </row>
    <row r="41" spans="1:6">
      <c r="A41" s="1286" t="s">
        <v>32</v>
      </c>
      <c r="B41" s="1286" t="s">
        <v>33</v>
      </c>
      <c r="C41" s="335">
        <v>75</v>
      </c>
      <c r="D41" s="335">
        <v>3011489.726915</v>
      </c>
      <c r="E41" s="335">
        <v>206</v>
      </c>
      <c r="F41" s="335">
        <v>1530989.90339247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10</v>
      </c>
      <c r="F44" s="335">
        <v>134908.36270962399</v>
      </c>
    </row>
    <row r="45" spans="1:6">
      <c r="A45" s="1286" t="s">
        <v>32</v>
      </c>
      <c r="B45" s="1286" t="s">
        <v>37</v>
      </c>
      <c r="C45" s="335">
        <v>0</v>
      </c>
      <c r="D45" s="335">
        <v>0</v>
      </c>
      <c r="E45" s="335">
        <v>4</v>
      </c>
      <c r="F45" s="335">
        <v>62196.431637478803</v>
      </c>
    </row>
    <row r="46" spans="1:6">
      <c r="A46" s="1286" t="s">
        <v>32</v>
      </c>
      <c r="B46" s="1286" t="s">
        <v>38</v>
      </c>
      <c r="C46" s="335">
        <v>0</v>
      </c>
      <c r="D46" s="335">
        <v>0</v>
      </c>
      <c r="E46" s="335">
        <v>0</v>
      </c>
      <c r="F46" s="335">
        <v>0</v>
      </c>
    </row>
    <row r="47" spans="1:6">
      <c r="A47" s="1286" t="s">
        <v>32</v>
      </c>
      <c r="B47" s="1286" t="s">
        <v>39</v>
      </c>
      <c r="C47" s="335">
        <v>3</v>
      </c>
      <c r="D47" s="335">
        <v>4847808.7017770801</v>
      </c>
      <c r="E47" s="335">
        <v>0</v>
      </c>
      <c r="F47" s="335">
        <v>0</v>
      </c>
    </row>
    <row r="48" spans="1:6">
      <c r="A48" s="1286" t="s">
        <v>32</v>
      </c>
      <c r="B48" s="1286" t="s">
        <v>29</v>
      </c>
      <c r="C48" s="335">
        <v>37</v>
      </c>
      <c r="D48" s="335">
        <v>5040338.57677003</v>
      </c>
      <c r="E48" s="335">
        <v>60</v>
      </c>
      <c r="F48" s="335">
        <v>8646219.8294103201</v>
      </c>
    </row>
    <row r="49" spans="1:6">
      <c r="A49" s="1286" t="s">
        <v>32</v>
      </c>
      <c r="B49" s="1286" t="s">
        <v>40</v>
      </c>
      <c r="C49" s="335">
        <v>0</v>
      </c>
      <c r="D49" s="335">
        <v>0</v>
      </c>
      <c r="E49" s="335">
        <v>0</v>
      </c>
      <c r="F49" s="335">
        <v>0</v>
      </c>
    </row>
    <row r="50" spans="1:6">
      <c r="A50" s="1286" t="s">
        <v>32</v>
      </c>
      <c r="B50" s="1286" t="s">
        <v>41</v>
      </c>
      <c r="C50" s="335">
        <v>9</v>
      </c>
      <c r="D50" s="335">
        <v>5933987.5279900804</v>
      </c>
      <c r="E50" s="335">
        <v>14</v>
      </c>
      <c r="F50" s="335">
        <v>4722555.65984054</v>
      </c>
    </row>
    <row r="51" spans="1:6">
      <c r="A51" s="1286" t="s">
        <v>42</v>
      </c>
      <c r="B51" s="1286" t="s">
        <v>43</v>
      </c>
      <c r="C51" s="335">
        <v>4</v>
      </c>
      <c r="D51" s="335">
        <v>1189813.60748235</v>
      </c>
      <c r="E51" s="335">
        <v>81</v>
      </c>
      <c r="F51" s="335">
        <v>913774.23191218195</v>
      </c>
    </row>
    <row r="52" spans="1:6">
      <c r="A52" s="1286" t="s">
        <v>42</v>
      </c>
      <c r="B52" s="1286" t="s">
        <v>29</v>
      </c>
      <c r="C52" s="335">
        <v>11</v>
      </c>
      <c r="D52" s="335">
        <v>492177.48136338103</v>
      </c>
      <c r="E52" s="335">
        <v>11</v>
      </c>
      <c r="F52" s="335">
        <v>72064.122051216706</v>
      </c>
    </row>
    <row r="53" spans="1:6">
      <c r="A53" s="1286" t="s">
        <v>44</v>
      </c>
      <c r="B53" s="1286" t="s">
        <v>45</v>
      </c>
      <c r="C53" s="335">
        <v>198</v>
      </c>
      <c r="D53" s="335">
        <v>6631195.1983781001</v>
      </c>
      <c r="E53" s="335">
        <v>377</v>
      </c>
      <c r="F53" s="335">
        <v>1797249.4216497999</v>
      </c>
    </row>
    <row r="54" spans="1:6">
      <c r="A54" s="1286" t="s">
        <v>46</v>
      </c>
      <c r="B54" s="1286" t="s">
        <v>47</v>
      </c>
      <c r="C54" s="335">
        <v>0</v>
      </c>
      <c r="D54" s="335">
        <v>0</v>
      </c>
      <c r="E54" s="335">
        <v>1</v>
      </c>
      <c r="F54" s="335">
        <v>2070290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54</v>
      </c>
      <c r="D57" s="335">
        <v>4979048.1344082896</v>
      </c>
      <c r="E57" s="335">
        <v>135</v>
      </c>
      <c r="F57" s="335">
        <v>3223403.6410177699</v>
      </c>
    </row>
    <row r="58" spans="1:6">
      <c r="A58" s="1286" t="s">
        <v>49</v>
      </c>
      <c r="B58" s="1286" t="s">
        <v>51</v>
      </c>
      <c r="C58" s="335">
        <v>27</v>
      </c>
      <c r="D58" s="335">
        <v>853498.30918194598</v>
      </c>
      <c r="E58" s="335">
        <v>47</v>
      </c>
      <c r="F58" s="335">
        <v>1040727.0269662699</v>
      </c>
    </row>
    <row r="59" spans="1:6">
      <c r="A59" s="1286" t="s">
        <v>49</v>
      </c>
      <c r="B59" s="1286" t="s">
        <v>52</v>
      </c>
      <c r="C59" s="335">
        <v>146</v>
      </c>
      <c r="D59" s="335">
        <v>23254370.301290199</v>
      </c>
      <c r="E59" s="335">
        <v>406</v>
      </c>
      <c r="F59" s="335">
        <v>41497945.828765497</v>
      </c>
    </row>
    <row r="60" spans="1:6">
      <c r="A60" s="1286" t="s">
        <v>49</v>
      </c>
      <c r="B60" s="1286" t="s">
        <v>53</v>
      </c>
      <c r="C60" s="335">
        <v>77</v>
      </c>
      <c r="D60" s="335">
        <v>3746436.4495021198</v>
      </c>
      <c r="E60" s="335">
        <v>115</v>
      </c>
      <c r="F60" s="335">
        <v>2210907.5620977399</v>
      </c>
    </row>
    <row r="61" spans="1:6">
      <c r="A61" s="1286" t="s">
        <v>49</v>
      </c>
      <c r="B61" s="1286" t="s">
        <v>54</v>
      </c>
      <c r="C61" s="335">
        <v>257</v>
      </c>
      <c r="D61" s="335">
        <v>25319906.3179731</v>
      </c>
      <c r="E61" s="335">
        <v>741</v>
      </c>
      <c r="F61" s="335">
        <v>29800741.172250401</v>
      </c>
    </row>
    <row r="62" spans="1:6">
      <c r="A62" s="1286" t="s">
        <v>49</v>
      </c>
      <c r="B62" s="1286" t="s">
        <v>55</v>
      </c>
      <c r="C62" s="335">
        <v>11</v>
      </c>
      <c r="D62" s="335">
        <v>1853479.6840299801</v>
      </c>
      <c r="E62" s="335">
        <v>9</v>
      </c>
      <c r="F62" s="335">
        <v>318071.67832537403</v>
      </c>
    </row>
    <row r="63" spans="1:6">
      <c r="A63" s="1286" t="s">
        <v>49</v>
      </c>
      <c r="B63" s="1286" t="s">
        <v>29</v>
      </c>
      <c r="C63" s="335">
        <v>197</v>
      </c>
      <c r="D63" s="335">
        <v>25743460.286499102</v>
      </c>
      <c r="E63" s="335">
        <v>210</v>
      </c>
      <c r="F63" s="335">
        <v>15825196.0225967</v>
      </c>
    </row>
    <row r="64" spans="1:6">
      <c r="A64" s="1286" t="s">
        <v>56</v>
      </c>
      <c r="B64" s="1286" t="s">
        <v>57</v>
      </c>
      <c r="C64" s="335">
        <v>0</v>
      </c>
      <c r="D64" s="335">
        <v>0</v>
      </c>
      <c r="E64" s="335">
        <v>0</v>
      </c>
      <c r="F64" s="335">
        <v>0</v>
      </c>
    </row>
    <row r="65" spans="1:6">
      <c r="A65" s="1286" t="s">
        <v>56</v>
      </c>
      <c r="B65" s="1286" t="s">
        <v>29</v>
      </c>
      <c r="C65" s="335">
        <v>6</v>
      </c>
      <c r="D65" s="335">
        <v>188412.94985115199</v>
      </c>
      <c r="E65" s="335">
        <v>6</v>
      </c>
      <c r="F65" s="335">
        <v>73380.460903582207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550650.92940517794</v>
      </c>
      <c r="E68" s="335">
        <v>26</v>
      </c>
      <c r="F68" s="335">
        <v>1746824.0398386701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146462282</v>
      </c>
      <c r="E73" s="335">
        <v>150246757.46871951</v>
      </c>
    </row>
    <row r="74" spans="1:6">
      <c r="A74" s="1286" t="s">
        <v>64</v>
      </c>
      <c r="B74" s="1286" t="s">
        <v>772</v>
      </c>
      <c r="C74" s="1297" t="s">
        <v>766</v>
      </c>
      <c r="D74" s="335">
        <v>12032526.706624465</v>
      </c>
      <c r="E74" s="335">
        <v>12375903.96425138</v>
      </c>
    </row>
    <row r="75" spans="1:6">
      <c r="A75" s="1286" t="s">
        <v>65</v>
      </c>
      <c r="B75" s="1286" t="s">
        <v>771</v>
      </c>
      <c r="C75" s="1297" t="s">
        <v>767</v>
      </c>
      <c r="D75" s="335">
        <v>61616381</v>
      </c>
      <c r="E75" s="335">
        <v>63109571.028129458</v>
      </c>
    </row>
    <row r="76" spans="1:6">
      <c r="A76" s="1286" t="s">
        <v>65</v>
      </c>
      <c r="B76" s="1286" t="s">
        <v>772</v>
      </c>
      <c r="C76" s="1297" t="s">
        <v>768</v>
      </c>
      <c r="D76" s="335">
        <v>3273410.7066244646</v>
      </c>
      <c r="E76" s="335">
        <v>3477958.7019442003</v>
      </c>
    </row>
    <row r="77" spans="1:6">
      <c r="A77" s="1286" t="s">
        <v>66</v>
      </c>
      <c r="B77" s="1286" t="s">
        <v>771</v>
      </c>
      <c r="C77" s="1297" t="s">
        <v>769</v>
      </c>
      <c r="D77" s="335">
        <v>140466208</v>
      </c>
      <c r="E77" s="335">
        <v>146876525.53910089</v>
      </c>
    </row>
    <row r="78" spans="1:6">
      <c r="A78" s="1282" t="s">
        <v>66</v>
      </c>
      <c r="B78" s="1282" t="s">
        <v>772</v>
      </c>
      <c r="C78" s="1282" t="s">
        <v>770</v>
      </c>
      <c r="D78" s="1282">
        <v>16498091</v>
      </c>
      <c r="E78" s="1282">
        <v>17757833.428267155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1369452.5867510708</v>
      </c>
      <c r="C83" s="335">
        <v>1327322.9834312252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2980.9554707107586</v>
      </c>
    </row>
    <row r="92" spans="1:6">
      <c r="A92" s="1282" t="s">
        <v>69</v>
      </c>
      <c r="B92" s="338">
        <v>6059.8744933464677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4799</v>
      </c>
    </row>
    <row r="98" spans="1:6">
      <c r="A98" s="1286" t="s">
        <v>72</v>
      </c>
      <c r="B98" s="335">
        <v>4</v>
      </c>
    </row>
    <row r="99" spans="1:6">
      <c r="A99" s="1286" t="s">
        <v>73</v>
      </c>
      <c r="B99" s="335">
        <v>99</v>
      </c>
    </row>
    <row r="100" spans="1:6">
      <c r="A100" s="1286" t="s">
        <v>74</v>
      </c>
      <c r="B100" s="335">
        <v>830</v>
      </c>
    </row>
    <row r="101" spans="1:6">
      <c r="A101" s="1286" t="s">
        <v>75</v>
      </c>
      <c r="B101" s="335">
        <v>75</v>
      </c>
    </row>
    <row r="102" spans="1:6">
      <c r="A102" s="1286" t="s">
        <v>76</v>
      </c>
      <c r="B102" s="335">
        <v>177</v>
      </c>
    </row>
    <row r="103" spans="1:6">
      <c r="A103" s="1286" t="s">
        <v>77</v>
      </c>
      <c r="B103" s="335">
        <v>217</v>
      </c>
    </row>
    <row r="104" spans="1:6">
      <c r="A104" s="1286" t="s">
        <v>78</v>
      </c>
      <c r="B104" s="335">
        <v>4999</v>
      </c>
    </row>
    <row r="105" spans="1:6">
      <c r="A105" s="1282" t="s">
        <v>79</v>
      </c>
      <c r="B105" s="1282">
        <v>15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22</v>
      </c>
      <c r="C123" s="335">
        <v>11</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47</v>
      </c>
    </row>
    <row r="130" spans="1:6">
      <c r="A130" s="1286" t="s">
        <v>295</v>
      </c>
      <c r="B130" s="335">
        <v>0</v>
      </c>
    </row>
    <row r="131" spans="1:6">
      <c r="A131" s="1286" t="s">
        <v>296</v>
      </c>
      <c r="B131" s="335">
        <v>0</v>
      </c>
    </row>
    <row r="132" spans="1:6">
      <c r="A132" s="1282" t="s">
        <v>297</v>
      </c>
      <c r="B132" s="338">
        <v>17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167511.36965305085</v>
      </c>
      <c r="C3" s="44" t="s">
        <v>170</v>
      </c>
      <c r="D3" s="44"/>
      <c r="E3" s="157"/>
      <c r="F3" s="44"/>
      <c r="G3" s="44"/>
      <c r="H3" s="44"/>
      <c r="I3" s="44"/>
      <c r="J3" s="44"/>
      <c r="K3" s="97"/>
    </row>
    <row r="4" spans="1:11">
      <c r="A4" s="365" t="s">
        <v>171</v>
      </c>
      <c r="B4" s="50">
        <f>IF(ISERROR('SEAP template'!B78+'SEAP template'!C78),0,'SEAP template'!B78+'SEAP template'!C78)</f>
        <v>32800.829964057222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0.17772542444688547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2070.29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2070.29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0.17772542444688547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367.94316897814252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50655.839893638702</v>
      </c>
      <c r="C5" s="18">
        <f>IF(ISERROR('Eigen informatie GS &amp; warmtenet'!B57),0,'Eigen informatie GS &amp; warmtenet'!B57)</f>
        <v>0</v>
      </c>
      <c r="D5" s="31">
        <f>(SUM(HH_hh_gas_kWh,HH_rest_gas_kWh)/1000)*0.902</f>
        <v>119775.37857640238</v>
      </c>
      <c r="E5" s="18">
        <f>B46*B57</f>
        <v>5756.9207650866492</v>
      </c>
      <c r="F5" s="18">
        <f>B51*B62</f>
        <v>54868.982371475235</v>
      </c>
      <c r="G5" s="19"/>
      <c r="H5" s="18"/>
      <c r="I5" s="18"/>
      <c r="J5" s="18">
        <f>B50*B61+C50*C61</f>
        <v>0</v>
      </c>
      <c r="K5" s="18"/>
      <c r="L5" s="18"/>
      <c r="M5" s="18"/>
      <c r="N5" s="18">
        <f>B48*B59+C48*C59</f>
        <v>14163.518541201585</v>
      </c>
      <c r="O5" s="18">
        <f>B69*B70*B71</f>
        <v>90.673333333333346</v>
      </c>
      <c r="P5" s="18">
        <f>B77*B78*B79/1000-B77*B78*B79/1000/B80</f>
        <v>762.66666666666674</v>
      </c>
    </row>
    <row r="6" spans="1:16">
      <c r="A6" s="17" t="s">
        <v>639</v>
      </c>
      <c r="B6" s="780">
        <f>kWh_PV_kleiner_dan_10kW</f>
        <v>2980.9554707107586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53636.795364349462</v>
      </c>
      <c r="C8" s="22">
        <f>C5</f>
        <v>0</v>
      </c>
      <c r="D8" s="22">
        <f>D5</f>
        <v>119775.37857640238</v>
      </c>
      <c r="E8" s="22">
        <f>E5</f>
        <v>5756.9207650866492</v>
      </c>
      <c r="F8" s="22">
        <f>F5</f>
        <v>54868.982371475235</v>
      </c>
      <c r="G8" s="22"/>
      <c r="H8" s="22"/>
      <c r="I8" s="22"/>
      <c r="J8" s="22">
        <f>J5</f>
        <v>0</v>
      </c>
      <c r="K8" s="22"/>
      <c r="L8" s="22">
        <f>L5</f>
        <v>0</v>
      </c>
      <c r="M8" s="22">
        <f>M5</f>
        <v>0</v>
      </c>
      <c r="N8" s="22">
        <f>N5</f>
        <v>14163.518541201585</v>
      </c>
      <c r="O8" s="22">
        <f>O5</f>
        <v>90.673333333333346</v>
      </c>
      <c r="P8" s="22">
        <f>P5</f>
        <v>762.66666666666674</v>
      </c>
    </row>
    <row r="9" spans="1:16">
      <c r="B9" s="20"/>
      <c r="C9" s="20"/>
      <c r="D9" s="262"/>
      <c r="E9" s="20"/>
      <c r="F9" s="20"/>
      <c r="G9" s="20"/>
      <c r="H9" s="20"/>
      <c r="I9" s="20"/>
      <c r="J9" s="20"/>
      <c r="K9" s="20"/>
      <c r="L9" s="20"/>
      <c r="M9" s="20"/>
      <c r="N9" s="20"/>
      <c r="O9" s="20"/>
      <c r="P9" s="20"/>
    </row>
    <row r="10" spans="1:16">
      <c r="A10" s="25" t="s">
        <v>214</v>
      </c>
      <c r="B10" s="26">
        <f ca="1">'EF ele_warmte'!B12</f>
        <v>0.17772542444688547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9532.6222220997461</v>
      </c>
      <c r="C12" s="24">
        <f ca="1">C10*C8</f>
        <v>0</v>
      </c>
      <c r="D12" s="24">
        <f>D8*D10</f>
        <v>24194.626472433283</v>
      </c>
      <c r="E12" s="24">
        <f>E10*E8</f>
        <v>1306.8210136746695</v>
      </c>
      <c r="F12" s="24">
        <f>F10*F8</f>
        <v>14650.018293183888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4799</v>
      </c>
      <c r="C18" s="169" t="s">
        <v>111</v>
      </c>
      <c r="D18" s="231"/>
      <c r="E18" s="16"/>
    </row>
    <row r="19" spans="1:7">
      <c r="A19" s="174" t="s">
        <v>72</v>
      </c>
      <c r="B19" s="38">
        <f>aantalw2001_ander</f>
        <v>4</v>
      </c>
      <c r="C19" s="169" t="s">
        <v>111</v>
      </c>
      <c r="D19" s="232"/>
      <c r="E19" s="16"/>
    </row>
    <row r="20" spans="1:7">
      <c r="A20" s="174" t="s">
        <v>73</v>
      </c>
      <c r="B20" s="38">
        <f>aantalw2001_propaan</f>
        <v>99</v>
      </c>
      <c r="C20" s="170">
        <f>IF(ISERROR(B20/SUM($B$20,$B$21,$B$22)*100),0,B20/SUM($B$20,$B$21,$B$22)*100)</f>
        <v>9.860557768924302</v>
      </c>
      <c r="D20" s="232"/>
      <c r="E20" s="16"/>
    </row>
    <row r="21" spans="1:7">
      <c r="A21" s="174" t="s">
        <v>74</v>
      </c>
      <c r="B21" s="38">
        <f>aantalw2001_elektriciteit</f>
        <v>830</v>
      </c>
      <c r="C21" s="170">
        <f>IF(ISERROR(B21/SUM($B$20,$B$21,$B$22)*100),0,B21/SUM($B$20,$B$21,$B$22)*100)</f>
        <v>82.669322709163353</v>
      </c>
      <c r="D21" s="232"/>
      <c r="E21" s="16"/>
    </row>
    <row r="22" spans="1:7">
      <c r="A22" s="174" t="s">
        <v>75</v>
      </c>
      <c r="B22" s="38">
        <f>aantalw2001_hout</f>
        <v>75</v>
      </c>
      <c r="C22" s="170">
        <f>IF(ISERROR(B22/SUM($B$20,$B$21,$B$22)*100),0,B22/SUM($B$20,$B$21,$B$22)*100)</f>
        <v>7.4701195219123511</v>
      </c>
      <c r="D22" s="232"/>
      <c r="E22" s="16"/>
    </row>
    <row r="23" spans="1:7">
      <c r="A23" s="174" t="s">
        <v>76</v>
      </c>
      <c r="B23" s="38">
        <f>aantalw2001_niet_gespec</f>
        <v>177</v>
      </c>
      <c r="C23" s="169" t="s">
        <v>111</v>
      </c>
      <c r="D23" s="231"/>
      <c r="E23" s="16"/>
    </row>
    <row r="24" spans="1:7">
      <c r="A24" s="174" t="s">
        <v>77</v>
      </c>
      <c r="B24" s="38">
        <f>aantalw2001_steenkool</f>
        <v>217</v>
      </c>
      <c r="C24" s="169" t="s">
        <v>111</v>
      </c>
      <c r="D24" s="232"/>
      <c r="E24" s="16"/>
    </row>
    <row r="25" spans="1:7">
      <c r="A25" s="174" t="s">
        <v>78</v>
      </c>
      <c r="B25" s="38">
        <f>aantalw2001_stookolie</f>
        <v>4999</v>
      </c>
      <c r="C25" s="169" t="s">
        <v>111</v>
      </c>
      <c r="D25" s="231"/>
      <c r="E25" s="53"/>
    </row>
    <row r="26" spans="1:7">
      <c r="A26" s="174" t="s">
        <v>79</v>
      </c>
      <c r="B26" s="38">
        <f>aantalw2001_WP</f>
        <v>15</v>
      </c>
      <c r="C26" s="169" t="s">
        <v>111</v>
      </c>
      <c r="D26" s="231"/>
      <c r="E26" s="16"/>
    </row>
    <row r="27" spans="1:7" s="16" customFormat="1">
      <c r="A27" s="174"/>
      <c r="B27" s="30"/>
      <c r="C27" s="37"/>
      <c r="D27" s="231"/>
    </row>
    <row r="28" spans="1:7" s="16" customFormat="1">
      <c r="A28" s="233" t="s">
        <v>665</v>
      </c>
      <c r="B28" s="38">
        <f>aantalHuishoudens2011</f>
        <v>12734</v>
      </c>
      <c r="C28" s="37"/>
      <c r="D28" s="231"/>
    </row>
    <row r="29" spans="1:7" s="16" customFormat="1">
      <c r="A29" s="233" t="s">
        <v>666</v>
      </c>
      <c r="B29" s="38">
        <f>SUM(HH_hh_gas_aantal,HH_rest_gas_aantal)</f>
        <v>7265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7265</v>
      </c>
      <c r="C32" s="170">
        <f>IF(ISERROR(B32/SUM($B$32,$B$34,$B$35,$B$36,$B$38,$B$39)*100),0,B32/SUM($B$32,$B$34,$B$35,$B$36,$B$38,$B$39)*100)</f>
        <v>57.231763037655583</v>
      </c>
      <c r="D32" s="236"/>
      <c r="G32" s="16"/>
    </row>
    <row r="33" spans="1:7">
      <c r="A33" s="174" t="s">
        <v>72</v>
      </c>
      <c r="B33" s="35" t="s">
        <v>111</v>
      </c>
      <c r="C33" s="170"/>
      <c r="D33" s="236"/>
      <c r="G33" s="16"/>
    </row>
    <row r="34" spans="1:7">
      <c r="A34" s="174" t="s">
        <v>73</v>
      </c>
      <c r="B34" s="34">
        <f>IF((($B$28-$B$32-$B$39-$B$77-$B$38)*C20/100)&lt;0,0,($B$28-$B$32-$B$39-$B$77-$B$38)*C20/100)</f>
        <v>261.24561752988046</v>
      </c>
      <c r="C34" s="170">
        <f>IF(ISERROR(B34/SUM($B$32,$B$34,$B$35,$B$36,$B$38,$B$39)*100),0,B34/SUM($B$32,$B$34,$B$35,$B$36,$B$38,$B$39)*100)</f>
        <v>2.058024401527339</v>
      </c>
      <c r="D34" s="236"/>
      <c r="G34" s="16"/>
    </row>
    <row r="35" spans="1:7">
      <c r="A35" s="174" t="s">
        <v>74</v>
      </c>
      <c r="B35" s="34">
        <f>IF((($B$28-$B$32-$B$39-$B$77-$B$38)*C21/100)&lt;0,0,($B$28-$B$32-$B$39-$B$77-$B$38)*C21/100)</f>
        <v>2190.2410358565739</v>
      </c>
      <c r="C35" s="170">
        <f>IF(ISERROR(B35/SUM($B$32,$B$34,$B$35,$B$36,$B$38,$B$39)*100),0,B35/SUM($B$32,$B$34,$B$35,$B$36,$B$38,$B$39)*100)</f>
        <v>17.254143972400925</v>
      </c>
      <c r="D35" s="236"/>
      <c r="G35" s="16"/>
    </row>
    <row r="36" spans="1:7">
      <c r="A36" s="174" t="s">
        <v>75</v>
      </c>
      <c r="B36" s="34">
        <f>IF((($B$28-$B$32-$B$39-$B$77-$B$38)*C22/100)&lt;0,0,($B$28-$B$32-$B$39-$B$77-$B$38)*C22/100)</f>
        <v>197.91334661354583</v>
      </c>
      <c r="C36" s="170">
        <f>IF(ISERROR(B36/SUM($B$32,$B$34,$B$35,$B$36,$B$38,$B$39)*100),0,B36/SUM($B$32,$B$34,$B$35,$B$36,$B$38,$B$39)*100)</f>
        <v>1.5591093950964692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2779.6</v>
      </c>
      <c r="C39" s="170">
        <f>IF(ISERROR(B39/SUM($B$32,$B$34,$B$35,$B$36,$B$38,$B$39)*100),0,B39/SUM($B$32,$B$34,$B$35,$B$36,$B$38,$B$39)*100)</f>
        <v>21.896959193319677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7265</v>
      </c>
      <c r="C44" s="35" t="s">
        <v>111</v>
      </c>
      <c r="D44" s="177"/>
    </row>
    <row r="45" spans="1:7">
      <c r="A45" s="174" t="s">
        <v>72</v>
      </c>
      <c r="B45" s="34" t="str">
        <f t="shared" si="0"/>
        <v>-</v>
      </c>
      <c r="C45" s="35" t="s">
        <v>111</v>
      </c>
      <c r="D45" s="177"/>
    </row>
    <row r="46" spans="1:7">
      <c r="A46" s="174" t="s">
        <v>73</v>
      </c>
      <c r="B46" s="34">
        <f t="shared" si="0"/>
        <v>261.24561752988046</v>
      </c>
      <c r="C46" s="35" t="s">
        <v>111</v>
      </c>
      <c r="D46" s="177"/>
    </row>
    <row r="47" spans="1:7">
      <c r="A47" s="174" t="s">
        <v>74</v>
      </c>
      <c r="B47" s="34">
        <f t="shared" si="0"/>
        <v>2190.2410358565739</v>
      </c>
      <c r="C47" s="35" t="s">
        <v>111</v>
      </c>
      <c r="D47" s="177"/>
    </row>
    <row r="48" spans="1:7">
      <c r="A48" s="174" t="s">
        <v>75</v>
      </c>
      <c r="B48" s="34">
        <f t="shared" si="0"/>
        <v>197.91334661354583</v>
      </c>
      <c r="C48" s="34">
        <f>B48*10</f>
        <v>1979.1334661354583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2779.6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93916.992932019755</v>
      </c>
      <c r="C5" s="18">
        <f>IF(ISERROR('Eigen informatie GS &amp; warmtenet'!B58),0,'Eigen informatie GS &amp; warmtenet'!B58)</f>
        <v>0</v>
      </c>
      <c r="D5" s="31">
        <f>SUM(D6:D12)</f>
        <v>77346.679933562045</v>
      </c>
      <c r="E5" s="18">
        <f>SUM(E6:E12)</f>
        <v>551.44386463972171</v>
      </c>
      <c r="F5" s="18">
        <f>SUM(F6:F12)</f>
        <v>17058.64632555818</v>
      </c>
      <c r="G5" s="19"/>
      <c r="H5" s="18"/>
      <c r="I5" s="18"/>
      <c r="J5" s="18">
        <f>SUM(J6:J12)</f>
        <v>0</v>
      </c>
      <c r="K5" s="18"/>
      <c r="L5" s="18"/>
      <c r="M5" s="18"/>
      <c r="N5" s="18">
        <f>SUM(N6:N12)</f>
        <v>3122.9543379635543</v>
      </c>
      <c r="O5" s="18">
        <f>B38*B39*B40</f>
        <v>0</v>
      </c>
      <c r="P5" s="18">
        <f>B46*B47*B48/1000-B46*B47*B48/1000/B49</f>
        <v>0</v>
      </c>
      <c r="R5" s="33"/>
    </row>
    <row r="6" spans="1:18">
      <c r="A6" s="33" t="s">
        <v>54</v>
      </c>
      <c r="B6" s="38">
        <f>B26</f>
        <v>29800.7411722504</v>
      </c>
      <c r="C6" s="34"/>
      <c r="D6" s="38">
        <f>IF(ISERROR(TER_kantoor_gas_kWh/1000),0,TER_kantoor_gas_kWh/1000)*0.902</f>
        <v>22838.555498811736</v>
      </c>
      <c r="E6" s="34">
        <f>$C$26*'E Balans VL '!I12/100/3.6*1000000</f>
        <v>48.909056154180206</v>
      </c>
      <c r="F6" s="34">
        <f>$C$26*('E Balans VL '!L12+'E Balans VL '!N12)/100/3.6*1000000</f>
        <v>3512.8062108454392</v>
      </c>
      <c r="G6" s="35"/>
      <c r="H6" s="34"/>
      <c r="I6" s="34"/>
      <c r="J6" s="34">
        <f>$C$26*('E Balans VL '!D12+'E Balans VL '!E12)/100/3.6*1000000</f>
        <v>0</v>
      </c>
      <c r="K6" s="34"/>
      <c r="L6" s="34"/>
      <c r="M6" s="34"/>
      <c r="N6" s="34">
        <f>$C$26*'E Balans VL '!Y12/100/3.6*1000000</f>
        <v>6.0210986357907741</v>
      </c>
      <c r="O6" s="34"/>
      <c r="P6" s="34"/>
      <c r="R6" s="33"/>
    </row>
    <row r="7" spans="1:18">
      <c r="A7" s="33" t="s">
        <v>53</v>
      </c>
      <c r="B7" s="38">
        <f t="shared" ref="B7:B12" si="0">B27</f>
        <v>2210.9075620977401</v>
      </c>
      <c r="C7" s="34"/>
      <c r="D7" s="38">
        <f>IF(ISERROR(TER_horeca_gas_kWh/1000),0,TER_horeca_gas_kWh/1000)*0.902</f>
        <v>3379.2856774509123</v>
      </c>
      <c r="E7" s="34">
        <f>$C$27*'E Balans VL '!I9/100/3.6*1000000</f>
        <v>114.73010400339888</v>
      </c>
      <c r="F7" s="34">
        <f>$C$27*('E Balans VL '!L9+'E Balans VL '!N9)/100/3.6*1000000</f>
        <v>504.53070991318236</v>
      </c>
      <c r="G7" s="35"/>
      <c r="H7" s="34"/>
      <c r="I7" s="34"/>
      <c r="J7" s="34">
        <f>$C$27*('E Balans VL '!D9+'E Balans VL '!E9)/100/3.6*1000000</f>
        <v>0</v>
      </c>
      <c r="K7" s="34"/>
      <c r="L7" s="34"/>
      <c r="M7" s="34"/>
      <c r="N7" s="34">
        <f>$C$27*'E Balans VL '!Y9/100/3.6*1000000</f>
        <v>0.23347082536492811</v>
      </c>
      <c r="O7" s="34"/>
      <c r="P7" s="34"/>
      <c r="R7" s="33"/>
    </row>
    <row r="8" spans="1:18">
      <c r="A8" s="6" t="s">
        <v>52</v>
      </c>
      <c r="B8" s="38">
        <f t="shared" si="0"/>
        <v>41497.9458287655</v>
      </c>
      <c r="C8" s="34"/>
      <c r="D8" s="38">
        <f>IF(ISERROR(TER_handel_gas_kWh/1000),0,TER_handel_gas_kWh/1000)*0.902</f>
        <v>20975.44201176376</v>
      </c>
      <c r="E8" s="34">
        <f>$C$28*'E Balans VL '!I13/100/3.6*1000000</f>
        <v>223.47153770767693</v>
      </c>
      <c r="F8" s="34">
        <f>$C$28*('E Balans VL '!L13+'E Balans VL '!N13)/100/3.6*1000000</f>
        <v>8462.6643623642758</v>
      </c>
      <c r="G8" s="35"/>
      <c r="H8" s="34"/>
      <c r="I8" s="34"/>
      <c r="J8" s="34">
        <f>$C$28*('E Balans VL '!D13+'E Balans VL '!E13)/100/3.6*1000000</f>
        <v>0</v>
      </c>
      <c r="K8" s="34"/>
      <c r="L8" s="34"/>
      <c r="M8" s="34"/>
      <c r="N8" s="34">
        <f>$C$28*'E Balans VL '!Y13/100/3.6*1000000</f>
        <v>206.34737016912007</v>
      </c>
      <c r="O8" s="34"/>
      <c r="P8" s="34"/>
      <c r="R8" s="33"/>
    </row>
    <row r="9" spans="1:18">
      <c r="A9" s="33" t="s">
        <v>51</v>
      </c>
      <c r="B9" s="38">
        <f t="shared" si="0"/>
        <v>1040.7270269662699</v>
      </c>
      <c r="C9" s="34"/>
      <c r="D9" s="38">
        <f>IF(ISERROR(TER_gezond_gas_kWh/1000),0,TER_gezond_gas_kWh/1000)*0.902</f>
        <v>769.85547488211523</v>
      </c>
      <c r="E9" s="34">
        <f>$C$29*'E Balans VL '!I10/100/3.6*1000000</f>
        <v>1.0313723188223431</v>
      </c>
      <c r="F9" s="34">
        <f>$C$29*('E Balans VL '!L10+'E Balans VL '!N10)/100/3.6*1000000</f>
        <v>361.10228055158984</v>
      </c>
      <c r="G9" s="35"/>
      <c r="H9" s="34"/>
      <c r="I9" s="34"/>
      <c r="J9" s="34">
        <f>$C$29*('E Balans VL '!D10+'E Balans VL '!E10)/100/3.6*1000000</f>
        <v>0</v>
      </c>
      <c r="K9" s="34"/>
      <c r="L9" s="34"/>
      <c r="M9" s="34"/>
      <c r="N9" s="34">
        <f>$C$29*'E Balans VL '!Y10/100/3.6*1000000</f>
        <v>8.967854633618245</v>
      </c>
      <c r="O9" s="34"/>
      <c r="P9" s="34"/>
      <c r="R9" s="33"/>
    </row>
    <row r="10" spans="1:18">
      <c r="A10" s="33" t="s">
        <v>50</v>
      </c>
      <c r="B10" s="38">
        <f t="shared" si="0"/>
        <v>3223.40364101777</v>
      </c>
      <c r="C10" s="34"/>
      <c r="D10" s="38">
        <f>IF(ISERROR(TER_ander_gas_kWh/1000),0,TER_ander_gas_kWh/1000)*0.902</f>
        <v>4491.1014172362766</v>
      </c>
      <c r="E10" s="34">
        <f>$C$30*'E Balans VL '!I14/100/3.6*1000000</f>
        <v>26.37066334603184</v>
      </c>
      <c r="F10" s="34">
        <f>$C$30*('E Balans VL '!L14+'E Balans VL '!N14)/100/3.6*1000000</f>
        <v>942.3919944362749</v>
      </c>
      <c r="G10" s="35"/>
      <c r="H10" s="34"/>
      <c r="I10" s="34"/>
      <c r="J10" s="34">
        <f>$C$30*('E Balans VL '!D14+'E Balans VL '!E14)/100/3.6*1000000</f>
        <v>0</v>
      </c>
      <c r="K10" s="34"/>
      <c r="L10" s="34"/>
      <c r="M10" s="34"/>
      <c r="N10" s="34">
        <f>$C$30*'E Balans VL '!Y14/100/3.6*1000000</f>
        <v>1859.4809545729461</v>
      </c>
      <c r="O10" s="34"/>
      <c r="P10" s="34"/>
      <c r="R10" s="33"/>
    </row>
    <row r="11" spans="1:18">
      <c r="A11" s="33" t="s">
        <v>55</v>
      </c>
      <c r="B11" s="38">
        <f t="shared" si="0"/>
        <v>318.07167832537402</v>
      </c>
      <c r="C11" s="34"/>
      <c r="D11" s="38">
        <f>IF(ISERROR(TER_onderwijs_gas_kWh/1000),0,TER_onderwijs_gas_kWh/1000)*0.902</f>
        <v>1671.8386749950421</v>
      </c>
      <c r="E11" s="34">
        <f>$C$31*'E Balans VL '!I11/100/3.6*1000000</f>
        <v>0.19604596174321287</v>
      </c>
      <c r="F11" s="34">
        <f>$C$31*('E Balans VL '!L11+'E Balans VL '!N11)/100/3.6*1000000</f>
        <v>122.97166190623847</v>
      </c>
      <c r="G11" s="35"/>
      <c r="H11" s="34"/>
      <c r="I11" s="34"/>
      <c r="J11" s="34">
        <f>$C$31*('E Balans VL '!D11+'E Balans VL '!E11)/100/3.6*1000000</f>
        <v>0</v>
      </c>
      <c r="K11" s="34"/>
      <c r="L11" s="34"/>
      <c r="M11" s="34"/>
      <c r="N11" s="34">
        <f>$C$31*'E Balans VL '!Y11/100/3.6*1000000</f>
        <v>1.0346190082871187</v>
      </c>
      <c r="O11" s="34"/>
      <c r="P11" s="34"/>
      <c r="R11" s="33"/>
    </row>
    <row r="12" spans="1:18">
      <c r="A12" s="33" t="s">
        <v>260</v>
      </c>
      <c r="B12" s="38">
        <f t="shared" si="0"/>
        <v>15825.1960225967</v>
      </c>
      <c r="C12" s="34"/>
      <c r="D12" s="38">
        <f>IF(ISERROR(TER_rest_gas_kWh/1000),0,TER_rest_gas_kWh/1000)*0.902</f>
        <v>23220.601178422192</v>
      </c>
      <c r="E12" s="34">
        <f>$C$32*'E Balans VL '!I8/100/3.6*1000000</f>
        <v>136.73508514786829</v>
      </c>
      <c r="F12" s="34">
        <f>$C$32*('E Balans VL '!L8+'E Balans VL '!N8)/100/3.6*1000000</f>
        <v>3152.1791055411786</v>
      </c>
      <c r="G12" s="35"/>
      <c r="H12" s="34"/>
      <c r="I12" s="34"/>
      <c r="J12" s="34">
        <f>$C$32*('E Balans VL '!D8+'E Balans VL '!E8)/100/3.6*1000000</f>
        <v>0</v>
      </c>
      <c r="K12" s="34"/>
      <c r="L12" s="34"/>
      <c r="M12" s="34"/>
      <c r="N12" s="34">
        <f>$C$32*'E Balans VL '!Y8/100/3.6*1000000</f>
        <v>1040.8689701184264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93916.992932019755</v>
      </c>
      <c r="C16" s="22">
        <f t="shared" ca="1" si="1"/>
        <v>0</v>
      </c>
      <c r="D16" s="22">
        <f t="shared" ca="1" si="1"/>
        <v>77346.679933562045</v>
      </c>
      <c r="E16" s="22">
        <f t="shared" si="1"/>
        <v>551.44386463972171</v>
      </c>
      <c r="F16" s="22">
        <f t="shared" ca="1" si="1"/>
        <v>17058.64632555818</v>
      </c>
      <c r="G16" s="22">
        <f t="shared" si="1"/>
        <v>0</v>
      </c>
      <c r="H16" s="22">
        <f t="shared" si="1"/>
        <v>0</v>
      </c>
      <c r="I16" s="22">
        <f t="shared" si="1"/>
        <v>0</v>
      </c>
      <c r="J16" s="22">
        <f t="shared" si="1"/>
        <v>0</v>
      </c>
      <c r="K16" s="22">
        <f t="shared" si="1"/>
        <v>0</v>
      </c>
      <c r="L16" s="22">
        <f t="shared" ca="1" si="1"/>
        <v>0</v>
      </c>
      <c r="M16" s="22">
        <f t="shared" si="1"/>
        <v>0</v>
      </c>
      <c r="N16" s="22">
        <f t="shared" ca="1" si="1"/>
        <v>3122.9543379635543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0.17772542444688547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16691.437431618353</v>
      </c>
      <c r="C20" s="24">
        <f t="shared" ref="C20:P20" ca="1" si="2">C16*C18</f>
        <v>0</v>
      </c>
      <c r="D20" s="24">
        <f t="shared" ca="1" si="2"/>
        <v>15624.029346579535</v>
      </c>
      <c r="E20" s="24">
        <f t="shared" si="2"/>
        <v>125.17775727321683</v>
      </c>
      <c r="F20" s="24">
        <f t="shared" ca="1" si="2"/>
        <v>4554.6585689240346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29800.7411722504</v>
      </c>
      <c r="C26" s="40">
        <f>IF(ISERROR(B26*3.6/1000000/'E Balans VL '!Z12*100),0,B26*3.6/1000000/'E Balans VL '!Z12*100)</f>
        <v>0.63324437887370111</v>
      </c>
      <c r="D26" s="240" t="s">
        <v>707</v>
      </c>
      <c r="F26" s="6"/>
    </row>
    <row r="27" spans="1:18">
      <c r="A27" s="234" t="s">
        <v>53</v>
      </c>
      <c r="B27" s="34">
        <f>IF(ISERROR(TER_horeca_ele_kWh/1000),0,TER_horeca_ele_kWh/1000)</f>
        <v>2210.9075620977401</v>
      </c>
      <c r="C27" s="40">
        <f>IF(ISERROR(B27*3.6/1000000/'E Balans VL '!Z9*100),0,B27*3.6/1000000/'E Balans VL '!Z9*100)</f>
        <v>0.17401552201112655</v>
      </c>
      <c r="D27" s="240" t="s">
        <v>707</v>
      </c>
      <c r="F27" s="6"/>
    </row>
    <row r="28" spans="1:18">
      <c r="A28" s="174" t="s">
        <v>52</v>
      </c>
      <c r="B28" s="34">
        <f>IF(ISERROR(TER_handel_ele_kWh/1000),0,TER_handel_ele_kWh/1000)</f>
        <v>41497.9458287655</v>
      </c>
      <c r="C28" s="40">
        <f>IF(ISERROR(B28*3.6/1000000/'E Balans VL '!Z13*100),0,B28*3.6/1000000/'E Balans VL '!Z13*100)</f>
        <v>1.1623796714875314</v>
      </c>
      <c r="D28" s="240" t="s">
        <v>707</v>
      </c>
      <c r="F28" s="6"/>
    </row>
    <row r="29" spans="1:18">
      <c r="A29" s="234" t="s">
        <v>51</v>
      </c>
      <c r="B29" s="34">
        <f>IF(ISERROR(TER_gezond_ele_kWh/1000),0,TER_gezond_ele_kWh/1000)</f>
        <v>1040.7270269662699</v>
      </c>
      <c r="C29" s="40">
        <f>IF(ISERROR(B29*3.6/1000000/'E Balans VL '!Z10*100),0,B29*3.6/1000000/'E Balans VL '!Z10*100)</f>
        <v>0.13314045706683347</v>
      </c>
      <c r="D29" s="240" t="s">
        <v>707</v>
      </c>
      <c r="F29" s="6"/>
    </row>
    <row r="30" spans="1:18">
      <c r="A30" s="234" t="s">
        <v>50</v>
      </c>
      <c r="B30" s="34">
        <f>IF(ISERROR(TER_ander_ele_kWh/1000),0,TER_ander_ele_kWh/1000)</f>
        <v>3223.40364101777</v>
      </c>
      <c r="C30" s="40">
        <f>IF(ISERROR(B30*3.6/1000000/'E Balans VL '!Z14*100),0,B30*3.6/1000000/'E Balans VL '!Z14*100)</f>
        <v>0.24108343147457939</v>
      </c>
      <c r="D30" s="240" t="s">
        <v>707</v>
      </c>
      <c r="F30" s="6"/>
    </row>
    <row r="31" spans="1:18">
      <c r="A31" s="234" t="s">
        <v>55</v>
      </c>
      <c r="B31" s="34">
        <f>IF(ISERROR(TER_onderwijs_ele_kWh/1000),0,TER_onderwijs_ele_kWh/1000)</f>
        <v>318.07167832537402</v>
      </c>
      <c r="C31" s="40">
        <f>IF(ISERROR(B31*3.6/1000000/'E Balans VL '!Z11*100),0,B31*3.6/1000000/'E Balans VL '!Z11*100)</f>
        <v>6.7161246886538059E-2</v>
      </c>
      <c r="D31" s="240" t="s">
        <v>707</v>
      </c>
    </row>
    <row r="32" spans="1:18">
      <c r="A32" s="234" t="s">
        <v>260</v>
      </c>
      <c r="B32" s="34">
        <f>IF(ISERROR(TER_rest_ele_kWh/1000),0,TER_rest_ele_kWh/1000)</f>
        <v>15825.1960225967</v>
      </c>
      <c r="C32" s="40">
        <f>IF(ISERROR(B32*3.6/1000000/'E Balans VL '!Z8*100),0,B32*3.6/1000000/'E Balans VL '!Z8*100)</f>
        <v>0.13036688975641761</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15096.870186990433</v>
      </c>
      <c r="C5" s="18">
        <f>IF(ISERROR('Eigen informatie GS &amp; warmtenet'!B59),0,'Eigen informatie GS &amp; warmtenet'!B59)</f>
        <v>0</v>
      </c>
      <c r="D5" s="31">
        <f>SUM(D6:D15)</f>
        <v>16987.92932917388</v>
      </c>
      <c r="E5" s="18">
        <f>SUM(E6:E15)</f>
        <v>135.78206308904538</v>
      </c>
      <c r="F5" s="18">
        <f>SUM(F6:F15)</f>
        <v>3480.0986186274986</v>
      </c>
      <c r="G5" s="19"/>
      <c r="H5" s="18"/>
      <c r="I5" s="18"/>
      <c r="J5" s="18">
        <f>SUM(J6:J15)</f>
        <v>46.266341753278617</v>
      </c>
      <c r="K5" s="18"/>
      <c r="L5" s="18"/>
      <c r="M5" s="18"/>
      <c r="N5" s="18">
        <f>SUM(N6:N15)</f>
        <v>451.80539190087831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134.90836270962399</v>
      </c>
      <c r="C8" s="34"/>
      <c r="D8" s="38">
        <f>IF( ISERROR(IND_metaal_Gas_kWH/1000),0,IND_metaal_Gas_kWH/1000)*0.902</f>
        <v>0</v>
      </c>
      <c r="E8" s="34">
        <f>C30*'E Balans VL '!I18/100/3.6*1000000</f>
        <v>1.2285861470428689</v>
      </c>
      <c r="F8" s="34">
        <f>C30*'E Balans VL '!L18/100/3.6*1000000+C30*'E Balans VL '!N18/100/3.6*1000000</f>
        <v>17.793388529696443</v>
      </c>
      <c r="G8" s="35"/>
      <c r="H8" s="34"/>
      <c r="I8" s="34"/>
      <c r="J8" s="41">
        <f>C30*'E Balans VL '!D18/100/3.6*1000000+C30*'E Balans VL '!E18/100/3.6*1000000</f>
        <v>2.2123012685486025</v>
      </c>
      <c r="K8" s="34"/>
      <c r="L8" s="34"/>
      <c r="M8" s="34"/>
      <c r="N8" s="34">
        <f>C30*'E Balans VL '!Y18/100/3.6*1000000</f>
        <v>0.46362645042336553</v>
      </c>
      <c r="O8" s="34"/>
      <c r="P8" s="34"/>
      <c r="R8" s="33"/>
    </row>
    <row r="9" spans="1:18">
      <c r="A9" s="6" t="s">
        <v>33</v>
      </c>
      <c r="B9" s="38">
        <f t="shared" si="0"/>
        <v>1530.9899033924701</v>
      </c>
      <c r="C9" s="34"/>
      <c r="D9" s="38">
        <f>IF( ISERROR(IND_andere_gas_kWh/1000),0,IND_andere_gas_kWh/1000)*0.902</f>
        <v>2716.3637336773304</v>
      </c>
      <c r="E9" s="34">
        <f>C31*'E Balans VL '!I19/100/3.6*1000000</f>
        <v>8.8493504291258436</v>
      </c>
      <c r="F9" s="34">
        <f>C31*'E Balans VL '!L19/100/3.6*1000000+C31*'E Balans VL '!N19/100/3.6*1000000</f>
        <v>1217.9761364676988</v>
      </c>
      <c r="G9" s="35"/>
      <c r="H9" s="34"/>
      <c r="I9" s="34"/>
      <c r="J9" s="41">
        <f>C31*'E Balans VL '!D19/100/3.6*1000000+C31*'E Balans VL '!E19/100/3.6*1000000</f>
        <v>0.14481463910674836</v>
      </c>
      <c r="K9" s="34"/>
      <c r="L9" s="34"/>
      <c r="M9" s="34"/>
      <c r="N9" s="34">
        <f>C31*'E Balans VL '!Y19/100/3.6*1000000</f>
        <v>115.99565412258505</v>
      </c>
      <c r="O9" s="34"/>
      <c r="P9" s="34"/>
      <c r="R9" s="33"/>
    </row>
    <row r="10" spans="1:18">
      <c r="A10" s="6" t="s">
        <v>41</v>
      </c>
      <c r="B10" s="38">
        <f t="shared" si="0"/>
        <v>4722.5556598405401</v>
      </c>
      <c r="C10" s="34"/>
      <c r="D10" s="38">
        <f>IF( ISERROR(IND_voed_gas_kWh/1000),0,IND_voed_gas_kWh/1000)*0.902</f>
        <v>5352.4567502470527</v>
      </c>
      <c r="E10" s="34">
        <f>C32*'E Balans VL '!I20/100/3.6*1000000</f>
        <v>46.435077056430792</v>
      </c>
      <c r="F10" s="34">
        <f>C32*'E Balans VL '!L20/100/3.6*1000000+C32*'E Balans VL '!N20/100/3.6*1000000</f>
        <v>524.50144786493934</v>
      </c>
      <c r="G10" s="35"/>
      <c r="H10" s="34"/>
      <c r="I10" s="34"/>
      <c r="J10" s="41">
        <f>C32*'E Balans VL '!D20/100/3.6*1000000+C32*'E Balans VL '!E20/100/3.6*1000000</f>
        <v>1.8613735766697059E-2</v>
      </c>
      <c r="K10" s="34"/>
      <c r="L10" s="34"/>
      <c r="M10" s="34"/>
      <c r="N10" s="34">
        <f>C32*'E Balans VL '!Y20/100/3.6*1000000</f>
        <v>69.929940700391896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62.196431637478803</v>
      </c>
      <c r="C12" s="34"/>
      <c r="D12" s="38">
        <f>IF( ISERROR(IND_min_gas_kWh/1000),0,IND_min_gas_kWh/1000)*0.902</f>
        <v>0</v>
      </c>
      <c r="E12" s="34">
        <f>C34*'E Balans VL '!I22/100/3.6*1000000</f>
        <v>1.5767902202540476</v>
      </c>
      <c r="F12" s="34">
        <f>C34*'E Balans VL '!L22/100/3.6*1000000+C34*'E Balans VL '!N22/100/3.6*1000000</f>
        <v>17.209969425367746</v>
      </c>
      <c r="G12" s="35"/>
      <c r="H12" s="34"/>
      <c r="I12" s="34"/>
      <c r="J12" s="41">
        <f>C34*'E Balans VL '!D22/100/3.6*1000000+C34*'E Balans VL '!E22/100/3.6*1000000</f>
        <v>0.41075773296455548</v>
      </c>
      <c r="K12" s="34"/>
      <c r="L12" s="34"/>
      <c r="M12" s="34"/>
      <c r="N12" s="34">
        <f>C34*'E Balans VL '!Y22/100/3.6*1000000</f>
        <v>0</v>
      </c>
      <c r="O12" s="34"/>
      <c r="P12" s="34"/>
      <c r="R12" s="33"/>
    </row>
    <row r="13" spans="1:18">
      <c r="A13" s="6" t="s">
        <v>39</v>
      </c>
      <c r="B13" s="38">
        <f t="shared" si="0"/>
        <v>0</v>
      </c>
      <c r="C13" s="34"/>
      <c r="D13" s="38">
        <f>IF( ISERROR(IND_papier_gas_kWh/1000),0,IND_papier_gas_kWh/1000)*0.902</f>
        <v>4372.7234490029268</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8646.21982941032</v>
      </c>
      <c r="C15" s="34"/>
      <c r="D15" s="38">
        <f>IF( ISERROR(IND_rest_gas_kWh/1000),0,IND_rest_gas_kWh/1000)*0.902</f>
        <v>4546.3853962465673</v>
      </c>
      <c r="E15" s="34">
        <f>C37*'E Balans VL '!I15/100/3.6*1000000</f>
        <v>77.692259236191816</v>
      </c>
      <c r="F15" s="34">
        <f>C37*'E Balans VL '!L15/100/3.6*1000000+C37*'E Balans VL '!N15/100/3.6*1000000</f>
        <v>1702.6176763397964</v>
      </c>
      <c r="G15" s="35"/>
      <c r="H15" s="34"/>
      <c r="I15" s="34"/>
      <c r="J15" s="41">
        <f>C37*'E Balans VL '!D15/100/3.6*1000000+C37*'E Balans VL '!E15/100/3.6*1000000</f>
        <v>43.479854376892014</v>
      </c>
      <c r="K15" s="34"/>
      <c r="L15" s="34"/>
      <c r="M15" s="34"/>
      <c r="N15" s="34">
        <f>C37*'E Balans VL '!Y15/100/3.6*1000000</f>
        <v>265.41617062747798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15096.870186990433</v>
      </c>
      <c r="C18" s="22">
        <f>C5+C16</f>
        <v>0</v>
      </c>
      <c r="D18" s="22">
        <f>MAX((D5+D16),0)</f>
        <v>16987.92932917388</v>
      </c>
      <c r="E18" s="22">
        <f>MAX((E5+E16),0)</f>
        <v>135.78206308904538</v>
      </c>
      <c r="F18" s="22">
        <f>MAX((F5+F16),0)</f>
        <v>3480.0986186274986</v>
      </c>
      <c r="G18" s="22"/>
      <c r="H18" s="22"/>
      <c r="I18" s="22"/>
      <c r="J18" s="22">
        <f>MAX((J5+J16),0)</f>
        <v>46.266341753278617</v>
      </c>
      <c r="K18" s="22"/>
      <c r="L18" s="22">
        <f>MAX((L5+L16),0)</f>
        <v>0</v>
      </c>
      <c r="M18" s="22"/>
      <c r="N18" s="22">
        <f>MAX((N5+N16),0)</f>
        <v>451.80539190087831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0.17772542444688547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2683.0976618024056</v>
      </c>
      <c r="C22" s="24">
        <f ca="1">C18*C20</f>
        <v>0</v>
      </c>
      <c r="D22" s="24">
        <f>D18*D20</f>
        <v>3431.5617244931241</v>
      </c>
      <c r="E22" s="24">
        <f>E18*E20</f>
        <v>30.822528321213301</v>
      </c>
      <c r="F22" s="24">
        <f>F18*F20</f>
        <v>929.18633117354216</v>
      </c>
      <c r="G22" s="24"/>
      <c r="H22" s="24"/>
      <c r="I22" s="24"/>
      <c r="J22" s="24">
        <f>J18*J20</f>
        <v>16.378284980660631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134.90836270962399</v>
      </c>
      <c r="C30" s="40">
        <f>IF(ISERROR(B30*3.6/1000000/'E Balans VL '!Z18*100),0,B30*3.6/1000000/'E Balans VL '!Z18*100)</f>
        <v>7.5067482603091281E-3</v>
      </c>
      <c r="D30" s="240" t="s">
        <v>707</v>
      </c>
    </row>
    <row r="31" spans="1:18">
      <c r="A31" s="6" t="s">
        <v>33</v>
      </c>
      <c r="B31" s="38">
        <f>IF( ISERROR(IND_ander_ele_kWh/1000),0,IND_ander_ele_kWh/1000)</f>
        <v>1530.9899033924701</v>
      </c>
      <c r="C31" s="40">
        <f>IF(ISERROR(B31*3.6/1000000/'E Balans VL '!Z19*100),0,B31*3.6/1000000/'E Balans VL '!Z19*100)</f>
        <v>7.1171699765773935E-2</v>
      </c>
      <c r="D31" s="240" t="s">
        <v>707</v>
      </c>
    </row>
    <row r="32" spans="1:18">
      <c r="A32" s="174" t="s">
        <v>41</v>
      </c>
      <c r="B32" s="38">
        <f>IF( ISERROR(IND_voed_ele_kWh/1000),0,IND_voed_ele_kWh/1000)</f>
        <v>4722.5556598405401</v>
      </c>
      <c r="C32" s="40">
        <f>IF(ISERROR(B32*3.6/1000000/'E Balans VL '!Z20*100),0,B32*3.6/1000000/'E Balans VL '!Z20*100)</f>
        <v>0.16693280497028631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62.196431637478803</v>
      </c>
      <c r="C34" s="40">
        <f>IF(ISERROR(B34*3.6/1000000/'E Balans VL '!Z22*100),0,B34*3.6/1000000/'E Balans VL '!Z22*100)</f>
        <v>1.2499728879014323E-2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8646.21982941032</v>
      </c>
      <c r="C37" s="40">
        <f>IF(ISERROR(B37*3.6/1000000/'E Balans VL '!Z15*100),0,B37*3.6/1000000/'E Balans VL '!Z15*100)</f>
        <v>6.5291732110113715E-2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985.83835396339862</v>
      </c>
      <c r="C5" s="18">
        <f>'Eigen informatie GS &amp; warmtenet'!B60</f>
        <v>0</v>
      </c>
      <c r="D5" s="31">
        <f>IF(ISERROR(SUM(LB_lb_gas_kWh,LB_rest_gas_kWh)/1000),0,SUM(LB_lb_gas_kWh,LB_rest_gas_kWh)/1000)*0.902</f>
        <v>1517.1559621388494</v>
      </c>
      <c r="E5" s="18">
        <f>B17*'E Balans VL '!I25/3.6*1000000/100</f>
        <v>9.2872578276999107</v>
      </c>
      <c r="F5" s="18">
        <f>B17*('E Balans VL '!L25/3.6*1000000+'E Balans VL '!N25/3.6*1000000)/100</f>
        <v>3217.1177199990238</v>
      </c>
      <c r="G5" s="19"/>
      <c r="H5" s="18"/>
      <c r="I5" s="18"/>
      <c r="J5" s="18">
        <f>('E Balans VL '!D25+'E Balans VL '!E25)/3.6*1000000*landbouw!B17/100</f>
        <v>121.952999502105</v>
      </c>
      <c r="K5" s="18"/>
      <c r="L5" s="18">
        <f>L6*(-1)</f>
        <v>59400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-59400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985.83835396339862</v>
      </c>
      <c r="C8" s="22">
        <f>C5+C6</f>
        <v>0</v>
      </c>
      <c r="D8" s="22">
        <f>MAX((D5+D6),0)</f>
        <v>1517.1559621388494</v>
      </c>
      <c r="E8" s="22">
        <f>MAX((E5+E6),0)</f>
        <v>9.2872578276999107</v>
      </c>
      <c r="F8" s="22">
        <f>MAX((F5+F6),0)</f>
        <v>3217.1177199990238</v>
      </c>
      <c r="G8" s="22"/>
      <c r="H8" s="22"/>
      <c r="I8" s="22"/>
      <c r="J8" s="22">
        <f>MAX((J5+J6),0)</f>
        <v>121.952999502105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0.17772542444688547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175.20853989416392</v>
      </c>
      <c r="C12" s="24">
        <f ca="1">C8*C10</f>
        <v>0</v>
      </c>
      <c r="D12" s="24">
        <f>D8*D10</f>
        <v>306.46550435204762</v>
      </c>
      <c r="E12" s="24">
        <f>E8*E10</f>
        <v>2.1082075268878797</v>
      </c>
      <c r="F12" s="24">
        <f>F8*F10</f>
        <v>858.97043123973947</v>
      </c>
      <c r="G12" s="24"/>
      <c r="H12" s="24"/>
      <c r="I12" s="24"/>
      <c r="J12" s="24">
        <f>J8*J10</f>
        <v>43.171361823745166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0.13346675993332968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156.02316164060784</v>
      </c>
      <c r="C26" s="250">
        <f>B26*'GWP N2O_CH4'!B5</f>
        <v>3276.4863944527647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41.824826470503247</v>
      </c>
      <c r="C27" s="250">
        <f>B27*'GWP N2O_CH4'!B5</f>
        <v>878.32135588056815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2.9611204853599618</v>
      </c>
      <c r="C28" s="250">
        <f>B28*'GWP N2O_CH4'!B4</f>
        <v>917.94735046158814</v>
      </c>
      <c r="D28" s="51"/>
    </row>
    <row r="29" spans="1:4">
      <c r="A29" s="42" t="s">
        <v>277</v>
      </c>
      <c r="B29" s="250">
        <f>B34*'ha_N2O bodem landbouw'!B4</f>
        <v>13.049353244896343</v>
      </c>
      <c r="C29" s="250">
        <f>B29*'GWP N2O_CH4'!B4</f>
        <v>4045.2995059178666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3.5229145789997958E-3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2.6400218680789461E-5</v>
      </c>
      <c r="C5" s="447" t="s">
        <v>211</v>
      </c>
      <c r="D5" s="432">
        <f>SUM(D6:D11)</f>
        <v>7.4428605855210171E-5</v>
      </c>
      <c r="E5" s="432">
        <f>SUM(E6:E11)</f>
        <v>4.7121050938728525E-3</v>
      </c>
      <c r="F5" s="445" t="s">
        <v>211</v>
      </c>
      <c r="G5" s="432">
        <f>SUM(G6:G11)</f>
        <v>0.94960231012994123</v>
      </c>
      <c r="H5" s="432">
        <f>SUM(H6:H11)</f>
        <v>0.16872528088745664</v>
      </c>
      <c r="I5" s="447" t="s">
        <v>211</v>
      </c>
      <c r="J5" s="447" t="s">
        <v>211</v>
      </c>
      <c r="K5" s="447" t="s">
        <v>211</v>
      </c>
      <c r="L5" s="447" t="s">
        <v>211</v>
      </c>
      <c r="M5" s="432">
        <f>SUM(M6:M11)</f>
        <v>5.0004137234068151E-2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1.1093654203528513E-5</v>
      </c>
      <c r="C6" s="433"/>
      <c r="D6" s="433">
        <f>vkm_2011_GW_PW*SUMIFS(TableVerdeelsleutelVkm[CNG],TableVerdeelsleutelVkm[Voertuigtype],"Lichte voertuigen")*SUMIFS(TableECFTransport[EnergieConsumptieFactor (PJ per km)],TableECFTransport[Index],CONCATENATE($A6,"_CNG_CNG"))</f>
        <v>2.7090889351624476E-5</v>
      </c>
      <c r="E6" s="435">
        <f>vkm_2011_GW_PW*SUMIFS(TableVerdeelsleutelVkm[LPG],TableVerdeelsleutelVkm[Voertuigtype],"Lichte voertuigen")*SUMIFS(TableECFTransport[EnergieConsumptieFactor (PJ per km)],TableECFTransport[Index],CONCATENATE($A6,"_LPG_LPG"))</f>
        <v>1.6058079188131639E-3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0.23213842454797873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6.0836811860628177E-2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1.3119970633367851E-2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0.11187290382313061</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4.5136355134720157E-5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4.983903252086387E-3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4.6670775216165517E-6</v>
      </c>
      <c r="C8" s="433"/>
      <c r="D8" s="435">
        <f>vkm_2011_NGW_PW*SUMIFS(TableVerdeelsleutelVkm[CNG],TableVerdeelsleutelVkm[Voertuigtype],"Lichte voertuigen")*SUMIFS(TableECFTransport[EnergieConsumptieFactor (PJ per km)],TableECFTransport[Index],CONCATENATE($A8,"_CNG_CNG"))</f>
        <v>2.0448300529907449E-5</v>
      </c>
      <c r="E8" s="435">
        <f>vkm_2011_NGW_PW*SUMIFS(TableVerdeelsleutelVkm[LPG],TableVerdeelsleutelVkm[Voertuigtype],"Lichte voertuigen")*SUMIFS(TableECFTransport[EnergieConsumptieFactor (PJ per km)],TableECFTransport[Index],CONCATENATE($A8,"_LPG_LPG"))</f>
        <v>1.1119522941782866E-3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0.15185412474072549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4.3972712211420482E-2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8.7734797823682299E-3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4.2194248083108316E-2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1.4822490322323397E-5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1.8796400166138942E-3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1.0639486955644394E-5</v>
      </c>
      <c r="C10" s="433"/>
      <c r="D10" s="435">
        <f>vkm_2011_SW_PW*SUMIFS(TableVerdeelsleutelVkm[CNG],TableVerdeelsleutelVkm[Voertuigtype],"Lichte voertuigen")*SUMIFS(TableECFTransport[EnergieConsumptieFactor (PJ per km)],TableECFTransport[Index],CONCATENATE($A10,"_CNG_CNG"))</f>
        <v>2.6889415973678242E-5</v>
      </c>
      <c r="E10" s="435">
        <f>vkm_2011_SW_PW*SUMIFS(TableVerdeelsleutelVkm[LPG],TableVerdeelsleutelVkm[Voertuigtype],"Lichte voertuigen")*SUMIFS(TableECFTransport[EnergieConsumptieFactor (PJ per km)],TableECFTransport[Index],CONCATENATE($A10,"_LPG_LPG"))</f>
        <v>1.994344880881402E-3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0.26274378361860107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6.3792104425251836E-2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1.4618034563250266E-2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0.14879882531639702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6.3693544699086144E-5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6.6291089863815267E-3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7.333394077997073</v>
      </c>
      <c r="C14" s="22"/>
      <c r="D14" s="22">
        <f t="shared" ref="D14:M14" si="0">((D5)*10^9/3600)+D12</f>
        <v>20.67461273755838</v>
      </c>
      <c r="E14" s="22">
        <f t="shared" si="0"/>
        <v>1308.9180816313481</v>
      </c>
      <c r="F14" s="22"/>
      <c r="G14" s="22">
        <f t="shared" si="0"/>
        <v>263778.41948053922</v>
      </c>
      <c r="H14" s="22">
        <f t="shared" si="0"/>
        <v>46868.133579849069</v>
      </c>
      <c r="I14" s="22"/>
      <c r="J14" s="22"/>
      <c r="K14" s="22"/>
      <c r="L14" s="22"/>
      <c r="M14" s="22">
        <f t="shared" si="0"/>
        <v>13890.038120574485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0.17772542444688547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1.3033305751483062</v>
      </c>
      <c r="C18" s="24"/>
      <c r="D18" s="24">
        <f t="shared" ref="D18:M18" si="1">D14*D16</f>
        <v>4.1762717729867935</v>
      </c>
      <c r="E18" s="24">
        <f t="shared" si="1"/>
        <v>297.12440453031604</v>
      </c>
      <c r="F18" s="24"/>
      <c r="G18" s="24">
        <f t="shared" si="1"/>
        <v>70428.838001303971</v>
      </c>
      <c r="H18" s="24">
        <f t="shared" si="1"/>
        <v>11670.165261382419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1.794978260253087E-2</v>
      </c>
      <c r="H50" s="323">
        <f t="shared" si="2"/>
        <v>0</v>
      </c>
      <c r="I50" s="323">
        <f t="shared" si="2"/>
        <v>0</v>
      </c>
      <c r="J50" s="323">
        <f t="shared" si="2"/>
        <v>0</v>
      </c>
      <c r="K50" s="323">
        <f t="shared" si="2"/>
        <v>0</v>
      </c>
      <c r="L50" s="323">
        <f t="shared" si="2"/>
        <v>0</v>
      </c>
      <c r="M50" s="323">
        <f t="shared" si="2"/>
        <v>7.8820456409567233E-4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1.794978260253087E-2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7.8820456409567233E-4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4986.0507229252416</v>
      </c>
      <c r="H54" s="22">
        <f t="shared" si="3"/>
        <v>0</v>
      </c>
      <c r="I54" s="22">
        <f t="shared" si="3"/>
        <v>0</v>
      </c>
      <c r="J54" s="22">
        <f t="shared" si="3"/>
        <v>0</v>
      </c>
      <c r="K54" s="22">
        <f t="shared" si="3"/>
        <v>0</v>
      </c>
      <c r="L54" s="22">
        <f t="shared" si="3"/>
        <v>0</v>
      </c>
      <c r="M54" s="22">
        <f t="shared" si="3"/>
        <v>218.94571224879786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0.17772542444688547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1331.2755430210395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95987.282932019749</v>
      </c>
      <c r="D10" s="688">
        <f ca="1">tertiair!C16</f>
        <v>0</v>
      </c>
      <c r="E10" s="688">
        <f ca="1">tertiair!D16</f>
        <v>77346.679933562045</v>
      </c>
      <c r="F10" s="688">
        <f>tertiair!E16</f>
        <v>551.44386463972171</v>
      </c>
      <c r="G10" s="688">
        <f ca="1">tertiair!F16</f>
        <v>17058.64632555818</v>
      </c>
      <c r="H10" s="688">
        <f>tertiair!G16</f>
        <v>0</v>
      </c>
      <c r="I10" s="688">
        <f>tertiair!H16</f>
        <v>0</v>
      </c>
      <c r="J10" s="688">
        <f>tertiair!I16</f>
        <v>0</v>
      </c>
      <c r="K10" s="688">
        <f>tertiair!J16</f>
        <v>0</v>
      </c>
      <c r="L10" s="688">
        <f>tertiair!K16</f>
        <v>0</v>
      </c>
      <c r="M10" s="688">
        <f ca="1">tertiair!L16</f>
        <v>0</v>
      </c>
      <c r="N10" s="688">
        <f>tertiair!M16</f>
        <v>0</v>
      </c>
      <c r="O10" s="688">
        <f ca="1">tertiair!N16</f>
        <v>3122.9543379635543</v>
      </c>
      <c r="P10" s="688">
        <f>tertiair!O16</f>
        <v>0</v>
      </c>
      <c r="Q10" s="689">
        <f>tertiair!P16</f>
        <v>0</v>
      </c>
      <c r="R10" s="691">
        <f ca="1">SUM(C10:Q10)</f>
        <v>194067.00739374326</v>
      </c>
      <c r="S10" s="68"/>
    </row>
    <row r="11" spans="1:19" s="457" customFormat="1">
      <c r="A11" s="803" t="s">
        <v>225</v>
      </c>
      <c r="B11" s="808"/>
      <c r="C11" s="688">
        <f>huishoudens!B8</f>
        <v>53636.795364349462</v>
      </c>
      <c r="D11" s="688">
        <f>huishoudens!C8</f>
        <v>0</v>
      </c>
      <c r="E11" s="688">
        <f>huishoudens!D8</f>
        <v>119775.37857640238</v>
      </c>
      <c r="F11" s="688">
        <f>huishoudens!E8</f>
        <v>5756.9207650866492</v>
      </c>
      <c r="G11" s="688">
        <f>huishoudens!F8</f>
        <v>54868.982371475235</v>
      </c>
      <c r="H11" s="688">
        <f>huishoudens!G8</f>
        <v>0</v>
      </c>
      <c r="I11" s="688">
        <f>huishoudens!H8</f>
        <v>0</v>
      </c>
      <c r="J11" s="688">
        <f>huishoudens!I8</f>
        <v>0</v>
      </c>
      <c r="K11" s="688">
        <f>huishoudens!J8</f>
        <v>0</v>
      </c>
      <c r="L11" s="688">
        <f>huishoudens!K8</f>
        <v>0</v>
      </c>
      <c r="M11" s="688">
        <f>huishoudens!L8</f>
        <v>0</v>
      </c>
      <c r="N11" s="688">
        <f>huishoudens!M8</f>
        <v>0</v>
      </c>
      <c r="O11" s="688">
        <f>huishoudens!N8</f>
        <v>14163.518541201585</v>
      </c>
      <c r="P11" s="688">
        <f>huishoudens!O8</f>
        <v>90.673333333333346</v>
      </c>
      <c r="Q11" s="689">
        <f>huishoudens!P8</f>
        <v>762.66666666666674</v>
      </c>
      <c r="R11" s="691">
        <f>SUM(C11:Q11)</f>
        <v>249054.93561851533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15096.870186990433</v>
      </c>
      <c r="D13" s="688">
        <f>industrie!C18</f>
        <v>0</v>
      </c>
      <c r="E13" s="688">
        <f>industrie!D18</f>
        <v>16987.92932917388</v>
      </c>
      <c r="F13" s="688">
        <f>industrie!E18</f>
        <v>135.78206308904538</v>
      </c>
      <c r="G13" s="688">
        <f>industrie!F18</f>
        <v>3480.0986186274986</v>
      </c>
      <c r="H13" s="688">
        <f>industrie!G18</f>
        <v>0</v>
      </c>
      <c r="I13" s="688">
        <f>industrie!H18</f>
        <v>0</v>
      </c>
      <c r="J13" s="688">
        <f>industrie!I18</f>
        <v>0</v>
      </c>
      <c r="K13" s="688">
        <f>industrie!J18</f>
        <v>46.266341753278617</v>
      </c>
      <c r="L13" s="688">
        <f>industrie!K18</f>
        <v>0</v>
      </c>
      <c r="M13" s="688">
        <f>industrie!L18</f>
        <v>0</v>
      </c>
      <c r="N13" s="688">
        <f>industrie!M18</f>
        <v>0</v>
      </c>
      <c r="O13" s="688">
        <f>industrie!N18</f>
        <v>451.80539190087831</v>
      </c>
      <c r="P13" s="688">
        <f>industrie!O18</f>
        <v>0</v>
      </c>
      <c r="Q13" s="689">
        <f>industrie!P18</f>
        <v>0</v>
      </c>
      <c r="R13" s="691">
        <f>SUM(C13:Q13)</f>
        <v>36198.751931535022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164720.94848335965</v>
      </c>
      <c r="D16" s="721">
        <f t="shared" ref="D16:R16" ca="1" si="0">SUM(D9:D15)</f>
        <v>0</v>
      </c>
      <c r="E16" s="721">
        <f t="shared" ca="1" si="0"/>
        <v>214109.98783913831</v>
      </c>
      <c r="F16" s="721">
        <f t="shared" si="0"/>
        <v>6444.1466928154168</v>
      </c>
      <c r="G16" s="721">
        <f t="shared" ca="1" si="0"/>
        <v>75407.727315660915</v>
      </c>
      <c r="H16" s="721">
        <f t="shared" si="0"/>
        <v>0</v>
      </c>
      <c r="I16" s="721">
        <f t="shared" si="0"/>
        <v>0</v>
      </c>
      <c r="J16" s="721">
        <f t="shared" si="0"/>
        <v>0</v>
      </c>
      <c r="K16" s="721">
        <f t="shared" si="0"/>
        <v>46.266341753278617</v>
      </c>
      <c r="L16" s="721">
        <f t="shared" si="0"/>
        <v>0</v>
      </c>
      <c r="M16" s="721">
        <f t="shared" ca="1" si="0"/>
        <v>0</v>
      </c>
      <c r="N16" s="721">
        <f t="shared" si="0"/>
        <v>0</v>
      </c>
      <c r="O16" s="721">
        <f t="shared" ca="1" si="0"/>
        <v>17738.278271066018</v>
      </c>
      <c r="P16" s="721">
        <f t="shared" si="0"/>
        <v>90.673333333333346</v>
      </c>
      <c r="Q16" s="721">
        <f t="shared" si="0"/>
        <v>762.66666666666674</v>
      </c>
      <c r="R16" s="721">
        <f t="shared" ca="1" si="0"/>
        <v>479320.69494379364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4986.0507229252416</v>
      </c>
      <c r="I19" s="688">
        <f>transport!H54</f>
        <v>0</v>
      </c>
      <c r="J19" s="688">
        <f>transport!I54</f>
        <v>0</v>
      </c>
      <c r="K19" s="688">
        <f>transport!J54</f>
        <v>0</v>
      </c>
      <c r="L19" s="688">
        <f>transport!K54</f>
        <v>0</v>
      </c>
      <c r="M19" s="688">
        <f>transport!L54</f>
        <v>0</v>
      </c>
      <c r="N19" s="688">
        <f>transport!M54</f>
        <v>218.94571224879786</v>
      </c>
      <c r="O19" s="688">
        <f>transport!N54</f>
        <v>0</v>
      </c>
      <c r="P19" s="688">
        <f>transport!O54</f>
        <v>0</v>
      </c>
      <c r="Q19" s="689">
        <f>transport!P54</f>
        <v>0</v>
      </c>
      <c r="R19" s="691">
        <f>SUM(C19:Q19)</f>
        <v>5204.9964351740391</v>
      </c>
      <c r="S19" s="68"/>
    </row>
    <row r="20" spans="1:19" s="457" customFormat="1">
      <c r="A20" s="803" t="s">
        <v>307</v>
      </c>
      <c r="B20" s="808"/>
      <c r="C20" s="688">
        <f>transport!B14</f>
        <v>7.333394077997073</v>
      </c>
      <c r="D20" s="688">
        <f>transport!C14</f>
        <v>0</v>
      </c>
      <c r="E20" s="688">
        <f>transport!D14</f>
        <v>20.67461273755838</v>
      </c>
      <c r="F20" s="688">
        <f>transport!E14</f>
        <v>1308.9180816313481</v>
      </c>
      <c r="G20" s="688">
        <f>transport!F14</f>
        <v>0</v>
      </c>
      <c r="H20" s="688">
        <f>transport!G14</f>
        <v>263778.41948053922</v>
      </c>
      <c r="I20" s="688">
        <f>transport!H14</f>
        <v>46868.133579849069</v>
      </c>
      <c r="J20" s="688">
        <f>transport!I14</f>
        <v>0</v>
      </c>
      <c r="K20" s="688">
        <f>transport!J14</f>
        <v>0</v>
      </c>
      <c r="L20" s="688">
        <f>transport!K14</f>
        <v>0</v>
      </c>
      <c r="M20" s="688">
        <f>transport!L14</f>
        <v>0</v>
      </c>
      <c r="N20" s="688">
        <f>transport!M14</f>
        <v>13890.038120574485</v>
      </c>
      <c r="O20" s="688">
        <f>transport!N14</f>
        <v>0</v>
      </c>
      <c r="P20" s="688">
        <f>transport!O14</f>
        <v>0</v>
      </c>
      <c r="Q20" s="689">
        <f>transport!P14</f>
        <v>0</v>
      </c>
      <c r="R20" s="691">
        <f>SUM(C20:Q20)</f>
        <v>325873.51726940973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7.333394077997073</v>
      </c>
      <c r="D22" s="806">
        <f t="shared" ref="D22:R22" si="1">SUM(D18:D21)</f>
        <v>0</v>
      </c>
      <c r="E22" s="806">
        <f t="shared" si="1"/>
        <v>20.67461273755838</v>
      </c>
      <c r="F22" s="806">
        <f t="shared" si="1"/>
        <v>1308.9180816313481</v>
      </c>
      <c r="G22" s="806">
        <f t="shared" si="1"/>
        <v>0</v>
      </c>
      <c r="H22" s="806">
        <f t="shared" si="1"/>
        <v>268764.47020346444</v>
      </c>
      <c r="I22" s="806">
        <f t="shared" si="1"/>
        <v>46868.133579849069</v>
      </c>
      <c r="J22" s="806">
        <f t="shared" si="1"/>
        <v>0</v>
      </c>
      <c r="K22" s="806">
        <f t="shared" si="1"/>
        <v>0</v>
      </c>
      <c r="L22" s="806">
        <f t="shared" si="1"/>
        <v>0</v>
      </c>
      <c r="M22" s="806">
        <f t="shared" si="1"/>
        <v>0</v>
      </c>
      <c r="N22" s="806">
        <f t="shared" si="1"/>
        <v>14108.983832823284</v>
      </c>
      <c r="O22" s="806">
        <f t="shared" si="1"/>
        <v>0</v>
      </c>
      <c r="P22" s="806">
        <f t="shared" si="1"/>
        <v>0</v>
      </c>
      <c r="Q22" s="806">
        <f t="shared" si="1"/>
        <v>0</v>
      </c>
      <c r="R22" s="806">
        <f t="shared" si="1"/>
        <v>331078.51370458375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985.83835396339862</v>
      </c>
      <c r="D24" s="688">
        <f>+landbouw!C8</f>
        <v>0</v>
      </c>
      <c r="E24" s="688">
        <f>+landbouw!D8</f>
        <v>1517.1559621388494</v>
      </c>
      <c r="F24" s="688">
        <f>+landbouw!E8</f>
        <v>9.2872578276999107</v>
      </c>
      <c r="G24" s="688">
        <f>+landbouw!F8</f>
        <v>3217.1177199990238</v>
      </c>
      <c r="H24" s="688">
        <f>+landbouw!G8</f>
        <v>0</v>
      </c>
      <c r="I24" s="688">
        <f>+landbouw!H8</f>
        <v>0</v>
      </c>
      <c r="J24" s="688">
        <f>+landbouw!I8</f>
        <v>0</v>
      </c>
      <c r="K24" s="688">
        <f>+landbouw!J8</f>
        <v>121.952999502105</v>
      </c>
      <c r="L24" s="688">
        <f>+landbouw!K8</f>
        <v>0</v>
      </c>
      <c r="M24" s="688">
        <f>+landbouw!L8</f>
        <v>0</v>
      </c>
      <c r="N24" s="688">
        <f>+landbouw!M8</f>
        <v>0</v>
      </c>
      <c r="O24" s="688">
        <f>+landbouw!N8</f>
        <v>0</v>
      </c>
      <c r="P24" s="688">
        <f>+landbouw!O8</f>
        <v>0</v>
      </c>
      <c r="Q24" s="689">
        <f>+landbouw!P8</f>
        <v>0</v>
      </c>
      <c r="R24" s="691">
        <f>SUM(C24:Q24)</f>
        <v>5851.3522934310759</v>
      </c>
      <c r="S24" s="68"/>
    </row>
    <row r="25" spans="1:19" s="457" customFormat="1" ht="15" thickBot="1">
      <c r="A25" s="825" t="s">
        <v>912</v>
      </c>
      <c r="B25" s="1001"/>
      <c r="C25" s="1002">
        <f>IF(Onbekend_ele_kWh="---",0,Onbekend_ele_kWh)/1000+IF(REST_rest_ele_kWh="---",0,REST_rest_ele_kWh)/1000</f>
        <v>1797.2494216497998</v>
      </c>
      <c r="D25" s="1002"/>
      <c r="E25" s="1002">
        <f>IF(onbekend_gas_kWh="---",0,onbekend_gas_kWh)/1000+IF(REST_rest_gas_kWh="---",0,REST_rest_gas_kWh)/1000</f>
        <v>6631.1951983781</v>
      </c>
      <c r="F25" s="1002"/>
      <c r="G25" s="1002"/>
      <c r="H25" s="1002"/>
      <c r="I25" s="1002"/>
      <c r="J25" s="1002"/>
      <c r="K25" s="1002"/>
      <c r="L25" s="1002"/>
      <c r="M25" s="1002"/>
      <c r="N25" s="1002"/>
      <c r="O25" s="1002"/>
      <c r="P25" s="1002"/>
      <c r="Q25" s="1003"/>
      <c r="R25" s="691">
        <f>SUM(C25:Q25)</f>
        <v>8428.4446200278999</v>
      </c>
      <c r="S25" s="68"/>
    </row>
    <row r="26" spans="1:19" s="457" customFormat="1" ht="15.75" thickBot="1">
      <c r="A26" s="694" t="s">
        <v>913</v>
      </c>
      <c r="B26" s="811"/>
      <c r="C26" s="806">
        <f>SUM(C24:C25)</f>
        <v>2783.0877756131986</v>
      </c>
      <c r="D26" s="806">
        <f t="shared" ref="D26:R26" si="2">SUM(D24:D25)</f>
        <v>0</v>
      </c>
      <c r="E26" s="806">
        <f t="shared" si="2"/>
        <v>8148.3511605169497</v>
      </c>
      <c r="F26" s="806">
        <f t="shared" si="2"/>
        <v>9.2872578276999107</v>
      </c>
      <c r="G26" s="806">
        <f t="shared" si="2"/>
        <v>3217.1177199990238</v>
      </c>
      <c r="H26" s="806">
        <f t="shared" si="2"/>
        <v>0</v>
      </c>
      <c r="I26" s="806">
        <f t="shared" si="2"/>
        <v>0</v>
      </c>
      <c r="J26" s="806">
        <f t="shared" si="2"/>
        <v>0</v>
      </c>
      <c r="K26" s="806">
        <f t="shared" si="2"/>
        <v>121.952999502105</v>
      </c>
      <c r="L26" s="806">
        <f t="shared" si="2"/>
        <v>0</v>
      </c>
      <c r="M26" s="806">
        <f t="shared" si="2"/>
        <v>0</v>
      </c>
      <c r="N26" s="806">
        <f t="shared" si="2"/>
        <v>0</v>
      </c>
      <c r="O26" s="806">
        <f t="shared" si="2"/>
        <v>0</v>
      </c>
      <c r="P26" s="806">
        <f t="shared" si="2"/>
        <v>0</v>
      </c>
      <c r="Q26" s="806">
        <f t="shared" si="2"/>
        <v>0</v>
      </c>
      <c r="R26" s="806">
        <f t="shared" si="2"/>
        <v>14279.796913458977</v>
      </c>
      <c r="S26" s="68"/>
    </row>
    <row r="27" spans="1:19" s="457" customFormat="1" ht="17.25" thickTop="1" thickBot="1">
      <c r="A27" s="695" t="s">
        <v>116</v>
      </c>
      <c r="B27" s="798"/>
      <c r="C27" s="696">
        <f ca="1">C22+C16+C26</f>
        <v>167511.36965305085</v>
      </c>
      <c r="D27" s="696">
        <f t="shared" ref="D27:R27" ca="1" si="3">D22+D16+D26</f>
        <v>0</v>
      </c>
      <c r="E27" s="696">
        <f t="shared" ca="1" si="3"/>
        <v>222279.01361239282</v>
      </c>
      <c r="F27" s="696">
        <f t="shared" si="3"/>
        <v>7762.3520322744653</v>
      </c>
      <c r="G27" s="696">
        <f t="shared" ca="1" si="3"/>
        <v>78624.845035659935</v>
      </c>
      <c r="H27" s="696">
        <f t="shared" si="3"/>
        <v>268764.47020346444</v>
      </c>
      <c r="I27" s="696">
        <f t="shared" si="3"/>
        <v>46868.133579849069</v>
      </c>
      <c r="J27" s="696">
        <f t="shared" si="3"/>
        <v>0</v>
      </c>
      <c r="K27" s="696">
        <f t="shared" si="3"/>
        <v>168.21934125538363</v>
      </c>
      <c r="L27" s="696">
        <f t="shared" si="3"/>
        <v>0</v>
      </c>
      <c r="M27" s="696">
        <f t="shared" ca="1" si="3"/>
        <v>0</v>
      </c>
      <c r="N27" s="696">
        <f t="shared" si="3"/>
        <v>14108.983832823284</v>
      </c>
      <c r="O27" s="696">
        <f t="shared" ca="1" si="3"/>
        <v>17738.278271066018</v>
      </c>
      <c r="P27" s="696">
        <f t="shared" si="3"/>
        <v>90.673333333333346</v>
      </c>
      <c r="Q27" s="696">
        <f t="shared" si="3"/>
        <v>762.66666666666674</v>
      </c>
      <c r="R27" s="696">
        <f t="shared" ca="1" si="3"/>
        <v>824679.0055618363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17059.380600596494</v>
      </c>
      <c r="D40" s="688">
        <f ca="1">tertiair!C20</f>
        <v>0</v>
      </c>
      <c r="E40" s="688">
        <f ca="1">tertiair!D20</f>
        <v>15624.029346579535</v>
      </c>
      <c r="F40" s="688">
        <f>tertiair!E20</f>
        <v>125.17775727321683</v>
      </c>
      <c r="G40" s="688">
        <f ca="1">tertiair!F20</f>
        <v>4554.6585689240346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37363.246273373283</v>
      </c>
    </row>
    <row r="41" spans="1:18">
      <c r="A41" s="816" t="s">
        <v>225</v>
      </c>
      <c r="B41" s="823"/>
      <c r="C41" s="688">
        <f ca="1">huishoudens!B12</f>
        <v>9532.6222220997461</v>
      </c>
      <c r="D41" s="688">
        <f ca="1">huishoudens!C12</f>
        <v>0</v>
      </c>
      <c r="E41" s="688">
        <f>huishoudens!D12</f>
        <v>24194.626472433283</v>
      </c>
      <c r="F41" s="688">
        <f>huishoudens!E12</f>
        <v>1306.8210136746695</v>
      </c>
      <c r="G41" s="688">
        <f>huishoudens!F12</f>
        <v>14650.018293183888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49684.088001391588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2683.0976618024056</v>
      </c>
      <c r="D43" s="688">
        <f ca="1">industrie!C22</f>
        <v>0</v>
      </c>
      <c r="E43" s="688">
        <f>industrie!D22</f>
        <v>3431.5617244931241</v>
      </c>
      <c r="F43" s="688">
        <f>industrie!E22</f>
        <v>30.822528321213301</v>
      </c>
      <c r="G43" s="688">
        <f>industrie!F22</f>
        <v>929.18633117354216</v>
      </c>
      <c r="H43" s="688">
        <f>industrie!G22</f>
        <v>0</v>
      </c>
      <c r="I43" s="688">
        <f>industrie!H22</f>
        <v>0</v>
      </c>
      <c r="J43" s="688">
        <f>industrie!I22</f>
        <v>0</v>
      </c>
      <c r="K43" s="688">
        <f>industrie!J22</f>
        <v>16.378284980660631</v>
      </c>
      <c r="L43" s="688">
        <f>industrie!K22</f>
        <v>0</v>
      </c>
      <c r="M43" s="688">
        <f>industrie!L22</f>
        <v>0</v>
      </c>
      <c r="N43" s="688">
        <f>industrie!M22</f>
        <v>0</v>
      </c>
      <c r="O43" s="688">
        <f>industrie!N22</f>
        <v>0</v>
      </c>
      <c r="P43" s="688">
        <f>industrie!O22</f>
        <v>0</v>
      </c>
      <c r="Q43" s="763">
        <f>industrie!P22</f>
        <v>0</v>
      </c>
      <c r="R43" s="843">
        <f t="shared" ca="1" si="4"/>
        <v>7091.0465307709455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29275.100484498646</v>
      </c>
      <c r="D46" s="721">
        <f t="shared" ref="D46:Q46" ca="1" si="5">SUM(D39:D45)</f>
        <v>0</v>
      </c>
      <c r="E46" s="721">
        <f t="shared" ca="1" si="5"/>
        <v>43250.217543505947</v>
      </c>
      <c r="F46" s="721">
        <f t="shared" si="5"/>
        <v>1462.8212992690997</v>
      </c>
      <c r="G46" s="721">
        <f t="shared" ca="1" si="5"/>
        <v>20133.863193281468</v>
      </c>
      <c r="H46" s="721">
        <f t="shared" si="5"/>
        <v>0</v>
      </c>
      <c r="I46" s="721">
        <f t="shared" si="5"/>
        <v>0</v>
      </c>
      <c r="J46" s="721">
        <f t="shared" si="5"/>
        <v>0</v>
      </c>
      <c r="K46" s="721">
        <f t="shared" si="5"/>
        <v>16.378284980660631</v>
      </c>
      <c r="L46" s="721">
        <f t="shared" si="5"/>
        <v>0</v>
      </c>
      <c r="M46" s="721">
        <f t="shared" ca="1" si="5"/>
        <v>0</v>
      </c>
      <c r="N46" s="721">
        <f t="shared" si="5"/>
        <v>0</v>
      </c>
      <c r="O46" s="721">
        <f t="shared" ca="1" si="5"/>
        <v>0</v>
      </c>
      <c r="P46" s="721">
        <f t="shared" si="5"/>
        <v>0</v>
      </c>
      <c r="Q46" s="721">
        <f t="shared" si="5"/>
        <v>0</v>
      </c>
      <c r="R46" s="721">
        <f ca="1">SUM(R39:R45)</f>
        <v>94138.380805535824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1331.2755430210395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1331.2755430210395</v>
      </c>
    </row>
    <row r="50" spans="1:18">
      <c r="A50" s="819" t="s">
        <v>307</v>
      </c>
      <c r="B50" s="829"/>
      <c r="C50" s="1008">
        <f ca="1">transport!B18</f>
        <v>1.3033305751483062</v>
      </c>
      <c r="D50" s="1008">
        <f>transport!C18</f>
        <v>0</v>
      </c>
      <c r="E50" s="1008">
        <f>transport!D18</f>
        <v>4.1762717729867935</v>
      </c>
      <c r="F50" s="1008">
        <f>transport!E18</f>
        <v>297.12440453031604</v>
      </c>
      <c r="G50" s="1008">
        <f>transport!F18</f>
        <v>0</v>
      </c>
      <c r="H50" s="1008">
        <f>transport!G18</f>
        <v>70428.838001303971</v>
      </c>
      <c r="I50" s="1008">
        <f>transport!H18</f>
        <v>11670.165261382419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82401.607269564847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1.3033305751483062</v>
      </c>
      <c r="D52" s="721">
        <f t="shared" ref="D52:Q52" ca="1" si="6">SUM(D48:D51)</f>
        <v>0</v>
      </c>
      <c r="E52" s="721">
        <f t="shared" si="6"/>
        <v>4.1762717729867935</v>
      </c>
      <c r="F52" s="721">
        <f t="shared" si="6"/>
        <v>297.12440453031604</v>
      </c>
      <c r="G52" s="721">
        <f t="shared" si="6"/>
        <v>0</v>
      </c>
      <c r="H52" s="721">
        <f t="shared" si="6"/>
        <v>71760.11354432501</v>
      </c>
      <c r="I52" s="721">
        <f t="shared" si="6"/>
        <v>11670.165261382419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83732.882812585885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175.20853989416392</v>
      </c>
      <c r="D54" s="1008">
        <f ca="1">+landbouw!C12</f>
        <v>0</v>
      </c>
      <c r="E54" s="1008">
        <f>+landbouw!D12</f>
        <v>306.46550435204762</v>
      </c>
      <c r="F54" s="1008">
        <f>+landbouw!E12</f>
        <v>2.1082075268878797</v>
      </c>
      <c r="G54" s="1008">
        <f>+landbouw!F12</f>
        <v>858.97043123973947</v>
      </c>
      <c r="H54" s="1008">
        <f>+landbouw!G12</f>
        <v>0</v>
      </c>
      <c r="I54" s="1008">
        <f>+landbouw!H12</f>
        <v>0</v>
      </c>
      <c r="J54" s="1008">
        <f>+landbouw!I12</f>
        <v>0</v>
      </c>
      <c r="K54" s="1008">
        <f>+landbouw!J12</f>
        <v>43.171361823745166</v>
      </c>
      <c r="L54" s="1008">
        <f>+landbouw!K12</f>
        <v>0</v>
      </c>
      <c r="M54" s="1008">
        <f>+landbouw!L12</f>
        <v>0</v>
      </c>
      <c r="N54" s="1008">
        <f>+landbouw!M12</f>
        <v>0</v>
      </c>
      <c r="O54" s="1008">
        <f>+landbouw!N12</f>
        <v>0</v>
      </c>
      <c r="P54" s="1008">
        <f>+landbouw!O12</f>
        <v>0</v>
      </c>
      <c r="Q54" s="1009">
        <f>+landbouw!P12</f>
        <v>0</v>
      </c>
      <c r="R54" s="720">
        <f ca="1">SUM(C54:Q54)</f>
        <v>1385.9240448365842</v>
      </c>
    </row>
    <row r="55" spans="1:18" ht="15" thickBot="1">
      <c r="A55" s="819" t="s">
        <v>912</v>
      </c>
      <c r="B55" s="829"/>
      <c r="C55" s="1008">
        <f ca="1">C25*'EF ele_warmte'!B12</f>
        <v>319.41691629963009</v>
      </c>
      <c r="D55" s="1008"/>
      <c r="E55" s="1008">
        <f>E25*EF_CO2_aardgas</f>
        <v>1339.5014300723763</v>
      </c>
      <c r="F55" s="1008"/>
      <c r="G55" s="1008"/>
      <c r="H55" s="1008"/>
      <c r="I55" s="1008"/>
      <c r="J55" s="1008"/>
      <c r="K55" s="1008"/>
      <c r="L55" s="1008"/>
      <c r="M55" s="1008"/>
      <c r="N55" s="1008"/>
      <c r="O55" s="1008"/>
      <c r="P55" s="1008"/>
      <c r="Q55" s="1009"/>
      <c r="R55" s="720">
        <f ca="1">SUM(C55:Q55)</f>
        <v>1658.9183463720065</v>
      </c>
    </row>
    <row r="56" spans="1:18" ht="15.75" thickBot="1">
      <c r="A56" s="817" t="s">
        <v>913</v>
      </c>
      <c r="B56" s="830"/>
      <c r="C56" s="721">
        <f ca="1">SUM(C54:C55)</f>
        <v>494.62545619379398</v>
      </c>
      <c r="D56" s="721">
        <f t="shared" ref="D56:Q56" ca="1" si="7">SUM(D54:D55)</f>
        <v>0</v>
      </c>
      <c r="E56" s="721">
        <f t="shared" si="7"/>
        <v>1645.9669344244239</v>
      </c>
      <c r="F56" s="721">
        <f t="shared" si="7"/>
        <v>2.1082075268878797</v>
      </c>
      <c r="G56" s="721">
        <f t="shared" si="7"/>
        <v>858.97043123973947</v>
      </c>
      <c r="H56" s="721">
        <f t="shared" si="7"/>
        <v>0</v>
      </c>
      <c r="I56" s="721">
        <f t="shared" si="7"/>
        <v>0</v>
      </c>
      <c r="J56" s="721">
        <f t="shared" si="7"/>
        <v>0</v>
      </c>
      <c r="K56" s="721">
        <f t="shared" si="7"/>
        <v>43.171361823745166</v>
      </c>
      <c r="L56" s="721">
        <f t="shared" si="7"/>
        <v>0</v>
      </c>
      <c r="M56" s="721">
        <f t="shared" si="7"/>
        <v>0</v>
      </c>
      <c r="N56" s="721">
        <f t="shared" si="7"/>
        <v>0</v>
      </c>
      <c r="O56" s="721">
        <f t="shared" si="7"/>
        <v>0</v>
      </c>
      <c r="P56" s="721">
        <f t="shared" si="7"/>
        <v>0</v>
      </c>
      <c r="Q56" s="722">
        <f t="shared" si="7"/>
        <v>0</v>
      </c>
      <c r="R56" s="723">
        <f ca="1">SUM(R54:R55)</f>
        <v>3044.8423912085909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29771.029271267587</v>
      </c>
      <c r="D61" s="729">
        <f t="shared" ref="D61:Q61" ca="1" si="8">D46+D52+D56</f>
        <v>0</v>
      </c>
      <c r="E61" s="729">
        <f t="shared" ca="1" si="8"/>
        <v>44900.360749703359</v>
      </c>
      <c r="F61" s="729">
        <f t="shared" si="8"/>
        <v>1762.0539113263035</v>
      </c>
      <c r="G61" s="729">
        <f t="shared" ca="1" si="8"/>
        <v>20992.833624521209</v>
      </c>
      <c r="H61" s="729">
        <f t="shared" si="8"/>
        <v>71760.11354432501</v>
      </c>
      <c r="I61" s="729">
        <f t="shared" si="8"/>
        <v>11670.165261382419</v>
      </c>
      <c r="J61" s="729">
        <f t="shared" si="8"/>
        <v>0</v>
      </c>
      <c r="K61" s="729">
        <f t="shared" si="8"/>
        <v>59.549646804405796</v>
      </c>
      <c r="L61" s="729">
        <f t="shared" si="8"/>
        <v>0</v>
      </c>
      <c r="M61" s="729">
        <f t="shared" ca="1" si="8"/>
        <v>0</v>
      </c>
      <c r="N61" s="729">
        <f t="shared" si="8"/>
        <v>0</v>
      </c>
      <c r="O61" s="729">
        <f t="shared" ca="1" si="8"/>
        <v>0</v>
      </c>
      <c r="P61" s="729">
        <f t="shared" si="8"/>
        <v>0</v>
      </c>
      <c r="Q61" s="729">
        <f t="shared" si="8"/>
        <v>0</v>
      </c>
      <c r="R61" s="729">
        <f ca="1">R46+R52+R56</f>
        <v>180916.10600933031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0.17772542444688544</v>
      </c>
      <c r="D63" s="773">
        <f t="shared" ca="1" si="9"/>
        <v>0</v>
      </c>
      <c r="E63" s="1010">
        <f t="shared" ca="1" si="9"/>
        <v>0.20200000000000004</v>
      </c>
      <c r="F63" s="773">
        <f t="shared" si="9"/>
        <v>0.22699999999999998</v>
      </c>
      <c r="G63" s="773">
        <f t="shared" ca="1" si="9"/>
        <v>0.26700000000000007</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9040.8299640572259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23760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59400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32800.829964057222</v>
      </c>
      <c r="C78" s="744">
        <f>SUM(C72:C77)</f>
        <v>0</v>
      </c>
      <c r="D78" s="745">
        <f t="shared" ref="D78:H78" si="10">SUM(D76:D77)</f>
        <v>0</v>
      </c>
      <c r="E78" s="745">
        <f t="shared" si="10"/>
        <v>0</v>
      </c>
      <c r="F78" s="745">
        <f t="shared" si="10"/>
        <v>0</v>
      </c>
      <c r="G78" s="745">
        <f t="shared" si="10"/>
        <v>0</v>
      </c>
      <c r="H78" s="745">
        <f t="shared" si="10"/>
        <v>0</v>
      </c>
      <c r="I78" s="745">
        <f>SUM(I76:I77)</f>
        <v>59400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9040.8299640572259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23760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59400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32800.829964057222</v>
      </c>
      <c r="C10" s="570">
        <f t="shared" ref="C10:L10" si="0">SUM(C8:C9)</f>
        <v>0</v>
      </c>
      <c r="D10" s="570">
        <f t="shared" si="0"/>
        <v>0</v>
      </c>
      <c r="E10" s="570">
        <f t="shared" si="0"/>
        <v>0</v>
      </c>
      <c r="F10" s="570">
        <f t="shared" si="0"/>
        <v>0</v>
      </c>
      <c r="G10" s="570">
        <f t="shared" si="0"/>
        <v>0</v>
      </c>
      <c r="H10" s="570">
        <f t="shared" si="0"/>
        <v>0</v>
      </c>
      <c r="I10" s="570">
        <f t="shared" si="0"/>
        <v>59400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23002</v>
      </c>
      <c r="C64" s="789">
        <v>1730</v>
      </c>
      <c r="D64" s="644" t="s">
        <v>948</v>
      </c>
      <c r="E64" s="644" t="s">
        <v>949</v>
      </c>
      <c r="F64" s="644" t="s">
        <v>950</v>
      </c>
      <c r="G64" s="644" t="s">
        <v>951</v>
      </c>
      <c r="H64" s="644" t="s">
        <v>952</v>
      </c>
      <c r="I64" s="644" t="s">
        <v>949</v>
      </c>
      <c r="J64" s="788">
        <v>38353</v>
      </c>
      <c r="K64" s="788">
        <v>38505</v>
      </c>
      <c r="L64" s="644" t="s">
        <v>953</v>
      </c>
      <c r="M64" s="644">
        <v>5280</v>
      </c>
      <c r="N64" s="644">
        <v>23760</v>
      </c>
      <c r="O64" s="644">
        <v>0</v>
      </c>
      <c r="P64" s="644">
        <v>0</v>
      </c>
      <c r="Q64" s="644">
        <v>0</v>
      </c>
      <c r="R64" s="644">
        <v>0</v>
      </c>
      <c r="S64" s="644">
        <v>0</v>
      </c>
      <c r="T64" s="644">
        <v>59400</v>
      </c>
      <c r="U64" s="644">
        <v>0</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5280</v>
      </c>
      <c r="N89" s="599">
        <f t="shared" ref="N89:W89" si="5">SUM(N64:N88)</f>
        <v>23760</v>
      </c>
      <c r="O89" s="599">
        <f t="shared" si="5"/>
        <v>0</v>
      </c>
      <c r="P89" s="599">
        <f t="shared" si="5"/>
        <v>0</v>
      </c>
      <c r="Q89" s="599">
        <f t="shared" si="5"/>
        <v>0</v>
      </c>
      <c r="R89" s="599">
        <f t="shared" si="5"/>
        <v>0</v>
      </c>
      <c r="S89" s="599">
        <f t="shared" si="5"/>
        <v>0</v>
      </c>
      <c r="T89" s="599">
        <f t="shared" si="5"/>
        <v>59400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5280</v>
      </c>
      <c r="N92" s="604">
        <f t="shared" si="8"/>
        <v>23760</v>
      </c>
      <c r="O92" s="604">
        <f t="shared" si="8"/>
        <v>0</v>
      </c>
      <c r="P92" s="604">
        <f t="shared" si="8"/>
        <v>0</v>
      </c>
      <c r="Q92" s="604">
        <f t="shared" si="8"/>
        <v>0</v>
      </c>
      <c r="R92" s="604">
        <f t="shared" si="8"/>
        <v>0</v>
      </c>
      <c r="S92" s="604">
        <f t="shared" si="8"/>
        <v>0</v>
      </c>
      <c r="T92" s="604">
        <f t="shared" si="8"/>
        <v>59400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53636.795364349462</v>
      </c>
      <c r="C4" s="461">
        <f>huishoudens!C8</f>
        <v>0</v>
      </c>
      <c r="D4" s="461">
        <f>huishoudens!D8</f>
        <v>119775.37857640238</v>
      </c>
      <c r="E4" s="461">
        <f>huishoudens!E8</f>
        <v>5756.9207650866492</v>
      </c>
      <c r="F4" s="461">
        <f>huishoudens!F8</f>
        <v>54868.982371475235</v>
      </c>
      <c r="G4" s="461">
        <f>huishoudens!G8</f>
        <v>0</v>
      </c>
      <c r="H4" s="461">
        <f>huishoudens!H8</f>
        <v>0</v>
      </c>
      <c r="I4" s="461">
        <f>huishoudens!I8</f>
        <v>0</v>
      </c>
      <c r="J4" s="461">
        <f>huishoudens!J8</f>
        <v>0</v>
      </c>
      <c r="K4" s="461">
        <f>huishoudens!K8</f>
        <v>0</v>
      </c>
      <c r="L4" s="461">
        <f>huishoudens!L8</f>
        <v>0</v>
      </c>
      <c r="M4" s="461">
        <f>huishoudens!M8</f>
        <v>0</v>
      </c>
      <c r="N4" s="461">
        <f>huishoudens!N8</f>
        <v>14163.518541201585</v>
      </c>
      <c r="O4" s="461">
        <f>huishoudens!O8</f>
        <v>90.673333333333346</v>
      </c>
      <c r="P4" s="462">
        <f>huishoudens!P8</f>
        <v>762.66666666666674</v>
      </c>
      <c r="Q4" s="463">
        <f>SUM(B4:P4)</f>
        <v>249054.93561851533</v>
      </c>
    </row>
    <row r="5" spans="1:17">
      <c r="A5" s="460" t="s">
        <v>156</v>
      </c>
      <c r="B5" s="461">
        <f ca="1">tertiair!B16</f>
        <v>93916.992932019755</v>
      </c>
      <c r="C5" s="461">
        <f ca="1">tertiair!C16</f>
        <v>0</v>
      </c>
      <c r="D5" s="461">
        <f ca="1">tertiair!D16</f>
        <v>77346.679933562045</v>
      </c>
      <c r="E5" s="461">
        <f>tertiair!E16</f>
        <v>551.44386463972171</v>
      </c>
      <c r="F5" s="461">
        <f ca="1">tertiair!F16</f>
        <v>17058.64632555818</v>
      </c>
      <c r="G5" s="461">
        <f>tertiair!G16</f>
        <v>0</v>
      </c>
      <c r="H5" s="461">
        <f>tertiair!H16</f>
        <v>0</v>
      </c>
      <c r="I5" s="461">
        <f>tertiair!I16</f>
        <v>0</v>
      </c>
      <c r="J5" s="461">
        <f>tertiair!J16</f>
        <v>0</v>
      </c>
      <c r="K5" s="461">
        <f>tertiair!K16</f>
        <v>0</v>
      </c>
      <c r="L5" s="461">
        <f ca="1">tertiair!L16</f>
        <v>0</v>
      </c>
      <c r="M5" s="461">
        <f>tertiair!M16</f>
        <v>0</v>
      </c>
      <c r="N5" s="461">
        <f ca="1">tertiair!N16</f>
        <v>3122.9543379635543</v>
      </c>
      <c r="O5" s="461">
        <f>tertiair!O16</f>
        <v>0</v>
      </c>
      <c r="P5" s="462">
        <f>tertiair!P16</f>
        <v>0</v>
      </c>
      <c r="Q5" s="460">
        <f t="shared" ref="Q5:Q14" ca="1" si="0">SUM(B5:P5)</f>
        <v>191996.71739374328</v>
      </c>
    </row>
    <row r="6" spans="1:17">
      <c r="A6" s="460" t="s">
        <v>194</v>
      </c>
      <c r="B6" s="461">
        <f>'openbare verlichting'!B8</f>
        <v>2070.29</v>
      </c>
      <c r="C6" s="461"/>
      <c r="D6" s="461"/>
      <c r="E6" s="461"/>
      <c r="F6" s="461"/>
      <c r="G6" s="461"/>
      <c r="H6" s="461"/>
      <c r="I6" s="461"/>
      <c r="J6" s="461"/>
      <c r="K6" s="461"/>
      <c r="L6" s="461"/>
      <c r="M6" s="461"/>
      <c r="N6" s="461"/>
      <c r="O6" s="461"/>
      <c r="P6" s="462"/>
      <c r="Q6" s="460">
        <f t="shared" si="0"/>
        <v>2070.29</v>
      </c>
    </row>
    <row r="7" spans="1:17">
      <c r="A7" s="460" t="s">
        <v>112</v>
      </c>
      <c r="B7" s="461">
        <f>landbouw!B8</f>
        <v>985.83835396339862</v>
      </c>
      <c r="C7" s="461">
        <f>landbouw!C8</f>
        <v>0</v>
      </c>
      <c r="D7" s="461">
        <f>landbouw!D8</f>
        <v>1517.1559621388494</v>
      </c>
      <c r="E7" s="461">
        <f>landbouw!E8</f>
        <v>9.2872578276999107</v>
      </c>
      <c r="F7" s="461">
        <f>landbouw!F8</f>
        <v>3217.1177199990238</v>
      </c>
      <c r="G7" s="461">
        <f>landbouw!G8</f>
        <v>0</v>
      </c>
      <c r="H7" s="461">
        <f>landbouw!H8</f>
        <v>0</v>
      </c>
      <c r="I7" s="461">
        <f>landbouw!I8</f>
        <v>0</v>
      </c>
      <c r="J7" s="461">
        <f>landbouw!J8</f>
        <v>121.952999502105</v>
      </c>
      <c r="K7" s="461">
        <f>landbouw!K8</f>
        <v>0</v>
      </c>
      <c r="L7" s="461">
        <f>landbouw!L8</f>
        <v>0</v>
      </c>
      <c r="M7" s="461">
        <f>landbouw!M8</f>
        <v>0</v>
      </c>
      <c r="N7" s="461">
        <f>landbouw!N8</f>
        <v>0</v>
      </c>
      <c r="O7" s="461">
        <f>landbouw!O8</f>
        <v>0</v>
      </c>
      <c r="P7" s="462">
        <f>landbouw!P8</f>
        <v>0</v>
      </c>
      <c r="Q7" s="460">
        <f t="shared" si="0"/>
        <v>5851.3522934310759</v>
      </c>
    </row>
    <row r="8" spans="1:17">
      <c r="A8" s="460" t="s">
        <v>685</v>
      </c>
      <c r="B8" s="461">
        <f>industrie!B18</f>
        <v>15096.870186990433</v>
      </c>
      <c r="C8" s="461">
        <f>industrie!C18</f>
        <v>0</v>
      </c>
      <c r="D8" s="461">
        <f>industrie!D18</f>
        <v>16987.92932917388</v>
      </c>
      <c r="E8" s="461">
        <f>industrie!E18</f>
        <v>135.78206308904538</v>
      </c>
      <c r="F8" s="461">
        <f>industrie!F18</f>
        <v>3480.0986186274986</v>
      </c>
      <c r="G8" s="461">
        <f>industrie!G18</f>
        <v>0</v>
      </c>
      <c r="H8" s="461">
        <f>industrie!H18</f>
        <v>0</v>
      </c>
      <c r="I8" s="461">
        <f>industrie!I18</f>
        <v>0</v>
      </c>
      <c r="J8" s="461">
        <f>industrie!J18</f>
        <v>46.266341753278617</v>
      </c>
      <c r="K8" s="461">
        <f>industrie!K18</f>
        <v>0</v>
      </c>
      <c r="L8" s="461">
        <f>industrie!L18</f>
        <v>0</v>
      </c>
      <c r="M8" s="461">
        <f>industrie!M18</f>
        <v>0</v>
      </c>
      <c r="N8" s="461">
        <f>industrie!N18</f>
        <v>451.80539190087831</v>
      </c>
      <c r="O8" s="461">
        <f>industrie!O18</f>
        <v>0</v>
      </c>
      <c r="P8" s="462">
        <f>industrie!P18</f>
        <v>0</v>
      </c>
      <c r="Q8" s="460">
        <f t="shared" si="0"/>
        <v>36198.751931535022</v>
      </c>
    </row>
    <row r="9" spans="1:17" s="466" customFormat="1">
      <c r="A9" s="464" t="s">
        <v>579</v>
      </c>
      <c r="B9" s="465">
        <f>transport!B14</f>
        <v>7.333394077997073</v>
      </c>
      <c r="C9" s="465">
        <f>transport!C14</f>
        <v>0</v>
      </c>
      <c r="D9" s="465">
        <f>transport!D14</f>
        <v>20.67461273755838</v>
      </c>
      <c r="E9" s="465">
        <f>transport!E14</f>
        <v>1308.9180816313481</v>
      </c>
      <c r="F9" s="465">
        <f>transport!F14</f>
        <v>0</v>
      </c>
      <c r="G9" s="465">
        <f>transport!G14</f>
        <v>263778.41948053922</v>
      </c>
      <c r="H9" s="465">
        <f>transport!H14</f>
        <v>46868.133579849069</v>
      </c>
      <c r="I9" s="465">
        <f>transport!I14</f>
        <v>0</v>
      </c>
      <c r="J9" s="465">
        <f>transport!J14</f>
        <v>0</v>
      </c>
      <c r="K9" s="465">
        <f>transport!K14</f>
        <v>0</v>
      </c>
      <c r="L9" s="465">
        <f>transport!L14</f>
        <v>0</v>
      </c>
      <c r="M9" s="465">
        <f>transport!M14</f>
        <v>13890.038120574485</v>
      </c>
      <c r="N9" s="465">
        <f>transport!N14</f>
        <v>0</v>
      </c>
      <c r="O9" s="465">
        <f>transport!O14</f>
        <v>0</v>
      </c>
      <c r="P9" s="465">
        <f>transport!P14</f>
        <v>0</v>
      </c>
      <c r="Q9" s="464">
        <f>SUM(B9:P9)</f>
        <v>325873.51726940973</v>
      </c>
    </row>
    <row r="10" spans="1:17">
      <c r="A10" s="460" t="s">
        <v>569</v>
      </c>
      <c r="B10" s="461">
        <f>transport!B54</f>
        <v>0</v>
      </c>
      <c r="C10" s="461">
        <f>transport!C54</f>
        <v>0</v>
      </c>
      <c r="D10" s="461">
        <f>transport!D54</f>
        <v>0</v>
      </c>
      <c r="E10" s="461">
        <f>transport!E54</f>
        <v>0</v>
      </c>
      <c r="F10" s="461">
        <f>transport!F54</f>
        <v>0</v>
      </c>
      <c r="G10" s="461">
        <f>transport!G54</f>
        <v>4986.0507229252416</v>
      </c>
      <c r="H10" s="461">
        <f>transport!H54</f>
        <v>0</v>
      </c>
      <c r="I10" s="461">
        <f>transport!I54</f>
        <v>0</v>
      </c>
      <c r="J10" s="461">
        <f>transport!J54</f>
        <v>0</v>
      </c>
      <c r="K10" s="461">
        <f>transport!K54</f>
        <v>0</v>
      </c>
      <c r="L10" s="461">
        <f>transport!L54</f>
        <v>0</v>
      </c>
      <c r="M10" s="461">
        <f>transport!M54</f>
        <v>218.94571224879786</v>
      </c>
      <c r="N10" s="461">
        <f>transport!N54</f>
        <v>0</v>
      </c>
      <c r="O10" s="461">
        <f>transport!O54</f>
        <v>0</v>
      </c>
      <c r="P10" s="462">
        <f>transport!P54</f>
        <v>0</v>
      </c>
      <c r="Q10" s="460">
        <f t="shared" si="0"/>
        <v>5204.9964351740391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1797.2494216497998</v>
      </c>
      <c r="C14" s="468"/>
      <c r="D14" s="468">
        <f>'SEAP template'!E25</f>
        <v>6631.1951983781</v>
      </c>
      <c r="E14" s="468"/>
      <c r="F14" s="468"/>
      <c r="G14" s="468"/>
      <c r="H14" s="468"/>
      <c r="I14" s="468"/>
      <c r="J14" s="468"/>
      <c r="K14" s="468"/>
      <c r="L14" s="468"/>
      <c r="M14" s="468"/>
      <c r="N14" s="468"/>
      <c r="O14" s="468"/>
      <c r="P14" s="469"/>
      <c r="Q14" s="460">
        <f t="shared" si="0"/>
        <v>8428.4446200278999</v>
      </c>
    </row>
    <row r="15" spans="1:17" s="473" customFormat="1">
      <c r="A15" s="470" t="s">
        <v>573</v>
      </c>
      <c r="B15" s="471">
        <f ca="1">SUM(B4:B14)</f>
        <v>167511.36965305082</v>
      </c>
      <c r="C15" s="471">
        <f t="shared" ref="C15:Q15" ca="1" si="1">SUM(C4:C14)</f>
        <v>0</v>
      </c>
      <c r="D15" s="471">
        <f t="shared" ca="1" si="1"/>
        <v>222279.0136123928</v>
      </c>
      <c r="E15" s="471">
        <f t="shared" si="1"/>
        <v>7762.3520322744653</v>
      </c>
      <c r="F15" s="471">
        <f t="shared" ca="1" si="1"/>
        <v>78624.845035659935</v>
      </c>
      <c r="G15" s="471">
        <f t="shared" si="1"/>
        <v>268764.47020346444</v>
      </c>
      <c r="H15" s="471">
        <f t="shared" si="1"/>
        <v>46868.133579849069</v>
      </c>
      <c r="I15" s="471">
        <f t="shared" si="1"/>
        <v>0</v>
      </c>
      <c r="J15" s="471">
        <f t="shared" si="1"/>
        <v>168.21934125538363</v>
      </c>
      <c r="K15" s="471">
        <f t="shared" si="1"/>
        <v>0</v>
      </c>
      <c r="L15" s="471">
        <f t="shared" ca="1" si="1"/>
        <v>0</v>
      </c>
      <c r="M15" s="471">
        <f t="shared" si="1"/>
        <v>14108.983832823284</v>
      </c>
      <c r="N15" s="471">
        <f t="shared" ca="1" si="1"/>
        <v>17738.278271066018</v>
      </c>
      <c r="O15" s="471">
        <f t="shared" si="1"/>
        <v>90.673333333333346</v>
      </c>
      <c r="P15" s="471">
        <f t="shared" si="1"/>
        <v>762.66666666666674</v>
      </c>
      <c r="Q15" s="471">
        <f t="shared" ca="1" si="1"/>
        <v>824679.0055618363</v>
      </c>
    </row>
    <row r="17" spans="1:17">
      <c r="A17" s="474" t="s">
        <v>574</v>
      </c>
      <c r="B17" s="778">
        <f ca="1">huishoudens!B10</f>
        <v>0.17772542444688547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9532.6222220997461</v>
      </c>
      <c r="C22" s="461">
        <f t="shared" ref="C22:C32" ca="1" si="3">C4*$C$17</f>
        <v>0</v>
      </c>
      <c r="D22" s="461">
        <f t="shared" ref="D22:D32" si="4">D4*$D$17</f>
        <v>24194.626472433283</v>
      </c>
      <c r="E22" s="461">
        <f t="shared" ref="E22:E32" si="5">E4*$E$17</f>
        <v>1306.8210136746695</v>
      </c>
      <c r="F22" s="461">
        <f t="shared" ref="F22:F32" si="6">F4*$F$17</f>
        <v>14650.018293183888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49684.088001391588</v>
      </c>
    </row>
    <row r="23" spans="1:17">
      <c r="A23" s="460" t="s">
        <v>156</v>
      </c>
      <c r="B23" s="461">
        <f t="shared" ca="1" si="2"/>
        <v>16691.437431618353</v>
      </c>
      <c r="C23" s="461">
        <f t="shared" ca="1" si="3"/>
        <v>0</v>
      </c>
      <c r="D23" s="461">
        <f t="shared" ca="1" si="4"/>
        <v>15624.029346579535</v>
      </c>
      <c r="E23" s="461">
        <f t="shared" si="5"/>
        <v>125.17775727321683</v>
      </c>
      <c r="F23" s="461">
        <f t="shared" ca="1" si="6"/>
        <v>4554.6585689240346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36995.303104395134</v>
      </c>
    </row>
    <row r="24" spans="1:17">
      <c r="A24" s="460" t="s">
        <v>194</v>
      </c>
      <c r="B24" s="461">
        <f t="shared" ca="1" si="2"/>
        <v>367.94316897814252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367.94316897814252</v>
      </c>
    </row>
    <row r="25" spans="1:17">
      <c r="A25" s="460" t="s">
        <v>112</v>
      </c>
      <c r="B25" s="461">
        <f t="shared" ca="1" si="2"/>
        <v>175.20853989416392</v>
      </c>
      <c r="C25" s="461">
        <f t="shared" ca="1" si="3"/>
        <v>0</v>
      </c>
      <c r="D25" s="461">
        <f t="shared" si="4"/>
        <v>306.46550435204762</v>
      </c>
      <c r="E25" s="461">
        <f t="shared" si="5"/>
        <v>2.1082075268878797</v>
      </c>
      <c r="F25" s="461">
        <f t="shared" si="6"/>
        <v>858.97043123973947</v>
      </c>
      <c r="G25" s="461">
        <f t="shared" si="7"/>
        <v>0</v>
      </c>
      <c r="H25" s="461">
        <f t="shared" si="8"/>
        <v>0</v>
      </c>
      <c r="I25" s="461">
        <f t="shared" si="9"/>
        <v>0</v>
      </c>
      <c r="J25" s="461">
        <f t="shared" si="10"/>
        <v>43.171361823745166</v>
      </c>
      <c r="K25" s="461">
        <f t="shared" si="11"/>
        <v>0</v>
      </c>
      <c r="L25" s="461">
        <f t="shared" si="12"/>
        <v>0</v>
      </c>
      <c r="M25" s="461">
        <f t="shared" si="13"/>
        <v>0</v>
      </c>
      <c r="N25" s="461">
        <f t="shared" si="14"/>
        <v>0</v>
      </c>
      <c r="O25" s="461">
        <f t="shared" si="15"/>
        <v>0</v>
      </c>
      <c r="P25" s="462">
        <f t="shared" si="16"/>
        <v>0</v>
      </c>
      <c r="Q25" s="460">
        <f t="shared" ca="1" si="17"/>
        <v>1385.9240448365842</v>
      </c>
    </row>
    <row r="26" spans="1:17">
      <c r="A26" s="460" t="s">
        <v>685</v>
      </c>
      <c r="B26" s="461">
        <f t="shared" ca="1" si="2"/>
        <v>2683.0976618024056</v>
      </c>
      <c r="C26" s="461">
        <f t="shared" ca="1" si="3"/>
        <v>0</v>
      </c>
      <c r="D26" s="461">
        <f t="shared" si="4"/>
        <v>3431.5617244931241</v>
      </c>
      <c r="E26" s="461">
        <f t="shared" si="5"/>
        <v>30.822528321213301</v>
      </c>
      <c r="F26" s="461">
        <f t="shared" si="6"/>
        <v>929.18633117354216</v>
      </c>
      <c r="G26" s="461">
        <f t="shared" si="7"/>
        <v>0</v>
      </c>
      <c r="H26" s="461">
        <f t="shared" si="8"/>
        <v>0</v>
      </c>
      <c r="I26" s="461">
        <f t="shared" si="9"/>
        <v>0</v>
      </c>
      <c r="J26" s="461">
        <f t="shared" si="10"/>
        <v>16.378284980660631</v>
      </c>
      <c r="K26" s="461">
        <f t="shared" si="11"/>
        <v>0</v>
      </c>
      <c r="L26" s="461">
        <f t="shared" si="12"/>
        <v>0</v>
      </c>
      <c r="M26" s="461">
        <f t="shared" si="13"/>
        <v>0</v>
      </c>
      <c r="N26" s="461">
        <f t="shared" si="14"/>
        <v>0</v>
      </c>
      <c r="O26" s="461">
        <f t="shared" si="15"/>
        <v>0</v>
      </c>
      <c r="P26" s="462">
        <f t="shared" si="16"/>
        <v>0</v>
      </c>
      <c r="Q26" s="460">
        <f t="shared" ca="1" si="17"/>
        <v>7091.0465307709455</v>
      </c>
    </row>
    <row r="27" spans="1:17" s="466" customFormat="1">
      <c r="A27" s="464" t="s">
        <v>579</v>
      </c>
      <c r="B27" s="772">
        <f t="shared" ca="1" si="2"/>
        <v>1.3033305751483062</v>
      </c>
      <c r="C27" s="465">
        <f t="shared" ca="1" si="3"/>
        <v>0</v>
      </c>
      <c r="D27" s="465">
        <f t="shared" si="4"/>
        <v>4.1762717729867935</v>
      </c>
      <c r="E27" s="465">
        <f t="shared" si="5"/>
        <v>297.12440453031604</v>
      </c>
      <c r="F27" s="465">
        <f t="shared" si="6"/>
        <v>0</v>
      </c>
      <c r="G27" s="465">
        <f t="shared" si="7"/>
        <v>70428.838001303971</v>
      </c>
      <c r="H27" s="465">
        <f t="shared" si="8"/>
        <v>11670.165261382419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82401.607269564847</v>
      </c>
    </row>
    <row r="28" spans="1:17">
      <c r="A28" s="460" t="s">
        <v>569</v>
      </c>
      <c r="B28" s="461">
        <f t="shared" ca="1" si="2"/>
        <v>0</v>
      </c>
      <c r="C28" s="461">
        <f t="shared" ca="1" si="3"/>
        <v>0</v>
      </c>
      <c r="D28" s="461">
        <f t="shared" si="4"/>
        <v>0</v>
      </c>
      <c r="E28" s="461">
        <f t="shared" si="5"/>
        <v>0</v>
      </c>
      <c r="F28" s="461">
        <f t="shared" si="6"/>
        <v>0</v>
      </c>
      <c r="G28" s="461">
        <f t="shared" si="7"/>
        <v>1331.2755430210395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1331.2755430210395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319.41691629963009</v>
      </c>
      <c r="C32" s="461">
        <f t="shared" ca="1" si="3"/>
        <v>0</v>
      </c>
      <c r="D32" s="461">
        <f t="shared" si="4"/>
        <v>1339.5014300723763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1658.9183463720065</v>
      </c>
    </row>
    <row r="33" spans="1:17" s="473" customFormat="1">
      <c r="A33" s="470" t="s">
        <v>573</v>
      </c>
      <c r="B33" s="471">
        <f ca="1">SUM(B22:B32)</f>
        <v>29771.029271267587</v>
      </c>
      <c r="C33" s="471">
        <f t="shared" ref="C33:Q33" ca="1" si="18">SUM(C22:C32)</f>
        <v>0</v>
      </c>
      <c r="D33" s="471">
        <f t="shared" ca="1" si="18"/>
        <v>44900.360749703359</v>
      </c>
      <c r="E33" s="471">
        <f t="shared" si="18"/>
        <v>1762.0539113263035</v>
      </c>
      <c r="F33" s="471">
        <f t="shared" ca="1" si="18"/>
        <v>20992.833624521209</v>
      </c>
      <c r="G33" s="471">
        <f t="shared" si="18"/>
        <v>71760.11354432501</v>
      </c>
      <c r="H33" s="471">
        <f t="shared" si="18"/>
        <v>11670.165261382419</v>
      </c>
      <c r="I33" s="471">
        <f t="shared" si="18"/>
        <v>0</v>
      </c>
      <c r="J33" s="471">
        <f t="shared" si="18"/>
        <v>59.549646804405796</v>
      </c>
      <c r="K33" s="471">
        <f t="shared" si="18"/>
        <v>0</v>
      </c>
      <c r="L33" s="471">
        <f t="shared" ca="1" si="18"/>
        <v>0</v>
      </c>
      <c r="M33" s="471">
        <f t="shared" si="18"/>
        <v>0</v>
      </c>
      <c r="N33" s="471">
        <f t="shared" ca="1" si="18"/>
        <v>0</v>
      </c>
      <c r="O33" s="471">
        <f t="shared" si="18"/>
        <v>0</v>
      </c>
      <c r="P33" s="471">
        <f t="shared" si="18"/>
        <v>0</v>
      </c>
      <c r="Q33" s="471">
        <f t="shared" ca="1" si="18"/>
        <v>180916.10600933028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9040.8299640572259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23760</v>
      </c>
      <c r="C9" s="1037">
        <f>'SEAP template'!C77</f>
        <v>0</v>
      </c>
      <c r="D9" s="1037">
        <f>'SEAP template'!D77</f>
        <v>0</v>
      </c>
      <c r="E9" s="1037">
        <f>'SEAP template'!E77</f>
        <v>0</v>
      </c>
      <c r="F9" s="1037">
        <f>'SEAP template'!F77</f>
        <v>0</v>
      </c>
      <c r="G9" s="1037">
        <f>'SEAP template'!G77</f>
        <v>0</v>
      </c>
      <c r="H9" s="1037">
        <f>'SEAP template'!H77</f>
        <v>0</v>
      </c>
      <c r="I9" s="1037">
        <f>'SEAP template'!I77</f>
        <v>59400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32800.829964057222</v>
      </c>
      <c r="C10" s="1041">
        <f>SUM(C4:C9)</f>
        <v>0</v>
      </c>
      <c r="D10" s="1041">
        <f t="shared" ref="D10:H10" si="0">SUM(D8:D9)</f>
        <v>0</v>
      </c>
      <c r="E10" s="1041">
        <f t="shared" si="0"/>
        <v>0</v>
      </c>
      <c r="F10" s="1041">
        <f t="shared" si="0"/>
        <v>0</v>
      </c>
      <c r="G10" s="1041">
        <f t="shared" si="0"/>
        <v>0</v>
      </c>
      <c r="H10" s="1041">
        <f t="shared" si="0"/>
        <v>0</v>
      </c>
      <c r="I10" s="1041">
        <f>SUM(I8:I9)</f>
        <v>59400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0.17772542444688547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0.17772542444688547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2019-08-12T07:53:12Z</dcterms:modified>
</cp:coreProperties>
</file>