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F4"/>
  <c r="F22" s="1"/>
  <c r="G11" i="14"/>
  <c r="H13" i="48"/>
  <c r="H31" s="1"/>
  <c r="I18" i="14"/>
  <c r="P8" i="48"/>
  <c r="P26" s="1"/>
  <c r="Q13" i="14"/>
  <c r="Q16" s="1"/>
  <c r="Q27" s="1"/>
  <c r="M32" i="48"/>
  <c r="M22"/>
  <c r="M26"/>
  <c r="M25"/>
  <c r="M29"/>
  <c r="M30"/>
  <c r="M24"/>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<sst xmlns="http://schemas.openxmlformats.org/spreadsheetml/2006/main" count="2513" uniqueCount="965">
  <si>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</si>
  <si>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</si>
  <si>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</si>
  <si>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</si>
  <si>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</si>
  <si>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</si>
  <si>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</si>
  <si>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</si>
  <si>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</si>
  <si>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</si>
  <si>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</si>
  <si>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</si>
  <si>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</si>
  <si>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</si>
  <si>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</si>
  <si>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</si>
  <si>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</si>
  <si>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</si>
  <si>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</si>
  <si>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</si>
  <si>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</si>
  <si>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</si>
  <si>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</si>
  <si>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</si>
  <si>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</si>
  <si>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</si>
  <si>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</si>
  <si>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</si>
  <si>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</si>
  <si>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</si>
  <si>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</si>
  <si>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</si>
  <si>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</si>
  <si>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</si>
  <si>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</si>
  <si>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</si>
  <si>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</si>
  <si>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</si>
  <si>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</si>
  <si>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</si>
  <si>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</si>
  <si>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</si>
  <si>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</si>
  <si>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</si>
  <si>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</si>
  <si>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</si>
  <si>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</si>
  <si>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</si>
  <si>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</si>
  <si>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</si>
  <si>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</si>
  <si>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</si>
  <si>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</si>
  <si>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</si>
  <si>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</si>
  <si>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</si>
  <si>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</si>
  <si>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</si>
  <si>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</si>
  <si>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</si>
  <si>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</si>
  <si>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</si>
  <si>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</si>
  <si>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</si>
  <si>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</si>
  <si>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</si>
  <si>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</si>
  <si>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</si>
  <si>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</si>
  <si>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</si>
  <si>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</si>
  <si>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</si>
  <si>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</si>
  <si>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</si>
  <si>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</si>
  <si>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</si>
  <si>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</si>
  <si>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</si>
  <si>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</si>
  <si>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</si>
  <si>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</si>
  <si>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</si>
  <si>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</si>
  <si>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</si>
  <si>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</si>
  <si>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</si>
  <si>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</si>
  <si>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</si>
  <si>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</si>
  <si>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</si>
  <si>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</si>
  <si>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</si>
  <si>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</si>
  <si>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</si>
  <si>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</si>
  <si>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</si>
  <si>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</si>
  <si>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</si>
  <si>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</si>
  <si>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</si>
  <si>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</si>
  <si>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</si>
  <si>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</si>
  <si>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</si>
  <si>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</si>
  <si>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</si>
  <si>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</si>
  <si>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</si>
  <si>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</si>
  <si>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</si>
  <si>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</si>
  <si>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</si>
  <si>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</si>
  <si>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</si>
  <si>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</si>
  <si>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</si>
  <si>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</si>
  <si>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</si>
  <si>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</si>
  <si>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</si>
  <si>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</si>
  <si>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</si>
  <si>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</si>
  <si>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</si>
  <si>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</si>
  <si>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</si>
  <si>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</si>
  <si>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</si>
  <si>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</si>
  <si>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</si>
  <si>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</si>
  <si>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</si>
  <si>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</si>
  <si>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</si>
  <si>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</si>
  <si>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</si>
  <si>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</si>
  <si>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</si>
  <si>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</si>
  <si>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</si>
  <si>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</si>
  <si>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</si>
  <si>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</si>
  <si>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</si>
  <si>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</si>
  <si>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</si>
  <si>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</si>
  <si>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</si>
  <si>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</si>
  <si>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</si>
  <si>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</si>
  <si>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</si>
  <si>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</si>
  <si>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</si>
  <si>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</si>
  <si>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</si>
  <si>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</si>
  <si>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</si>
  <si>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</si>
  <si>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</si>
  <si>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</si>
  <si>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</si>
  <si>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</si>
  <si>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</si>
  <si>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</si>
  <si>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</si>
  <si>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</si>
  <si>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</si>
  <si>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</si>
  <si>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</si>
  <si>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</si>
  <si>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</si>
  <si>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</si>
  <si>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</si>
  <si>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</si>
  <si>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</si>
  <si>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</si>
  <si>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</si>
  <si>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</si>
  <si>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</si>
  <si>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</si>
  <si>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</si>
  <si>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</si>
  <si>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</si>
  <si>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</si>
  <si>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</si>
  <si>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</si>
  <si>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</si>
  <si>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</si>
  <si>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</si>
  <si>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</si>
  <si>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</si>
  <si>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</si>
  <si>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</si>
  <si>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</si>
  <si>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</si>
  <si>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</si>
  <si>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</si>
  <si>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</si>
  <si>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</si>
  <si>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</si>
  <si>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</si>
  <si>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</si>
  <si>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</si>
  <si>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</si>
  <si>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</si>
  <si>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</si>
  <si>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</si>
  <si>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</si>
  <si>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</si>
  <si>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</si>
  <si>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</si>
  <si>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</si>
  <si>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</si>
  <si>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</si>
  <si>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</si>
  <si>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</si>
  <si>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</si>
  <si>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</si>
  <si>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</si>
  <si>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</si>
  <si>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</si>
  <si>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</si>
  <si>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</si>
  <si>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</si>
  <si>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</si>
  <si>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</si>
  <si>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</si>
  <si>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</si>
  <si>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</si>
  <si>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</si>
  <si>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</si>
  <si>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</si>
  <si>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</si>
  <si>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</si>
  <si>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</si>
  <si>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</si>
  <si>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</si>
  <si>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</si>
  <si>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</si>
  <si>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</si>
  <si>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</si>
  <si>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</si>
  <si>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</si>
  <si>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</si>
  <si>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</si>
  <si>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</si>
  <si>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</si>
  <si>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</si>
  <si>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</si>
  <si>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</si>
  <si>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</si>
  <si>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</si>
  <si>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</si>
  <si>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</si>
  <si>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</si>
  <si>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</si>
  <si>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</si>
  <si>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</si>
  <si>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</si>
  <si>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</si>
  <si>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</si>
  <si>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</si>
  <si>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</si>
  <si>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</si>
  <si>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</si>
  <si>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</si>
  <si>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</si>
  <si>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</si>
  <si>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</si>
  <si>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</si>
  <si>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</si>
  <si>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</si>
  <si>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</si>
  <si>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</si>
  <si>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</si>
  <si>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</si>
  <si>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</si>
  <si>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</si>
  <si>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</si>
  <si>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</si>
  <si>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</si>
  <si>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</si>
  <si>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</si>
  <si>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</si>
  <si>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</si>
  <si>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</si>
  <si>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</si>
  <si>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</si>
  <si>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</si>
  <si>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</si>
  <si>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</si>
  <si>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</si>
  <si>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</si>
  <si>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</si>
  <si>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</si>
  <si>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</si>
  <si>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</si>
  <si>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</si>
  <si>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</si>
  <si>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</si>
  <si>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</si>
  <si>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</si>
  <si>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</si>
  <si>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</si>
  <si>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</si>
  <si>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</si>
  <si>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</si>
  <si>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</si>
  <si>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</si>
  <si>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</si>
  <si>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</si>
  <si>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</si>
  <si>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</si>
  <si>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</si>
  <si>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</si>
  <si>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</si>
  <si>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</si>
  <si>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</si>
  <si>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</si>
  <si>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</si>
  <si>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</si>
  <si>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</si>
  <si>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</si>
  <si>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</si>
  <si>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</si>
  <si>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</si>
  <si>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</si>
  <si>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</si>
  <si>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</si>
  <si>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</si>
  <si>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</si>
  <si>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</si>
  <si>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</si>
  <si>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</si>
  <si>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</si>
  <si>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</si>
  <si>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</si>
  <si>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</si>
  <si>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</si>
  <si>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</si>
  <si>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</si>
  <si>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</si>
  <si>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</si>
  <si>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</si>
  <si>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</si>
  <si>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</si>
  <si>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</si>
  <si>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</si>
  <si>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</si>
  <si>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</si>
  <si>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</si>
  <si>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</si>
  <si>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</si>
  <si>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</si>
  <si>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</si>
  <si>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</si>
  <si>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</si>
  <si>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</si>
  <si>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</si>
  <si>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</si>
  <si>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</si>
  <si>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</si>
  <si>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</si>
  <si>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</si>
  <si>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</si>
  <si>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</si>
  <si>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</si>
  <si>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</si>
  <si>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</si>
  <si>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</si>
  <si>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</si>
  <si>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</si>
  <si>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</si>
  <si>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</si>
  <si>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</si>
  <si>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</si>
  <si>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</si>
  <si>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</si>
  <si>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</si>
  <si>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</si>
  <si>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</si>
  <si>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</si>
  <si>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</si>
  <si>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</si>
  <si>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</si>
  <si>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</si>
  <si>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</si>
  <si>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</si>
  <si>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</si>
  <si>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</si>
  <si>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</si>
  <si>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</si>
  <si>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</si>
  <si>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</si>
  <si>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</si>
  <si>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</si>
  <si>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</si>
  <si>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</si>
  <si>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</si>
  <si>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</si>
  <si>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</si>
  <si>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</si>
  <si>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</si>
  <si>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</si>
  <si>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</si>
  <si>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</si>
  <si>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</si>
  <si>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</si>
  <si>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</si>
  <si>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</si>
  <si>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</si>
  <si>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</si>
  <si>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</si>
  <si>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</si>
  <si>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</si>
  <si>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</si>
  <si>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</si>
  <si>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</si>
  <si>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</si>
  <si>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</si>
  <si>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</si>
  <si>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</si>
  <si>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</si>
  <si>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</si>
  <si>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</si>
  <si>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</si>
  <si>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</si>
  <si>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</si>
  <si>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</si>
  <si>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</si>
  <si>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</si>
  <si>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</si>
  <si>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</si>
  <si>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</si>
  <si>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</si>
  <si>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</si>
  <si>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</si>
  <si>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</si>
  <si>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</si>
  <si>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</si>
  <si>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</si>
  <si>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</si>
  <si>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</si>
  <si>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</si>
  <si>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</si>
  <si>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</si>
  <si>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</si>
  <si>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</si>
  <si>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</si>
  <si>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</si>
  <si>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</si>
  <si>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</si>
  <si>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</si>
  <si>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</si>
  <si>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</si>
  <si>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</si>
  <si>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</si>
  <si>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</si>
  <si>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</si>
  <si>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</si>
  <si>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</si>
  <si>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</si>
  <si>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</si>
  <si>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</si>
  <si>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</si>
  <si>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</si>
  <si>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</si>
  <si>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</si>
  <si>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</si>
  <si>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</si>
  <si>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</si>
  <si>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</si>
  <si>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</si>
  <si>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</si>
  <si>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</si>
  <si>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</si>
  <si>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</si>
  <si>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</si>
  <si>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</si>
  <si>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</si>
  <si>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</si>
  <si>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</si>
  <si>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</si>
  <si>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</si>
  <si>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</si>
  <si>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</si>
  <si>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</si>
  <si>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</si>
  <si>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</si>
  <si>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</si>
  <si>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</si>
  <si>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</si>
  <si>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</si>
  <si>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</si>
  <si>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</si>
  <si>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</si>
  <si>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</si>
  <si>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</si>
  <si>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</si>
  <si>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</si>
  <si>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</si>
  <si>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</si>
  <si>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</si>
  <si>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</si>
  <si>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</si>
  <si>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</si>
  <si>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</si>
  <si>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</si>
  <si>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</si>
  <si>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</si>
  <si>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</si>
  <si>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</si>
  <si>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</si>
  <si>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</si>
  <si>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</si>
  <si>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</si>
  <si>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</si>
  <si>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</si>
  <si>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</si>
  <si>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</si>
  <si>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</si>
  <si>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</si>
  <si>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</si>
  <si>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</si>
  <si>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</si>
  <si>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</si>
  <si>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</si>
  <si>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</si>
  <si>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</si>
  <si>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</si>
  <si>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</si>
  <si>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</si>
  <si>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</si>
  <si>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</si>
  <si>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</si>
  <si>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</si>
  <si>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</si>
  <si>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</si>
  <si>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</si>
  <si>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</si>
  <si>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</si>
  <si>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</si>
  <si>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</si>
  <si>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</si>
  <si>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</si>
  <si>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</si>
  <si>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</si>
  <si>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</si>
  <si>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</si>
  <si>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</si>
  <si>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</si>
  <si>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</si>
  <si>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</si>
  <si>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</si>
  <si>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</si>
  <si>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</si>
  <si>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</si>
  <si>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</si>
  <si>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</si>
  <si>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</si>
  <si>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</si>
  <si>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</si>
  <si>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</si>
  <si>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</si>
  <si>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</si>
  <si>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</si>
  <si>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</si>
  <si>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</si>
  <si>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</si>
  <si>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</si>
  <si>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</si>
  <si>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</si>
  <si>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</si>
  <si>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</si>
  <si>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</si>
  <si>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</si>
  <si>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</si>
  <si>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</si>
  <si>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</si>
  <si>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</si>
  <si>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</si>
  <si>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</si>
  <si>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</si>
  <si>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</si>
  <si>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</si>
  <si>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</si>
  <si>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</si>
  <si>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</si>
  <si>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</si>
  <si>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</si>
  <si>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</si>
  <si>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</si>
  <si>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</si>
  <si>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</si>
  <si>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</si>
  <si>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</si>
  <si>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</si>
  <si>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</si>
  <si>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</si>
  <si>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</si>
  <si>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</si>
  <si>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</si>
  <si>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</si>
  <si>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</si>
  <si>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</si>
  <si>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</si>
  <si>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</si>
  <si>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</si>
  <si>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</si>
  <si>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</si>
  <si>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</si>
  <si>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</si>
  <si>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</si>
  <si>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</si>
  <si>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</si>
  <si>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</si>
  <si>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</si>
  <si>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</si>
  <si>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</si>
  <si>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</si>
  <si>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</si>
  <si>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</si>
  <si>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</si>
  <si>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</si>
  <si>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</si>
  <si>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</si>
  <si>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</si>
  <si>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</si>
  <si>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</si>
  <si>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</si>
  <si>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</si>
  <si>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</si>
  <si>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</si>
  <si>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</si>
  <si>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</si>
  <si>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</si>
  <si>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</si>
  <si>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</si>
  <si>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</si>
  <si>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</si>
  <si>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</si>
  <si>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</si>
  <si>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</si>
  <si>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</si>
  <si>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</si>
  <si>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</si>
  <si>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</si>
  <si>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</si>
  <si>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</si>
  <si>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</si>
  <si>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</si>
  <si>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</si>
  <si>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</si>
  <si>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</si>
  <si>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</si>
  <si>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</si>
  <si>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</si>
  <si>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</si>
  <si>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</si>
  <si>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</si>
  <si>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</si>
  <si>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</si>
  <si>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</si>
  <si>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</si>
  <si>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</si>
  <si>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</si>
  <si>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</si>
  <si>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</si>
  <si>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</si>
  <si>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</si>
  <si>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</si>
  <si>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</si>
  <si>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</si>
  <si>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</si>
  <si>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</si>
  <si>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</si>
  <si>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</si>
  <si>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</si>
  <si>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</si>
  <si>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</si>
  <si>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</si>
  <si>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</si>
  <si>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</si>
  <si>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</si>
  <si>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</si>
  <si>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</si>
  <si>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</si>
  <si>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</si>
  <si>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</si>
  <si>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</si>
  <si>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</si>
  <si>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</si>
  <si>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</si>
  <si>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</si>
  <si>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</si>
  <si>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</si>
  <si>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</si>
  <si>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</si>
  <si>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</si>
  <si>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</si>
  <si>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</si>
  <si>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</si>
  <si>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</si>
  <si>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</si>
  <si>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</si>
  <si>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</si>
  <si>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</si>
  <si>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</si>
  <si>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</si>
  <si>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</si>
  <si>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</si>
  <si>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</si>
  <si>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</si>
  <si>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</si>
  <si>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</si>
  <si>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</si>
  <si>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</si>
  <si>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</si>
  <si>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</si>
  <si>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</si>
  <si>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</si>
  <si>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</si>
  <si>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</si>
  <si>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</si>
  <si>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</si>
  <si>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</si>
  <si>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</si>
  <si>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</si>
  <si>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</si>
  <si>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</si>
  <si>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</si>
  <si>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</si>
  <si>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</si>
  <si>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</si>
  <si>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</si>
  <si>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</si>
  <si>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</si>
  <si>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</si>
  <si>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</si>
  <si>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</si>
  <si>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</si>
  <si>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</si>
  <si>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</si>
  <si>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</si>
  <si>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</si>
  <si>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</si>
  <si>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</si>
  <si>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</si>
  <si>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</si>
  <si>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</si>
  <si>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</si>
  <si>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</si>
  <si>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</si>
  <si>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</si>
  <si>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</si>
  <si>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</si>
  <si>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</si>
  <si>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</si>
  <si>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</si>
  <si>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</si>
  <si>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</si>
  <si>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</si>
  <si>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</si>
  <si>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</si>
  <si>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</si>
  <si>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</si>
  <si>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</si>
  <si>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</si>
  <si>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</si>
  <si>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</si>
  <si>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</si>
  <si>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</si>
  <si>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</si>
  <si>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</si>
  <si>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</si>
  <si>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</si>
  <si>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</si>
  <si>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</si>
  <si>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</si>
  <si>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</si>
  <si>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</si>
  <si>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</si>
  <si>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</si>
  <si>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</si>
  <si>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</si>
  <si>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</si>
  <si>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</si>
  <si>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</si>
  <si>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</si>
  <si>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</si>
  <si>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</si>
  <si>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</si>
  <si>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</si>
  <si>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</si>
  <si>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</si>
  <si>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</si>
  <si>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</si>
  <si>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</si>
  <si>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</si>
  <si>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</si>
  <si>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</si>
  <si>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</si>
  <si>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</si>
  <si>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</si>
  <si>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</si>
  <si>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</si>
  <si>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</si>
  <si>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</si>
  <si>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</si>
  <si>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</si>
  <si>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</si>
  <si>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</si>
  <si>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</si>
  <si>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</si>
  <si>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</si>
  <si>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</si>
  <si>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</si>
  <si>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</si>
  <si>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</si>
  <si>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</si>
  <si>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</si>
  <si>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</si>
  <si>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</si>
  <si>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</si>
  <si>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</si>
  <si>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</si>
  <si>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</si>
  <si>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</si>
  <si>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</si>
  <si>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</si>
  <si>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</si>
  <si>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</si>
  <si>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</si>
  <si>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</si>
  <si>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</si>
  <si>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</si>
  <si>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</si>
  <si>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</si>
  <si>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</si>
  <si>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</si>
  <si>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</si>
  <si>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</si>
  <si>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</si>
  <si>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</si>
  <si>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</si>
  <si>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</si>
  <si>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</si>
  <si>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</si>
  <si>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</si>
  <si>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</si>
  <si>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</si>
  <si>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</si>
  <si>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</si>
  <si>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</si>
  <si>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</si>
  <si>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</si>
  <si>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</si>
  <si>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</si>
  <si>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</si>
  <si>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</si>
  <si>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</si>
  <si>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</si>
  <si>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</si>
  <si>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</si>
  <si>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</si>
  <si>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</si>
  <si>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</si>
  <si>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</si>
  <si>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</si>
  <si>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</si>
  <si>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</si>
  <si>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</si>
  <si>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</si>
  <si>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</si>
  <si>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</si>
  <si>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</si>
  <si>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</si>
  <si>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</si>
  <si>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</si>
  <si>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</si>
  <si>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</si>
  <si>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</si>
  <si>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</si>
  <si>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</si>
  <si>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</si>
  <si>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</si>
  <si>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</si>
  <si>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</si>
  <si>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</si>
  <si>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</si>
  <si>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</si>
  <si>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</si>
  <si>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</si>
  <si>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</si>
  <si>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</si>
  <si>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</si>
  <si>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</si>
  <si>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</si>
  <si>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</si>
  <si>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</si>
  <si>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</si>
  <si>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</si>
  <si>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</si>
  <si>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</si>
  <si>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</si>
  <si>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</si>
  <si>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</si>
  <si>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</si>
  <si>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</si>
  <si>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</si>
  <si>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</si>
  <si>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</si>
  <si>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</si>
  <si>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</si>
  <si>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</si>
  <si>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</si>
  <si>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</si>
  <si>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</si>
  <si>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</si>
  <si>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</si>
  <si>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</si>
  <si>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</si>
  <si>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</si>
  <si>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</si>
  <si>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</si>
  <si>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</si>
  <si>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</si>
  <si>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</si>
  <si>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</si>
  <si>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</si>
  <si>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</si>
  <si>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</si>
  <si>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</si>
  <si>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</si>
  <si>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</si>
  <si>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</si>
  <si>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</si>
  <si>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</si>
  <si>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</si>
  <si>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</si>
  <si>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</si>
  <si>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13040</t>
  </si>
  <si>
    <t>TURNHOUT</t>
  </si>
  <si>
    <t>Paarden&amp;pony's 200 - 600 kg</t>
  </si>
  <si>
    <t>Paarden&amp;pony's &lt; 200 kg</t>
  </si>
  <si>
    <t>op basis van VEA (maart 2018) en Inventaris Hernieuwbare Energiebronnen (juni 2018)</t>
  </si>
  <si>
    <t>VEA (juni 2018)</t>
  </si>
  <si>
    <t>Sunnyland Distribution nv</t>
  </si>
  <si>
    <t>Everdongenlaan 12 , 2300 Turnhout</t>
  </si>
  <si>
    <t>WKK-0310 Sunnyland</t>
  </si>
  <si>
    <t>interne verbrandingsmotor</t>
  </si>
  <si>
    <t>WKK interne verbrandinsgmotor (gas)</t>
  </si>
  <si>
    <t>IVEKA</t>
  </si>
  <si>
    <t>De Nieuwe Kaai vzw</t>
  </si>
  <si>
    <t>Nieuwe Kaai 5 , 2300 Turnhout</t>
  </si>
  <si>
    <t>WKK-0414 Croonenburg</t>
  </si>
  <si>
    <t>stirlingmotor</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</si>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</sst>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13040</v>
      </c>
      <c r="B6" s="397"/>
      <c r="C6" s="398"/>
    </row>
    <row r="7" spans="1:7" s="395" customFormat="1" ht="15.75" customHeight="1">
      <c r="A7" s="399" t="str">
        <f>txtMunicipality</f>
        <v>TURNHOUT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0.2132122979177643</v>
      </c>
      <c r="C17" s="510">
        <f ca="1">'EF ele_warmte'!B22</f>
        <v>0.23746509465657206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0.2132122979177643</v>
      </c>
      <c r="C29" s="511">
        <f ca="1">'EF ele_warmte'!B22</f>
        <v>0.23746509465657206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13040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18601</v>
      </c>
      <c r="C9" s="338">
        <v>19676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2240</v>
      </c>
    </row>
    <row r="15" spans="1:6">
      <c r="A15" s="1286" t="s">
        <v>184</v>
      </c>
      <c r="B15" s="335">
        <v>3317</v>
      </c>
    </row>
    <row r="16" spans="1:6">
      <c r="A16" s="1286" t="s">
        <v>6</v>
      </c>
      <c r="B16" s="335">
        <v>1021</v>
      </c>
    </row>
    <row r="17" spans="1:6">
      <c r="A17" s="1286" t="s">
        <v>7</v>
      </c>
      <c r="B17" s="335">
        <v>167</v>
      </c>
    </row>
    <row r="18" spans="1:6">
      <c r="A18" s="1286" t="s">
        <v>8</v>
      </c>
      <c r="B18" s="335">
        <v>572</v>
      </c>
    </row>
    <row r="19" spans="1:6">
      <c r="A19" s="1286" t="s">
        <v>9</v>
      </c>
      <c r="B19" s="335">
        <v>459</v>
      </c>
    </row>
    <row r="20" spans="1:6">
      <c r="A20" s="1286" t="s">
        <v>10</v>
      </c>
      <c r="B20" s="335">
        <v>296</v>
      </c>
    </row>
    <row r="21" spans="1:6">
      <c r="A21" s="1286" t="s">
        <v>11</v>
      </c>
      <c r="B21" s="335">
        <v>1418</v>
      </c>
    </row>
    <row r="22" spans="1:6">
      <c r="A22" s="1286" t="s">
        <v>12</v>
      </c>
      <c r="B22" s="335">
        <v>3155</v>
      </c>
    </row>
    <row r="23" spans="1:6">
      <c r="A23" s="1286" t="s">
        <v>13</v>
      </c>
      <c r="B23" s="335">
        <v>45</v>
      </c>
    </row>
    <row r="24" spans="1:6">
      <c r="A24" s="1286" t="s">
        <v>14</v>
      </c>
      <c r="B24" s="335">
        <v>4</v>
      </c>
    </row>
    <row r="25" spans="1:6">
      <c r="A25" s="1286" t="s">
        <v>15</v>
      </c>
      <c r="B25" s="335">
        <v>348</v>
      </c>
    </row>
    <row r="26" spans="1:6">
      <c r="A26" s="1286" t="s">
        <v>16</v>
      </c>
      <c r="B26" s="335">
        <v>47</v>
      </c>
    </row>
    <row r="27" spans="1:6">
      <c r="A27" s="1286" t="s">
        <v>17</v>
      </c>
      <c r="B27" s="335">
        <v>0</v>
      </c>
    </row>
    <row r="28" spans="1:6" s="341" customFormat="1">
      <c r="A28" s="1287" t="s">
        <v>18</v>
      </c>
      <c r="B28" s="1287">
        <v>433787</v>
      </c>
    </row>
    <row r="29" spans="1:6">
      <c r="A29" s="1287" t="s">
        <v>944</v>
      </c>
      <c r="B29" s="1287">
        <v>122</v>
      </c>
      <c r="C29" s="341"/>
      <c r="D29" s="341"/>
      <c r="E29" s="341"/>
      <c r="F29" s="341"/>
    </row>
    <row r="30" spans="1:6">
      <c r="A30" s="1282" t="s">
        <v>945</v>
      </c>
      <c r="B30" s="1282">
        <v>43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10</v>
      </c>
      <c r="F36" s="335">
        <v>518387.4521849</v>
      </c>
    </row>
    <row r="37" spans="1:6">
      <c r="A37" s="1286" t="s">
        <v>25</v>
      </c>
      <c r="B37" s="1286" t="s">
        <v>28</v>
      </c>
      <c r="C37" s="335">
        <v>0</v>
      </c>
      <c r="D37" s="335">
        <v>0</v>
      </c>
      <c r="E37" s="335">
        <v>0</v>
      </c>
      <c r="F37" s="335">
        <v>0</v>
      </c>
    </row>
    <row r="38" spans="1:6">
      <c r="A38" s="1286" t="s">
        <v>25</v>
      </c>
      <c r="B38" s="1286" t="s">
        <v>29</v>
      </c>
      <c r="C38" s="335">
        <v>4</v>
      </c>
      <c r="D38" s="335">
        <v>87681.114693802199</v>
      </c>
      <c r="E38" s="335">
        <v>2</v>
      </c>
      <c r="F38" s="335">
        <v>56616.426258816602</v>
      </c>
    </row>
    <row r="39" spans="1:6">
      <c r="A39" s="1286" t="s">
        <v>30</v>
      </c>
      <c r="B39" s="1286" t="s">
        <v>31</v>
      </c>
      <c r="C39" s="335">
        <v>16484</v>
      </c>
      <c r="D39" s="335">
        <v>278845352.26717103</v>
      </c>
      <c r="E39" s="335">
        <v>18860</v>
      </c>
      <c r="F39" s="335">
        <v>57761516.5540566</v>
      </c>
    </row>
    <row r="40" spans="1:6">
      <c r="A40" s="1286" t="s">
        <v>30</v>
      </c>
      <c r="B40" s="1286" t="s">
        <v>29</v>
      </c>
      <c r="C40" s="335">
        <v>0</v>
      </c>
      <c r="D40" s="335">
        <v>0</v>
      </c>
      <c r="E40" s="335">
        <v>0</v>
      </c>
      <c r="F40" s="335">
        <v>0</v>
      </c>
    </row>
    <row r="41" spans="1:6">
      <c r="A41" s="1286" t="s">
        <v>32</v>
      </c>
      <c r="B41" s="1286" t="s">
        <v>33</v>
      </c>
      <c r="C41" s="335">
        <v>188</v>
      </c>
      <c r="D41" s="335">
        <v>5501318.8870712696</v>
      </c>
      <c r="E41" s="335">
        <v>328</v>
      </c>
      <c r="F41" s="335">
        <v>9625988.8948252201</v>
      </c>
    </row>
    <row r="42" spans="1:6">
      <c r="A42" s="1286" t="s">
        <v>32</v>
      </c>
      <c r="B42" s="1286" t="s">
        <v>34</v>
      </c>
      <c r="C42" s="335">
        <v>10</v>
      </c>
      <c r="D42" s="335">
        <v>9960505.8451443501</v>
      </c>
      <c r="E42" s="335">
        <v>3</v>
      </c>
      <c r="F42" s="335">
        <v>4837620.6544730896</v>
      </c>
    </row>
    <row r="43" spans="1:6">
      <c r="A43" s="1286" t="s">
        <v>32</v>
      </c>
      <c r="B43" s="1286" t="s">
        <v>35</v>
      </c>
      <c r="C43" s="335">
        <v>0</v>
      </c>
      <c r="D43" s="335">
        <v>0</v>
      </c>
      <c r="E43" s="335">
        <v>0</v>
      </c>
      <c r="F43" s="335">
        <v>0</v>
      </c>
    </row>
    <row r="44" spans="1:6">
      <c r="A44" s="1286" t="s">
        <v>32</v>
      </c>
      <c r="B44" s="1286" t="s">
        <v>36</v>
      </c>
      <c r="C44" s="335">
        <v>8</v>
      </c>
      <c r="D44" s="335">
        <v>1450797.4721838201</v>
      </c>
      <c r="E44" s="335">
        <v>21</v>
      </c>
      <c r="F44" s="335">
        <v>606138.11461545201</v>
      </c>
    </row>
    <row r="45" spans="1:6">
      <c r="A45" s="1286" t="s">
        <v>32</v>
      </c>
      <c r="B45" s="1286" t="s">
        <v>37</v>
      </c>
      <c r="C45" s="335">
        <v>0</v>
      </c>
      <c r="D45" s="335">
        <v>0</v>
      </c>
      <c r="E45" s="335">
        <v>4</v>
      </c>
      <c r="F45" s="335">
        <v>545060.05901575799</v>
      </c>
    </row>
    <row r="46" spans="1:6">
      <c r="A46" s="1286" t="s">
        <v>32</v>
      </c>
      <c r="B46" s="1286" t="s">
        <v>38</v>
      </c>
      <c r="C46" s="335">
        <v>0</v>
      </c>
      <c r="D46" s="335">
        <v>0</v>
      </c>
      <c r="E46" s="335">
        <v>0</v>
      </c>
      <c r="F46" s="335">
        <v>0</v>
      </c>
    </row>
    <row r="47" spans="1:6">
      <c r="A47" s="1286" t="s">
        <v>32</v>
      </c>
      <c r="B47" s="1286" t="s">
        <v>39</v>
      </c>
      <c r="C47" s="335">
        <v>22</v>
      </c>
      <c r="D47" s="335">
        <v>30745753.789489798</v>
      </c>
      <c r="E47" s="335">
        <v>25</v>
      </c>
      <c r="F47" s="335">
        <v>30772425.735199898</v>
      </c>
    </row>
    <row r="48" spans="1:6">
      <c r="A48" s="1286" t="s">
        <v>32</v>
      </c>
      <c r="B48" s="1286" t="s">
        <v>29</v>
      </c>
      <c r="C48" s="335">
        <v>45</v>
      </c>
      <c r="D48" s="335">
        <v>96921013.671941593</v>
      </c>
      <c r="E48" s="335">
        <v>51</v>
      </c>
      <c r="F48" s="335">
        <v>125144708.55605701</v>
      </c>
    </row>
    <row r="49" spans="1:6">
      <c r="A49" s="1286" t="s">
        <v>32</v>
      </c>
      <c r="B49" s="1286" t="s">
        <v>40</v>
      </c>
      <c r="C49" s="335">
        <v>4</v>
      </c>
      <c r="D49" s="335">
        <v>101503.20249212399</v>
      </c>
      <c r="E49" s="335">
        <v>4</v>
      </c>
      <c r="F49" s="335">
        <v>18281.227182126499</v>
      </c>
    </row>
    <row r="50" spans="1:6">
      <c r="A50" s="1286" t="s">
        <v>32</v>
      </c>
      <c r="B50" s="1286" t="s">
        <v>41</v>
      </c>
      <c r="C50" s="335">
        <v>32</v>
      </c>
      <c r="D50" s="335">
        <v>36819932.536120303</v>
      </c>
      <c r="E50" s="335">
        <v>43</v>
      </c>
      <c r="F50" s="335">
        <v>20094542.022873901</v>
      </c>
    </row>
    <row r="51" spans="1:6">
      <c r="A51" s="1286" t="s">
        <v>42</v>
      </c>
      <c r="B51" s="1286" t="s">
        <v>43</v>
      </c>
      <c r="C51" s="335">
        <v>0</v>
      </c>
      <c r="D51" s="335">
        <v>0</v>
      </c>
      <c r="E51" s="335">
        <v>72</v>
      </c>
      <c r="F51" s="335">
        <v>1470781.8851900201</v>
      </c>
    </row>
    <row r="52" spans="1:6">
      <c r="A52" s="1286" t="s">
        <v>42</v>
      </c>
      <c r="B52" s="1286" t="s">
        <v>29</v>
      </c>
      <c r="C52" s="335">
        <v>18</v>
      </c>
      <c r="D52" s="335">
        <v>3614703.0252483501</v>
      </c>
      <c r="E52" s="335">
        <v>9</v>
      </c>
      <c r="F52" s="335">
        <v>150416.831219338</v>
      </c>
    </row>
    <row r="53" spans="1:6">
      <c r="A53" s="1286" t="s">
        <v>44</v>
      </c>
      <c r="B53" s="1286" t="s">
        <v>45</v>
      </c>
      <c r="C53" s="335">
        <v>322</v>
      </c>
      <c r="D53" s="335">
        <v>14993929.915626099</v>
      </c>
      <c r="E53" s="335">
        <v>607</v>
      </c>
      <c r="F53" s="335">
        <v>2669310.16809216</v>
      </c>
    </row>
    <row r="54" spans="1:6">
      <c r="A54" s="1286" t="s">
        <v>46</v>
      </c>
      <c r="B54" s="1286" t="s">
        <v>47</v>
      </c>
      <c r="C54" s="335">
        <v>0</v>
      </c>
      <c r="D54" s="335">
        <v>0</v>
      </c>
      <c r="E54" s="335">
        <v>1</v>
      </c>
      <c r="F54" s="335">
        <v>2504385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121</v>
      </c>
      <c r="D57" s="335">
        <v>7578363.6810701899</v>
      </c>
      <c r="E57" s="335">
        <v>182</v>
      </c>
      <c r="F57" s="335">
        <v>5340347.8222404402</v>
      </c>
    </row>
    <row r="58" spans="1:6">
      <c r="A58" s="1286" t="s">
        <v>49</v>
      </c>
      <c r="B58" s="1286" t="s">
        <v>51</v>
      </c>
      <c r="C58" s="335">
        <v>122</v>
      </c>
      <c r="D58" s="335">
        <v>20392268.701407898</v>
      </c>
      <c r="E58" s="335">
        <v>137</v>
      </c>
      <c r="F58" s="335">
        <v>12948245.2648119</v>
      </c>
    </row>
    <row r="59" spans="1:6">
      <c r="A59" s="1286" t="s">
        <v>49</v>
      </c>
      <c r="B59" s="1286" t="s">
        <v>52</v>
      </c>
      <c r="C59" s="335">
        <v>445</v>
      </c>
      <c r="D59" s="335">
        <v>29382279.046597101</v>
      </c>
      <c r="E59" s="335">
        <v>682</v>
      </c>
      <c r="F59" s="335">
        <v>32419402.192079</v>
      </c>
    </row>
    <row r="60" spans="1:6">
      <c r="A60" s="1286" t="s">
        <v>49</v>
      </c>
      <c r="B60" s="1286" t="s">
        <v>53</v>
      </c>
      <c r="C60" s="335">
        <v>185</v>
      </c>
      <c r="D60" s="335">
        <v>11895872.6722239</v>
      </c>
      <c r="E60" s="335">
        <v>223</v>
      </c>
      <c r="F60" s="335">
        <v>7875386.5435391804</v>
      </c>
    </row>
    <row r="61" spans="1:6">
      <c r="A61" s="1286" t="s">
        <v>49</v>
      </c>
      <c r="B61" s="1286" t="s">
        <v>54</v>
      </c>
      <c r="C61" s="335">
        <v>594</v>
      </c>
      <c r="D61" s="335">
        <v>40159590.844090097</v>
      </c>
      <c r="E61" s="335">
        <v>1203</v>
      </c>
      <c r="F61" s="335">
        <v>20232749.023368701</v>
      </c>
    </row>
    <row r="62" spans="1:6">
      <c r="A62" s="1286" t="s">
        <v>49</v>
      </c>
      <c r="B62" s="1286" t="s">
        <v>55</v>
      </c>
      <c r="C62" s="335">
        <v>45</v>
      </c>
      <c r="D62" s="335">
        <v>12007082.419728501</v>
      </c>
      <c r="E62" s="335">
        <v>41</v>
      </c>
      <c r="F62" s="335">
        <v>3495731.5642443299</v>
      </c>
    </row>
    <row r="63" spans="1:6">
      <c r="A63" s="1286" t="s">
        <v>49</v>
      </c>
      <c r="B63" s="1286" t="s">
        <v>29</v>
      </c>
      <c r="C63" s="335">
        <v>95</v>
      </c>
      <c r="D63" s="335">
        <v>12774094.9909909</v>
      </c>
      <c r="E63" s="335">
        <v>84</v>
      </c>
      <c r="F63" s="335">
        <v>7978166.2908547698</v>
      </c>
    </row>
    <row r="64" spans="1:6">
      <c r="A64" s="1286" t="s">
        <v>56</v>
      </c>
      <c r="B64" s="1286" t="s">
        <v>57</v>
      </c>
      <c r="C64" s="335">
        <v>0</v>
      </c>
      <c r="D64" s="335">
        <v>0</v>
      </c>
      <c r="E64" s="335">
        <v>0</v>
      </c>
      <c r="F64" s="335">
        <v>0</v>
      </c>
    </row>
    <row r="65" spans="1:6">
      <c r="A65" s="1286" t="s">
        <v>56</v>
      </c>
      <c r="B65" s="1286" t="s">
        <v>29</v>
      </c>
      <c r="C65" s="335">
        <v>2</v>
      </c>
      <c r="D65" s="335">
        <v>106584.905505641</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12</v>
      </c>
      <c r="D68" s="335">
        <v>1136633.1080986401</v>
      </c>
      <c r="E68" s="335">
        <v>29</v>
      </c>
      <c r="F68" s="335">
        <v>930410.49027284095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154628915</v>
      </c>
      <c r="E73" s="335">
        <v>157975911.17155635</v>
      </c>
    </row>
    <row r="74" spans="1:6">
      <c r="A74" s="1286" t="s">
        <v>64</v>
      </c>
      <c r="B74" s="1286" t="s">
        <v>772</v>
      </c>
      <c r="C74" s="1297" t="s">
        <v>766</v>
      </c>
      <c r="D74" s="335">
        <v>14295852.356317725</v>
      </c>
      <c r="E74" s="335">
        <v>14608482.097261544</v>
      </c>
    </row>
    <row r="75" spans="1:6">
      <c r="A75" s="1286" t="s">
        <v>65</v>
      </c>
      <c r="B75" s="1286" t="s">
        <v>771</v>
      </c>
      <c r="C75" s="1297" t="s">
        <v>767</v>
      </c>
      <c r="D75" s="335">
        <v>29991923</v>
      </c>
      <c r="E75" s="335">
        <v>30483500.976804804</v>
      </c>
    </row>
    <row r="76" spans="1:6">
      <c r="A76" s="1286" t="s">
        <v>65</v>
      </c>
      <c r="B76" s="1286" t="s">
        <v>772</v>
      </c>
      <c r="C76" s="1297" t="s">
        <v>768</v>
      </c>
      <c r="D76" s="335">
        <v>480487.3563177241</v>
      </c>
      <c r="E76" s="335">
        <v>567664.35296285804</v>
      </c>
    </row>
    <row r="77" spans="1:6">
      <c r="A77" s="1286" t="s">
        <v>66</v>
      </c>
      <c r="B77" s="1286" t="s">
        <v>771</v>
      </c>
      <c r="C77" s="1297" t="s">
        <v>769</v>
      </c>
      <c r="D77" s="335">
        <v>58836537</v>
      </c>
      <c r="E77" s="335">
        <v>66520458.93493101</v>
      </c>
    </row>
    <row r="78" spans="1:6">
      <c r="A78" s="1282" t="s">
        <v>66</v>
      </c>
      <c r="B78" s="1282" t="s">
        <v>772</v>
      </c>
      <c r="C78" s="1282" t="s">
        <v>770</v>
      </c>
      <c r="D78" s="1282">
        <v>14414857</v>
      </c>
      <c r="E78" s="1282">
        <v>18424179.668424014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1512139.2873645518</v>
      </c>
      <c r="C83" s="335">
        <v>1423439.4108484318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3363.9839586482231</v>
      </c>
    </row>
    <row r="92" spans="1:6">
      <c r="A92" s="1282" t="s">
        <v>69</v>
      </c>
      <c r="B92" s="338">
        <v>8353.6776089025716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12843</v>
      </c>
    </row>
    <row r="98" spans="1:6">
      <c r="A98" s="1286" t="s">
        <v>72</v>
      </c>
      <c r="B98" s="335">
        <v>18</v>
      </c>
    </row>
    <row r="99" spans="1:6">
      <c r="A99" s="1286" t="s">
        <v>73</v>
      </c>
      <c r="B99" s="335">
        <v>63</v>
      </c>
    </row>
    <row r="100" spans="1:6">
      <c r="A100" s="1286" t="s">
        <v>74</v>
      </c>
      <c r="B100" s="335">
        <v>462</v>
      </c>
    </row>
    <row r="101" spans="1:6">
      <c r="A101" s="1286" t="s">
        <v>75</v>
      </c>
      <c r="B101" s="335">
        <v>128</v>
      </c>
    </row>
    <row r="102" spans="1:6">
      <c r="A102" s="1286" t="s">
        <v>76</v>
      </c>
      <c r="B102" s="335">
        <v>292</v>
      </c>
    </row>
    <row r="103" spans="1:6">
      <c r="A103" s="1286" t="s">
        <v>77</v>
      </c>
      <c r="B103" s="335">
        <v>271</v>
      </c>
    </row>
    <row r="104" spans="1:6">
      <c r="A104" s="1286" t="s">
        <v>78</v>
      </c>
      <c r="B104" s="335">
        <v>2518</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108</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357423.81071273662</v>
      </c>
      <c r="C3" s="44" t="s">
        <v>170</v>
      </c>
      <c r="D3" s="44"/>
      <c r="E3" s="157"/>
      <c r="F3" s="44"/>
      <c r="G3" s="44"/>
      <c r="H3" s="44"/>
      <c r="I3" s="44"/>
      <c r="J3" s="44"/>
      <c r="K3" s="97"/>
    </row>
    <row r="4" spans="1:11">
      <c r="A4" s="365" t="s">
        <v>171</v>
      </c>
      <c r="B4" s="50">
        <f>IF(ISERROR('SEAP template'!B78+'SEAP template'!C78),0,'SEAP template'!B78+'SEAP template'!C78)</f>
        <v>19281.161567550793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1477.6265515005198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0.2132122979177643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2140.5782104042423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9014.2857142857138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0.23746509465657206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2504.3850000000002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2504.3850000000002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0.2132122979177643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533.96568072078026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57761.516554056601</v>
      </c>
      <c r="C5" s="18">
        <f>IF(ISERROR('Eigen informatie GS &amp; warmtenet'!B57),0,'Eigen informatie GS &amp; warmtenet'!B57)</f>
        <v>0</v>
      </c>
      <c r="D5" s="31">
        <f>(SUM(HH_hh_gas_kWh,HH_rest_gas_kWh)/1000)*0.902</f>
        <v>251518.50774498828</v>
      </c>
      <c r="E5" s="18">
        <f>B46*B57</f>
        <v>4464.6549614111682</v>
      </c>
      <c r="F5" s="18">
        <f>B51*B62</f>
        <v>0</v>
      </c>
      <c r="G5" s="19"/>
      <c r="H5" s="18"/>
      <c r="I5" s="18"/>
      <c r="J5" s="18">
        <f>B50*B61+C50*C61</f>
        <v>0</v>
      </c>
      <c r="K5" s="18"/>
      <c r="L5" s="18"/>
      <c r="M5" s="18"/>
      <c r="N5" s="18">
        <f>B48*B59+C48*C59</f>
        <v>29458.603562280819</v>
      </c>
      <c r="O5" s="18">
        <f>B69*B70*B71</f>
        <v>181.34666666666669</v>
      </c>
      <c r="P5" s="18">
        <f>B77*B78*B79/1000-B77*B78*B79/1000/B80</f>
        <v>324.13333333333333</v>
      </c>
    </row>
    <row r="6" spans="1:16">
      <c r="A6" s="17" t="s">
        <v>639</v>
      </c>
      <c r="B6" s="780">
        <f>kWh_PV_kleiner_dan_10kW</f>
        <v>3363.9839586482231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61125.500512704821</v>
      </c>
      <c r="C8" s="22">
        <f>C5</f>
        <v>0</v>
      </c>
      <c r="D8" s="22">
        <f>D5</f>
        <v>251518.50774498828</v>
      </c>
      <c r="E8" s="22">
        <f>E5</f>
        <v>4464.6549614111682</v>
      </c>
      <c r="F8" s="22">
        <f>F5</f>
        <v>0</v>
      </c>
      <c r="G8" s="22"/>
      <c r="H8" s="22"/>
      <c r="I8" s="22"/>
      <c r="J8" s="22">
        <f>J5</f>
        <v>0</v>
      </c>
      <c r="K8" s="22"/>
      <c r="L8" s="22">
        <f>L5</f>
        <v>0</v>
      </c>
      <c r="M8" s="22">
        <f>M5</f>
        <v>0</v>
      </c>
      <c r="N8" s="22">
        <f>N5</f>
        <v>29458.603562280819</v>
      </c>
      <c r="O8" s="22">
        <f>O5</f>
        <v>181.34666666666669</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0.2132122979177643</v>
      </c>
      <c r="C10" s="26">
        <f ca="1">'EF ele_warmte'!B22</f>
        <v>0.23746509465657206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13032.708425687275</v>
      </c>
      <c r="C12" s="24">
        <f ca="1">C10*C8</f>
        <v>0</v>
      </c>
      <c r="D12" s="24">
        <f>D8*D10</f>
        <v>50806.738564487634</v>
      </c>
      <c r="E12" s="24">
        <f>E10*E8</f>
        <v>1013.4766762403352</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12843</v>
      </c>
      <c r="C18" s="169" t="s">
        <v>111</v>
      </c>
      <c r="D18" s="231"/>
      <c r="E18" s="16"/>
    </row>
    <row r="19" spans="1:7">
      <c r="A19" s="174" t="s">
        <v>72</v>
      </c>
      <c r="B19" s="38">
        <f>aantalw2001_ander</f>
        <v>18</v>
      </c>
      <c r="C19" s="169" t="s">
        <v>111</v>
      </c>
      <c r="D19" s="232"/>
      <c r="E19" s="16"/>
    </row>
    <row r="20" spans="1:7">
      <c r="A20" s="174" t="s">
        <v>73</v>
      </c>
      <c r="B20" s="38">
        <f>aantalw2001_propaan</f>
        <v>63</v>
      </c>
      <c r="C20" s="170">
        <f>IF(ISERROR(B20/SUM($B$20,$B$21,$B$22)*100),0,B20/SUM($B$20,$B$21,$B$22)*100)</f>
        <v>9.6477794793261857</v>
      </c>
      <c r="D20" s="232"/>
      <c r="E20" s="16"/>
    </row>
    <row r="21" spans="1:7">
      <c r="A21" s="174" t="s">
        <v>74</v>
      </c>
      <c r="B21" s="38">
        <f>aantalw2001_elektriciteit</f>
        <v>462</v>
      </c>
      <c r="C21" s="170">
        <f>IF(ISERROR(B21/SUM($B$20,$B$21,$B$22)*100),0,B21/SUM($B$20,$B$21,$B$22)*100)</f>
        <v>70.750382848392036</v>
      </c>
      <c r="D21" s="232"/>
      <c r="E21" s="16"/>
    </row>
    <row r="22" spans="1:7">
      <c r="A22" s="174" t="s">
        <v>75</v>
      </c>
      <c r="B22" s="38">
        <f>aantalw2001_hout</f>
        <v>128</v>
      </c>
      <c r="C22" s="170">
        <f>IF(ISERROR(B22/SUM($B$20,$B$21,$B$22)*100),0,B22/SUM($B$20,$B$21,$B$22)*100)</f>
        <v>19.601837672281778</v>
      </c>
      <c r="D22" s="232"/>
      <c r="E22" s="16"/>
    </row>
    <row r="23" spans="1:7">
      <c r="A23" s="174" t="s">
        <v>76</v>
      </c>
      <c r="B23" s="38">
        <f>aantalw2001_niet_gespec</f>
        <v>292</v>
      </c>
      <c r="C23" s="169" t="s">
        <v>111</v>
      </c>
      <c r="D23" s="231"/>
      <c r="E23" s="16"/>
    </row>
    <row r="24" spans="1:7">
      <c r="A24" s="174" t="s">
        <v>77</v>
      </c>
      <c r="B24" s="38">
        <f>aantalw2001_steenkool</f>
        <v>271</v>
      </c>
      <c r="C24" s="169" t="s">
        <v>111</v>
      </c>
      <c r="D24" s="232"/>
      <c r="E24" s="16"/>
    </row>
    <row r="25" spans="1:7">
      <c r="A25" s="174" t="s">
        <v>78</v>
      </c>
      <c r="B25" s="38">
        <f>aantalw2001_stookolie</f>
        <v>2518</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18601</v>
      </c>
      <c r="C28" s="37"/>
      <c r="D28" s="231"/>
    </row>
    <row r="29" spans="1:7" s="16" customFormat="1">
      <c r="A29" s="233" t="s">
        <v>666</v>
      </c>
      <c r="B29" s="38">
        <f>SUM(HH_hh_gas_aantal,HH_rest_gas_aantal)</f>
        <v>16484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16484</v>
      </c>
      <c r="C32" s="170">
        <f>IF(ISERROR(B32/SUM($B$32,$B$34,$B$35,$B$36,$B$38,$B$39)*100),0,B32/SUM($B$32,$B$34,$B$35,$B$36,$B$38,$B$39)*100)</f>
        <v>88.699956952216965</v>
      </c>
      <c r="D32" s="236"/>
      <c r="G32" s="16"/>
    </row>
    <row r="33" spans="1:7">
      <c r="A33" s="174" t="s">
        <v>72</v>
      </c>
      <c r="B33" s="35" t="s">
        <v>111</v>
      </c>
      <c r="C33" s="170"/>
      <c r="D33" s="236"/>
      <c r="G33" s="16"/>
    </row>
    <row r="34" spans="1:7">
      <c r="A34" s="174" t="s">
        <v>73</v>
      </c>
      <c r="B34" s="34">
        <f>IF((($B$28-$B$32-$B$39-$B$77-$B$38)*C20/100)&lt;0,0,($B$28-$B$32-$B$39-$B$77-$B$38)*C20/100)</f>
        <v>202.6033690658499</v>
      </c>
      <c r="C34" s="170">
        <f>IF(ISERROR(B34/SUM($B$32,$B$34,$B$35,$B$36,$B$38,$B$39)*100),0,B34/SUM($B$32,$B$34,$B$35,$B$36,$B$38,$B$39)*100)</f>
        <v>1.0902032343190375</v>
      </c>
      <c r="D34" s="236"/>
      <c r="G34" s="16"/>
    </row>
    <row r="35" spans="1:7">
      <c r="A35" s="174" t="s">
        <v>74</v>
      </c>
      <c r="B35" s="34">
        <f>IF((($B$28-$B$32-$B$39-$B$77-$B$38)*C21/100)&lt;0,0,($B$28-$B$32-$B$39-$B$77-$B$38)*C21/100)</f>
        <v>1485.7580398162327</v>
      </c>
      <c r="C35" s="170">
        <f>IF(ISERROR(B35/SUM($B$32,$B$34,$B$35,$B$36,$B$38,$B$39)*100),0,B35/SUM($B$32,$B$34,$B$35,$B$36,$B$38,$B$39)*100)</f>
        <v>7.9948237183396085</v>
      </c>
      <c r="D35" s="236"/>
      <c r="G35" s="16"/>
    </row>
    <row r="36" spans="1:7">
      <c r="A36" s="174" t="s">
        <v>75</v>
      </c>
      <c r="B36" s="34">
        <f>IF((($B$28-$B$32-$B$39-$B$77-$B$38)*C22/100)&lt;0,0,($B$28-$B$32-$B$39-$B$77-$B$38)*C22/100)</f>
        <v>411.63859111791731</v>
      </c>
      <c r="C36" s="170">
        <f>IF(ISERROR(B36/SUM($B$32,$B$34,$B$35,$B$36,$B$38,$B$39)*100),0,B36/SUM($B$32,$B$34,$B$35,$B$36,$B$38,$B$39)*100)</f>
        <v>2.2150160951243936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16484</v>
      </c>
      <c r="C44" s="35" t="s">
        <v>111</v>
      </c>
      <c r="D44" s="177"/>
    </row>
    <row r="45" spans="1:7">
      <c r="A45" s="174" t="s">
        <v>72</v>
      </c>
      <c r="B45" s="34" t="str">
        <f t="shared" si="0"/>
        <v>-</v>
      </c>
      <c r="C45" s="35" t="s">
        <v>111</v>
      </c>
      <c r="D45" s="177"/>
    </row>
    <row r="46" spans="1:7">
      <c r="A46" s="174" t="s">
        <v>73</v>
      </c>
      <c r="B46" s="34">
        <f t="shared" si="0"/>
        <v>202.6033690658499</v>
      </c>
      <c r="C46" s="35" t="s">
        <v>111</v>
      </c>
      <c r="D46" s="177"/>
    </row>
    <row r="47" spans="1:7">
      <c r="A47" s="174" t="s">
        <v>74</v>
      </c>
      <c r="B47" s="34">
        <f t="shared" si="0"/>
        <v>1485.7580398162327</v>
      </c>
      <c r="C47" s="35" t="s">
        <v>111</v>
      </c>
      <c r="D47" s="177"/>
    </row>
    <row r="48" spans="1:7">
      <c r="A48" s="174" t="s">
        <v>75</v>
      </c>
      <c r="B48" s="34">
        <f t="shared" si="0"/>
        <v>411.63859111791731</v>
      </c>
      <c r="C48" s="34">
        <f>B48*10</f>
        <v>4116.3859111791735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90290.028701138319</v>
      </c>
      <c r="C5" s="18">
        <f>IF(ISERROR('Eigen informatie GS &amp; warmtenet'!B58),0,'Eigen informatie GS &amp; warmtenet'!B58)</f>
        <v>0</v>
      </c>
      <c r="D5" s="31">
        <f>SUM(D6:D12)</f>
        <v>121038.97622520995</v>
      </c>
      <c r="E5" s="18">
        <f>SUM(E6:E12)</f>
        <v>744.07401762172276</v>
      </c>
      <c r="F5" s="18">
        <f>SUM(F6:F12)</f>
        <v>19788.038044884575</v>
      </c>
      <c r="G5" s="19"/>
      <c r="H5" s="18"/>
      <c r="I5" s="18"/>
      <c r="J5" s="18">
        <f>SUM(J6:J12)</f>
        <v>0</v>
      </c>
      <c r="K5" s="18"/>
      <c r="L5" s="18"/>
      <c r="M5" s="18"/>
      <c r="N5" s="18">
        <f>SUM(N6:N12)</f>
        <v>3894.4959899255873</v>
      </c>
      <c r="O5" s="18">
        <f>B38*B39*B40</f>
        <v>0</v>
      </c>
      <c r="P5" s="18">
        <f>B46*B47*B48/1000-B46*B47*B48/1000/B49</f>
        <v>0</v>
      </c>
      <c r="R5" s="33"/>
    </row>
    <row r="6" spans="1:18">
      <c r="A6" s="33" t="s">
        <v>54</v>
      </c>
      <c r="B6" s="38">
        <f>B26</f>
        <v>20232.749023368702</v>
      </c>
      <c r="C6" s="34"/>
      <c r="D6" s="38">
        <f>IF(ISERROR(TER_kantoor_gas_kWh/1000),0,TER_kantoor_gas_kWh/1000)*0.902</f>
        <v>36223.950941369265</v>
      </c>
      <c r="E6" s="34">
        <f>$C$26*'E Balans VL '!I12/100/3.6*1000000</f>
        <v>33.20604183693353</v>
      </c>
      <c r="F6" s="34">
        <f>$C$26*('E Balans VL '!L12+'E Balans VL '!N12)/100/3.6*1000000</f>
        <v>2384.9650591223672</v>
      </c>
      <c r="G6" s="35"/>
      <c r="H6" s="34"/>
      <c r="I6" s="34"/>
      <c r="J6" s="34">
        <f>$C$26*('E Balans VL '!D12+'E Balans VL '!E12)/100/3.6*1000000</f>
        <v>0</v>
      </c>
      <c r="K6" s="34"/>
      <c r="L6" s="34"/>
      <c r="M6" s="34"/>
      <c r="N6" s="34">
        <f>$C$26*'E Balans VL '!Y12/100/3.6*1000000</f>
        <v>4.0879311302613113</v>
      </c>
      <c r="O6" s="34"/>
      <c r="P6" s="34"/>
      <c r="R6" s="33"/>
    </row>
    <row r="7" spans="1:18">
      <c r="A7" s="33" t="s">
        <v>53</v>
      </c>
      <c r="B7" s="38">
        <f t="shared" ref="B7:B12" si="0">B27</f>
        <v>7875.3865435391808</v>
      </c>
      <c r="C7" s="34"/>
      <c r="D7" s="38">
        <f>IF(ISERROR(TER_horeca_gas_kWh/1000),0,TER_horeca_gas_kWh/1000)*0.902</f>
        <v>10730.077150345956</v>
      </c>
      <c r="E7" s="34">
        <f>$C$27*'E Balans VL '!I9/100/3.6*1000000</f>
        <v>408.67557409316709</v>
      </c>
      <c r="F7" s="34">
        <f>$C$27*('E Balans VL '!L9+'E Balans VL '!N9)/100/3.6*1000000</f>
        <v>1797.1689236444392</v>
      </c>
      <c r="G7" s="35"/>
      <c r="H7" s="34"/>
      <c r="I7" s="34"/>
      <c r="J7" s="34">
        <f>$C$27*('E Balans VL '!D9+'E Balans VL '!E9)/100/3.6*1000000</f>
        <v>0</v>
      </c>
      <c r="K7" s="34"/>
      <c r="L7" s="34"/>
      <c r="M7" s="34"/>
      <c r="N7" s="34">
        <f>$C$27*'E Balans VL '!Y9/100/3.6*1000000</f>
        <v>0.83163720994440038</v>
      </c>
      <c r="O7" s="34"/>
      <c r="P7" s="34"/>
      <c r="R7" s="33"/>
    </row>
    <row r="8" spans="1:18">
      <c r="A8" s="6" t="s">
        <v>52</v>
      </c>
      <c r="B8" s="38">
        <f t="shared" si="0"/>
        <v>32419.402192079</v>
      </c>
      <c r="C8" s="34"/>
      <c r="D8" s="38">
        <f>IF(ISERROR(TER_handel_gas_kWh/1000),0,TER_handel_gas_kWh/1000)*0.902</f>
        <v>26502.815700030587</v>
      </c>
      <c r="E8" s="34">
        <f>$C$28*'E Balans VL '!I13/100/3.6*1000000</f>
        <v>174.58246461938302</v>
      </c>
      <c r="F8" s="34">
        <f>$C$28*('E Balans VL '!L13+'E Balans VL '!N13)/100/3.6*1000000</f>
        <v>6611.27952482613</v>
      </c>
      <c r="G8" s="35"/>
      <c r="H8" s="34"/>
      <c r="I8" s="34"/>
      <c r="J8" s="34">
        <f>$C$28*('E Balans VL '!D13+'E Balans VL '!E13)/100/3.6*1000000</f>
        <v>0</v>
      </c>
      <c r="K8" s="34"/>
      <c r="L8" s="34"/>
      <c r="M8" s="34"/>
      <c r="N8" s="34">
        <f>$C$28*'E Balans VL '!Y13/100/3.6*1000000</f>
        <v>161.20456690541479</v>
      </c>
      <c r="O8" s="34"/>
      <c r="P8" s="34"/>
      <c r="R8" s="33"/>
    </row>
    <row r="9" spans="1:18">
      <c r="A9" s="33" t="s">
        <v>51</v>
      </c>
      <c r="B9" s="38">
        <f t="shared" si="0"/>
        <v>12948.2452648119</v>
      </c>
      <c r="C9" s="34"/>
      <c r="D9" s="38">
        <f>IF(ISERROR(TER_gezond_gas_kWh/1000),0,TER_gezond_gas_kWh/1000)*0.902</f>
        <v>18393.826368669925</v>
      </c>
      <c r="E9" s="34">
        <f>$C$29*'E Balans VL '!I10/100/3.6*1000000</f>
        <v>12.831858304264346</v>
      </c>
      <c r="F9" s="34">
        <f>$C$29*('E Balans VL '!L10+'E Balans VL '!N10)/100/3.6*1000000</f>
        <v>4492.6678880382715</v>
      </c>
      <c r="G9" s="35"/>
      <c r="H9" s="34"/>
      <c r="I9" s="34"/>
      <c r="J9" s="34">
        <f>$C$29*('E Balans VL '!D10+'E Balans VL '!E10)/100/3.6*1000000</f>
        <v>0</v>
      </c>
      <c r="K9" s="34"/>
      <c r="L9" s="34"/>
      <c r="M9" s="34"/>
      <c r="N9" s="34">
        <f>$C$29*'E Balans VL '!Y10/100/3.6*1000000</f>
        <v>111.57390774577463</v>
      </c>
      <c r="O9" s="34"/>
      <c r="P9" s="34"/>
      <c r="R9" s="33"/>
    </row>
    <row r="10" spans="1:18">
      <c r="A10" s="33" t="s">
        <v>50</v>
      </c>
      <c r="B10" s="38">
        <f t="shared" si="0"/>
        <v>5340.3478222404401</v>
      </c>
      <c r="C10" s="34"/>
      <c r="D10" s="38">
        <f>IF(ISERROR(TER_ander_gas_kWh/1000),0,TER_ander_gas_kWh/1000)*0.902</f>
        <v>6835.6840403253118</v>
      </c>
      <c r="E10" s="34">
        <f>$C$30*'E Balans VL '!I14/100/3.6*1000000</f>
        <v>43.689382483464335</v>
      </c>
      <c r="F10" s="34">
        <f>$C$30*('E Balans VL '!L14+'E Balans VL '!N14)/100/3.6*1000000</f>
        <v>1561.3002886587112</v>
      </c>
      <c r="G10" s="35"/>
      <c r="H10" s="34"/>
      <c r="I10" s="34"/>
      <c r="J10" s="34">
        <f>$C$30*('E Balans VL '!D14+'E Balans VL '!E14)/100/3.6*1000000</f>
        <v>0</v>
      </c>
      <c r="K10" s="34"/>
      <c r="L10" s="34"/>
      <c r="M10" s="34"/>
      <c r="N10" s="34">
        <f>$C$30*'E Balans VL '!Y14/100/3.6*1000000</f>
        <v>3080.6799805921241</v>
      </c>
      <c r="O10" s="34"/>
      <c r="P10" s="34"/>
      <c r="R10" s="33"/>
    </row>
    <row r="11" spans="1:18">
      <c r="A11" s="33" t="s">
        <v>55</v>
      </c>
      <c r="B11" s="38">
        <f t="shared" si="0"/>
        <v>3495.73156424433</v>
      </c>
      <c r="C11" s="34"/>
      <c r="D11" s="38">
        <f>IF(ISERROR(TER_onderwijs_gas_kWh/1000),0,TER_onderwijs_gas_kWh/1000)*0.902</f>
        <v>10830.388342595108</v>
      </c>
      <c r="E11" s="34">
        <f>$C$31*'E Balans VL '!I11/100/3.6*1000000</f>
        <v>2.1546214366414853</v>
      </c>
      <c r="F11" s="34">
        <f>$C$31*('E Balans VL '!L11+'E Balans VL '!N11)/100/3.6*1000000</f>
        <v>1351.5064349535542</v>
      </c>
      <c r="G11" s="35"/>
      <c r="H11" s="34"/>
      <c r="I11" s="34"/>
      <c r="J11" s="34">
        <f>$C$31*('E Balans VL '!D11+'E Balans VL '!E11)/100/3.6*1000000</f>
        <v>0</v>
      </c>
      <c r="K11" s="34"/>
      <c r="L11" s="34"/>
      <c r="M11" s="34"/>
      <c r="N11" s="34">
        <f>$C$31*'E Balans VL '!Y11/100/3.6*1000000</f>
        <v>11.370865659207366</v>
      </c>
      <c r="O11" s="34"/>
      <c r="P11" s="34"/>
      <c r="R11" s="33"/>
    </row>
    <row r="12" spans="1:18">
      <c r="A12" s="33" t="s">
        <v>260</v>
      </c>
      <c r="B12" s="38">
        <f t="shared" si="0"/>
        <v>7978.1662908547696</v>
      </c>
      <c r="C12" s="34"/>
      <c r="D12" s="38">
        <f>IF(ISERROR(TER_rest_gas_kWh/1000),0,TER_rest_gas_kWh/1000)*0.902</f>
        <v>11522.233681873791</v>
      </c>
      <c r="E12" s="34">
        <f>$C$32*'E Balans VL '!I8/100/3.6*1000000</f>
        <v>68.934074847868999</v>
      </c>
      <c r="F12" s="34">
        <f>$C$32*('E Balans VL '!L8+'E Balans VL '!N8)/100/3.6*1000000</f>
        <v>1589.1499256411</v>
      </c>
      <c r="G12" s="35"/>
      <c r="H12" s="34"/>
      <c r="I12" s="34"/>
      <c r="J12" s="34">
        <f>$C$32*('E Balans VL '!D8+'E Balans VL '!E8)/100/3.6*1000000</f>
        <v>0</v>
      </c>
      <c r="K12" s="34"/>
      <c r="L12" s="34"/>
      <c r="M12" s="34"/>
      <c r="N12" s="34">
        <f>$C$32*'E Balans VL '!Y8/100/3.6*1000000</f>
        <v>524.74710068286026</v>
      </c>
      <c r="O12" s="34"/>
      <c r="P12" s="34"/>
      <c r="R12" s="33"/>
    </row>
    <row r="13" spans="1:18">
      <c r="A13" s="17" t="s">
        <v>502</v>
      </c>
      <c r="B13" s="250">
        <f ca="1">'lokale energieproductie'!N91+'lokale energieproductie'!N60</f>
        <v>1376</v>
      </c>
      <c r="C13" s="250">
        <f ca="1">'lokale energieproductie'!O91+'lokale energieproductie'!O60</f>
        <v>175</v>
      </c>
      <c r="D13" s="312">
        <f ca="1">('lokale energieproductie'!P60+'lokale energieproductie'!P91)*(-1)</f>
        <v>-233.33333333333334</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91666.028701138319</v>
      </c>
      <c r="C16" s="22">
        <f t="shared" ca="1" si="1"/>
        <v>175</v>
      </c>
      <c r="D16" s="22">
        <f t="shared" ca="1" si="1"/>
        <v>120805.64289187662</v>
      </c>
      <c r="E16" s="22">
        <f t="shared" si="1"/>
        <v>744.07401762172276</v>
      </c>
      <c r="F16" s="22">
        <f t="shared" ca="1" si="1"/>
        <v>19788.038044884575</v>
      </c>
      <c r="G16" s="22">
        <f t="shared" si="1"/>
        <v>0</v>
      </c>
      <c r="H16" s="22">
        <f t="shared" si="1"/>
        <v>0</v>
      </c>
      <c r="I16" s="22">
        <f t="shared" si="1"/>
        <v>0</v>
      </c>
      <c r="J16" s="22">
        <f t="shared" si="1"/>
        <v>0</v>
      </c>
      <c r="K16" s="22">
        <f t="shared" si="1"/>
        <v>0</v>
      </c>
      <c r="L16" s="22">
        <f t="shared" ca="1" si="1"/>
        <v>0</v>
      </c>
      <c r="M16" s="22">
        <f t="shared" si="1"/>
        <v>0</v>
      </c>
      <c r="N16" s="22">
        <f t="shared" ca="1" si="1"/>
        <v>63.067418497015751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0.2132122979177643</v>
      </c>
      <c r="C18" s="26">
        <f ca="1">'EF ele_warmte'!B22</f>
        <v>0.23746509465657206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19544.324620365438</v>
      </c>
      <c r="C20" s="24">
        <f t="shared" ref="C20:P20" ca="1" si="2">C16*C18</f>
        <v>41.55639156490011</v>
      </c>
      <c r="D20" s="24">
        <f t="shared" ca="1" si="2"/>
        <v>24402.739864159077</v>
      </c>
      <c r="E20" s="24">
        <f t="shared" si="2"/>
        <v>168.90480200013107</v>
      </c>
      <c r="F20" s="24">
        <f t="shared" ca="1" si="2"/>
        <v>5283.4061579841818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20232.749023368702</v>
      </c>
      <c r="C26" s="40">
        <f>IF(ISERROR(B26*3.6/1000000/'E Balans VL '!Z12*100),0,B26*3.6/1000000/'E Balans VL '!Z12*100)</f>
        <v>0.42993140721416079</v>
      </c>
      <c r="D26" s="240" t="s">
        <v>707</v>
      </c>
      <c r="F26" s="6"/>
    </row>
    <row r="27" spans="1:18">
      <c r="A27" s="234" t="s">
        <v>53</v>
      </c>
      <c r="B27" s="34">
        <f>IF(ISERROR(TER_horeca_ele_kWh/1000),0,TER_horeca_ele_kWh/1000)</f>
        <v>7875.3865435391808</v>
      </c>
      <c r="C27" s="40">
        <f>IF(ISERROR(B27*3.6/1000000/'E Balans VL '!Z9*100),0,B27*3.6/1000000/'E Balans VL '!Z9*100)</f>
        <v>0.61985382107657183</v>
      </c>
      <c r="D27" s="240" t="s">
        <v>707</v>
      </c>
      <c r="F27" s="6"/>
    </row>
    <row r="28" spans="1:18">
      <c r="A28" s="174" t="s">
        <v>52</v>
      </c>
      <c r="B28" s="34">
        <f>IF(ISERROR(TER_handel_ele_kWh/1000),0,TER_handel_ele_kWh/1000)</f>
        <v>32419.402192079</v>
      </c>
      <c r="C28" s="40">
        <f>IF(ISERROR(B28*3.6/1000000/'E Balans VL '!Z13*100),0,B28*3.6/1000000/'E Balans VL '!Z13*100)</f>
        <v>0.90808480557920612</v>
      </c>
      <c r="D28" s="240" t="s">
        <v>707</v>
      </c>
      <c r="F28" s="6"/>
    </row>
    <row r="29" spans="1:18">
      <c r="A29" s="234" t="s">
        <v>51</v>
      </c>
      <c r="B29" s="34">
        <f>IF(ISERROR(TER_gezond_ele_kWh/1000),0,TER_gezond_ele_kWh/1000)</f>
        <v>12948.2452648119</v>
      </c>
      <c r="C29" s="40">
        <f>IF(ISERROR(B29*3.6/1000000/'E Balans VL '!Z10*100),0,B29*3.6/1000000/'E Balans VL '!Z10*100)</f>
        <v>1.656472108537248</v>
      </c>
      <c r="D29" s="240" t="s">
        <v>707</v>
      </c>
      <c r="F29" s="6"/>
    </row>
    <row r="30" spans="1:18">
      <c r="A30" s="234" t="s">
        <v>50</v>
      </c>
      <c r="B30" s="34">
        <f>IF(ISERROR(TER_ander_ele_kWh/1000),0,TER_ander_ele_kWh/1000)</f>
        <v>5340.3478222404401</v>
      </c>
      <c r="C30" s="40">
        <f>IF(ISERROR(B30*3.6/1000000/'E Balans VL '!Z14*100),0,B30*3.6/1000000/'E Balans VL '!Z14*100)</f>
        <v>0.39941301854675937</v>
      </c>
      <c r="D30" s="240" t="s">
        <v>707</v>
      </c>
      <c r="F30" s="6"/>
    </row>
    <row r="31" spans="1:18">
      <c r="A31" s="234" t="s">
        <v>55</v>
      </c>
      <c r="B31" s="34">
        <f>IF(ISERROR(TER_onderwijs_ele_kWh/1000),0,TER_onderwijs_ele_kWh/1000)</f>
        <v>3495.73156424433</v>
      </c>
      <c r="C31" s="40">
        <f>IF(ISERROR(B31*3.6/1000000/'E Balans VL '!Z11*100),0,B31*3.6/1000000/'E Balans VL '!Z11*100)</f>
        <v>0.73812824791998477</v>
      </c>
      <c r="D31" s="240" t="s">
        <v>707</v>
      </c>
    </row>
    <row r="32" spans="1:18">
      <c r="A32" s="234" t="s">
        <v>260</v>
      </c>
      <c r="B32" s="34">
        <f>IF(ISERROR(TER_rest_ele_kWh/1000),0,TER_rest_ele_kWh/1000)</f>
        <v>7978.1662908547696</v>
      </c>
      <c r="C32" s="40">
        <f>IF(ISERROR(B32*3.6/1000000/'E Balans VL '!Z8*100),0,B32*3.6/1000000/'E Balans VL '!Z8*100)</f>
        <v>6.5723591910842358E-2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191644.76526424248</v>
      </c>
      <c r="C5" s="18">
        <f>IF(ISERROR('Eigen informatie GS &amp; warmtenet'!B59),0,'Eigen informatie GS &amp; warmtenet'!B59)</f>
        <v>0</v>
      </c>
      <c r="D5" s="31">
        <f>SUM(D6:D15)</f>
        <v>163713.74451480783</v>
      </c>
      <c r="E5" s="18">
        <f>SUM(E6:E15)</f>
        <v>2481.8355146552335</v>
      </c>
      <c r="F5" s="18">
        <f>SUM(F6:F15)</f>
        <v>39937.013293315365</v>
      </c>
      <c r="G5" s="19"/>
      <c r="H5" s="18"/>
      <c r="I5" s="18"/>
      <c r="J5" s="18">
        <f>SUM(J6:J15)</f>
        <v>643.85319099048695</v>
      </c>
      <c r="K5" s="18"/>
      <c r="L5" s="18"/>
      <c r="M5" s="18"/>
      <c r="N5" s="18">
        <f>SUM(N6:N15)</f>
        <v>16195.582979203358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606.13811461545197</v>
      </c>
      <c r="C8" s="34"/>
      <c r="D8" s="38">
        <f>IF( ISERROR(IND_metaal_Gas_kWH/1000),0,IND_metaal_Gas_kWH/1000)*0.902</f>
        <v>1308.6193199098057</v>
      </c>
      <c r="E8" s="34">
        <f>C30*'E Balans VL '!I18/100/3.6*1000000</f>
        <v>5.5199905762261725</v>
      </c>
      <c r="F8" s="34">
        <f>C30*'E Balans VL '!L18/100/3.6*1000000+C30*'E Balans VL '!N18/100/3.6*1000000</f>
        <v>79.945014225875127</v>
      </c>
      <c r="G8" s="35"/>
      <c r="H8" s="34"/>
      <c r="I8" s="34"/>
      <c r="J8" s="41">
        <f>C30*'E Balans VL '!D18/100/3.6*1000000+C30*'E Balans VL '!E18/100/3.6*1000000</f>
        <v>9.9397849988417537</v>
      </c>
      <c r="K8" s="34"/>
      <c r="L8" s="34"/>
      <c r="M8" s="34"/>
      <c r="N8" s="34">
        <f>C30*'E Balans VL '!Y18/100/3.6*1000000</f>
        <v>2.0830559121849443</v>
      </c>
      <c r="O8" s="34"/>
      <c r="P8" s="34"/>
      <c r="R8" s="33"/>
    </row>
    <row r="9" spans="1:18">
      <c r="A9" s="6" t="s">
        <v>33</v>
      </c>
      <c r="B9" s="38">
        <f t="shared" si="0"/>
        <v>9625.988894825221</v>
      </c>
      <c r="C9" s="34"/>
      <c r="D9" s="38">
        <f>IF( ISERROR(IND_andere_gas_kWh/1000),0,IND_andere_gas_kWh/1000)*0.902</f>
        <v>4962.1896361382851</v>
      </c>
      <c r="E9" s="34">
        <f>C31*'E Balans VL '!I19/100/3.6*1000000</f>
        <v>55.639654297148724</v>
      </c>
      <c r="F9" s="34">
        <f>C31*'E Balans VL '!L19/100/3.6*1000000+C31*'E Balans VL '!N19/100/3.6*1000000</f>
        <v>7657.9373500902066</v>
      </c>
      <c r="G9" s="35"/>
      <c r="H9" s="34"/>
      <c r="I9" s="34"/>
      <c r="J9" s="41">
        <f>C31*'E Balans VL '!D19/100/3.6*1000000+C31*'E Balans VL '!E19/100/3.6*1000000</f>
        <v>0.91051162699427213</v>
      </c>
      <c r="K9" s="34"/>
      <c r="L9" s="34"/>
      <c r="M9" s="34"/>
      <c r="N9" s="34">
        <f>C31*'E Balans VL '!Y19/100/3.6*1000000</f>
        <v>729.31433183054571</v>
      </c>
      <c r="O9" s="34"/>
      <c r="P9" s="34"/>
      <c r="R9" s="33"/>
    </row>
    <row r="10" spans="1:18">
      <c r="A10" s="6" t="s">
        <v>41</v>
      </c>
      <c r="B10" s="38">
        <f t="shared" si="0"/>
        <v>20094.542022873902</v>
      </c>
      <c r="C10" s="34"/>
      <c r="D10" s="38">
        <f>IF( ISERROR(IND_voed_gas_kWh/1000),0,IND_voed_gas_kWh/1000)*0.902</f>
        <v>33211.579147580509</v>
      </c>
      <c r="E10" s="34">
        <f>C32*'E Balans VL '!I20/100/3.6*1000000</f>
        <v>197.58191844738207</v>
      </c>
      <c r="F10" s="34">
        <f>C32*'E Balans VL '!L20/100/3.6*1000000+C32*'E Balans VL '!N20/100/3.6*1000000</f>
        <v>2231.7611785513827</v>
      </c>
      <c r="G10" s="35"/>
      <c r="H10" s="34"/>
      <c r="I10" s="34"/>
      <c r="J10" s="41">
        <f>C32*'E Balans VL '!D20/100/3.6*1000000+C32*'E Balans VL '!E20/100/3.6*1000000</f>
        <v>7.920171248531023E-2</v>
      </c>
      <c r="K10" s="34"/>
      <c r="L10" s="34"/>
      <c r="M10" s="34"/>
      <c r="N10" s="34">
        <f>C32*'E Balans VL '!Y20/100/3.6*1000000</f>
        <v>297.55290001358128</v>
      </c>
      <c r="O10" s="34"/>
      <c r="P10" s="34"/>
      <c r="R10" s="33"/>
    </row>
    <row r="11" spans="1:18">
      <c r="A11" s="6" t="s">
        <v>40</v>
      </c>
      <c r="B11" s="38">
        <f t="shared" si="0"/>
        <v>18.2812271821265</v>
      </c>
      <c r="C11" s="34"/>
      <c r="D11" s="38">
        <f>IF( ISERROR(IND_textiel_gas_kWh/1000),0,IND_textiel_gas_kWh/1000)*0.902</f>
        <v>91.555888647895841</v>
      </c>
      <c r="E11" s="34">
        <f>C33*'E Balans VL '!I21/100/3.6*1000000</f>
        <v>3.5597794349705912E-2</v>
      </c>
      <c r="F11" s="34">
        <f>C33*'E Balans VL '!L21/100/3.6*1000000+C33*'E Balans VL '!N21/100/3.6*1000000</f>
        <v>0.60297486237901921</v>
      </c>
      <c r="G11" s="35"/>
      <c r="H11" s="34"/>
      <c r="I11" s="34"/>
      <c r="J11" s="41">
        <f>C33*'E Balans VL '!D21/100/3.6*1000000+C33*'E Balans VL '!E21/100/3.6*1000000</f>
        <v>0</v>
      </c>
      <c r="K11" s="34"/>
      <c r="L11" s="34"/>
      <c r="M11" s="34"/>
      <c r="N11" s="34">
        <f>C33*'E Balans VL '!Y21/100/3.6*1000000</f>
        <v>0.18962440874728786</v>
      </c>
      <c r="O11" s="34"/>
      <c r="P11" s="34"/>
      <c r="R11" s="33"/>
    </row>
    <row r="12" spans="1:18">
      <c r="A12" s="6" t="s">
        <v>37</v>
      </c>
      <c r="B12" s="38">
        <f t="shared" si="0"/>
        <v>545.06005901575804</v>
      </c>
      <c r="C12" s="34"/>
      <c r="D12" s="38">
        <f>IF( ISERROR(IND_min_gas_kWh/1000),0,IND_min_gas_kWh/1000)*0.902</f>
        <v>0</v>
      </c>
      <c r="E12" s="34">
        <f>C34*'E Balans VL '!I22/100/3.6*1000000</f>
        <v>13.818242427741632</v>
      </c>
      <c r="F12" s="34">
        <f>C34*'E Balans VL '!L22/100/3.6*1000000+C34*'E Balans VL '!N22/100/3.6*1000000</f>
        <v>150.82001818570217</v>
      </c>
      <c r="G12" s="35"/>
      <c r="H12" s="34"/>
      <c r="I12" s="34"/>
      <c r="J12" s="41">
        <f>C34*'E Balans VL '!D22/100/3.6*1000000+C34*'E Balans VL '!E22/100/3.6*1000000</f>
        <v>3.599686160064651</v>
      </c>
      <c r="K12" s="34"/>
      <c r="L12" s="34"/>
      <c r="M12" s="34"/>
      <c r="N12" s="34">
        <f>C34*'E Balans VL '!Y22/100/3.6*1000000</f>
        <v>0</v>
      </c>
      <c r="O12" s="34"/>
      <c r="P12" s="34"/>
      <c r="R12" s="33"/>
    </row>
    <row r="13" spans="1:18">
      <c r="A13" s="6" t="s">
        <v>39</v>
      </c>
      <c r="B13" s="38">
        <f t="shared" si="0"/>
        <v>30772.425735199897</v>
      </c>
      <c r="C13" s="34"/>
      <c r="D13" s="38">
        <f>IF( ISERROR(IND_papier_gas_kWh/1000),0,IND_papier_gas_kWh/1000)*0.902</f>
        <v>27732.669918119798</v>
      </c>
      <c r="E13" s="34">
        <f>C35*'E Balans VL '!I23/100/3.6*1000000</f>
        <v>1048.1534376736151</v>
      </c>
      <c r="F13" s="34">
        <f>C35*'E Balans VL '!L23/100/3.6*1000000+C35*'E Balans VL '!N23/100/3.6*1000000</f>
        <v>5082.882518169069</v>
      </c>
      <c r="G13" s="35"/>
      <c r="H13" s="34"/>
      <c r="I13" s="34"/>
      <c r="J13" s="41">
        <f>C35*'E Balans VL '!D23/100/3.6*1000000+C35*'E Balans VL '!E23/100/3.6*1000000</f>
        <v>0</v>
      </c>
      <c r="K13" s="34"/>
      <c r="L13" s="34"/>
      <c r="M13" s="34"/>
      <c r="N13" s="34">
        <f>C35*'E Balans VL '!Y23/100/3.6*1000000</f>
        <v>11323.427418068959</v>
      </c>
      <c r="O13" s="34"/>
      <c r="P13" s="34"/>
      <c r="R13" s="33"/>
    </row>
    <row r="14" spans="1:18">
      <c r="A14" s="6" t="s">
        <v>34</v>
      </c>
      <c r="B14" s="38">
        <f t="shared" si="0"/>
        <v>4837.6206544730894</v>
      </c>
      <c r="C14" s="34"/>
      <c r="D14" s="38">
        <f>IF( ISERROR(IND_chemie_gas_kWh/1000),0,IND_chemie_gas_kWh/1000)*0.902</f>
        <v>8984.3762723202035</v>
      </c>
      <c r="E14" s="34">
        <f>C36*'E Balans VL '!I24/100/3.6*1000000</f>
        <v>36.574998856705108</v>
      </c>
      <c r="F14" s="34">
        <f>C36*'E Balans VL '!L24/100/3.6*1000000+C36*'E Balans VL '!N24/100/3.6*1000000</f>
        <v>89.50935722786285</v>
      </c>
      <c r="G14" s="35"/>
      <c r="H14" s="34"/>
      <c r="I14" s="34"/>
      <c r="J14" s="41">
        <f>C36*'E Balans VL '!D24/100/3.6*1000000+C36*'E Balans VL '!E24/100/3.6*1000000</f>
        <v>0</v>
      </c>
      <c r="K14" s="34"/>
      <c r="L14" s="34"/>
      <c r="M14" s="34"/>
      <c r="N14" s="34">
        <f>C36*'E Balans VL '!Y24/100/3.6*1000000</f>
        <v>1.4027852462411505</v>
      </c>
      <c r="O14" s="34"/>
      <c r="P14" s="34"/>
      <c r="R14" s="33"/>
    </row>
    <row r="15" spans="1:18">
      <c r="A15" s="6" t="s">
        <v>270</v>
      </c>
      <c r="B15" s="38">
        <f t="shared" si="0"/>
        <v>125144.70855605701</v>
      </c>
      <c r="C15" s="34"/>
      <c r="D15" s="38">
        <f>IF( ISERROR(IND_rest_gas_kWh/1000),0,IND_rest_gas_kWh/1000)*0.902</f>
        <v>87422.75433209131</v>
      </c>
      <c r="E15" s="34">
        <f>C37*'E Balans VL '!I15/100/3.6*1000000</f>
        <v>1124.5116745820649</v>
      </c>
      <c r="F15" s="34">
        <f>C37*'E Balans VL '!L15/100/3.6*1000000+C37*'E Balans VL '!N15/100/3.6*1000000</f>
        <v>24643.554882002893</v>
      </c>
      <c r="G15" s="35"/>
      <c r="H15" s="34"/>
      <c r="I15" s="34"/>
      <c r="J15" s="41">
        <f>C37*'E Balans VL '!D15/100/3.6*1000000+C37*'E Balans VL '!E15/100/3.6*1000000</f>
        <v>629.32400649210092</v>
      </c>
      <c r="K15" s="34"/>
      <c r="L15" s="34"/>
      <c r="M15" s="34"/>
      <c r="N15" s="34">
        <f>C37*'E Balans VL '!Y15/100/3.6*1000000</f>
        <v>3841.6128637231004</v>
      </c>
      <c r="O15" s="34"/>
      <c r="P15" s="34"/>
      <c r="R15" s="33"/>
    </row>
    <row r="16" spans="1:18">
      <c r="A16" s="17" t="s">
        <v>502</v>
      </c>
      <c r="B16" s="250">
        <f>'lokale energieproductie'!N90+'lokale energieproductie'!N59</f>
        <v>6187.5</v>
      </c>
      <c r="C16" s="250">
        <f>'lokale energieproductie'!O90+'lokale energieproductie'!O59</f>
        <v>8839.2857142857138</v>
      </c>
      <c r="D16" s="312">
        <f>('lokale energieproductie'!P59+'lokale energieproductie'!P90)*(-1)</f>
        <v>-17678.571428571431</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197832.26526424248</v>
      </c>
      <c r="C18" s="22">
        <f>C5+C16</f>
        <v>8839.2857142857138</v>
      </c>
      <c r="D18" s="22">
        <f>MAX((D5+D16),0)</f>
        <v>146035.17308623641</v>
      </c>
      <c r="E18" s="22">
        <f>MAX((E5+E16),0)</f>
        <v>2481.8355146552335</v>
      </c>
      <c r="F18" s="22">
        <f>MAX((F5+F16),0)</f>
        <v>39937.013293315365</v>
      </c>
      <c r="G18" s="22"/>
      <c r="H18" s="22"/>
      <c r="I18" s="22"/>
      <c r="J18" s="22">
        <f>MAX((J5+J16),0)</f>
        <v>643.85319099048695</v>
      </c>
      <c r="K18" s="22"/>
      <c r="L18" s="22">
        <f>MAX((L5+L16),0)</f>
        <v>0</v>
      </c>
      <c r="M18" s="22"/>
      <c r="N18" s="22">
        <f>MAX((N5+N16),0)</f>
        <v>16195.582979203358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0.2132122979177643</v>
      </c>
      <c r="C20" s="26">
        <f ca="1">'EF ele_warmte'!B22</f>
        <v>0.23746509465657206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42180.271879265842</v>
      </c>
      <c r="C22" s="24">
        <f ca="1">C18*C20</f>
        <v>2099.0218188393424</v>
      </c>
      <c r="D22" s="24">
        <f>D18*D20</f>
        <v>29499.104963419755</v>
      </c>
      <c r="E22" s="24">
        <f>E18*E20</f>
        <v>563.37666182673797</v>
      </c>
      <c r="F22" s="24">
        <f>F18*F20</f>
        <v>10663.182549315203</v>
      </c>
      <c r="G22" s="24"/>
      <c r="H22" s="24"/>
      <c r="I22" s="24"/>
      <c r="J22" s="24">
        <f>J18*J20</f>
        <v>227.92402961063237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606.13811461545197</v>
      </c>
      <c r="C30" s="40">
        <f>IF(ISERROR(B30*3.6/1000000/'E Balans VL '!Z18*100),0,B30*3.6/1000000/'E Balans VL '!Z18*100)</f>
        <v>3.3727532867552958E-2</v>
      </c>
      <c r="D30" s="240" t="s">
        <v>707</v>
      </c>
    </row>
    <row r="31" spans="1:18">
      <c r="A31" s="6" t="s">
        <v>33</v>
      </c>
      <c r="B31" s="38">
        <f>IF( ISERROR(IND_ander_ele_kWh/1000),0,IND_ander_ele_kWh/1000)</f>
        <v>9625.988894825221</v>
      </c>
      <c r="C31" s="40">
        <f>IF(ISERROR(B31*3.6/1000000/'E Balans VL '!Z19*100),0,B31*3.6/1000000/'E Balans VL '!Z19*100)</f>
        <v>0.44748694295964231</v>
      </c>
      <c r="D31" s="240" t="s">
        <v>707</v>
      </c>
    </row>
    <row r="32" spans="1:18">
      <c r="A32" s="174" t="s">
        <v>41</v>
      </c>
      <c r="B32" s="38">
        <f>IF( ISERROR(IND_voed_ele_kWh/1000),0,IND_voed_ele_kWh/1000)</f>
        <v>20094.542022873902</v>
      </c>
      <c r="C32" s="40">
        <f>IF(ISERROR(B32*3.6/1000000/'E Balans VL '!Z20*100),0,B32*3.6/1000000/'E Balans VL '!Z20*100)</f>
        <v>0.71030147786228437</v>
      </c>
      <c r="D32" s="240" t="s">
        <v>707</v>
      </c>
    </row>
    <row r="33" spans="1:5">
      <c r="A33" s="174" t="s">
        <v>40</v>
      </c>
      <c r="B33" s="38">
        <f>IF( ISERROR(IND_textiel_ele_kWh/1000),0,IND_textiel_ele_kWh/1000)</f>
        <v>18.2812271821265</v>
      </c>
      <c r="C33" s="40">
        <f>IF(ISERROR(B33*3.6/1000000/'E Balans VL '!Z21*100),0,B33*3.6/1000000/'E Balans VL '!Z21*100)</f>
        <v>2.4691571291287893E-3</v>
      </c>
      <c r="D33" s="240" t="s">
        <v>707</v>
      </c>
    </row>
    <row r="34" spans="1:5">
      <c r="A34" s="174" t="s">
        <v>37</v>
      </c>
      <c r="B34" s="38">
        <f>IF( ISERROR(IND_min_ele_kWh/1000),0,IND_min_ele_kWh/1000)</f>
        <v>545.06005901575804</v>
      </c>
      <c r="C34" s="40">
        <f>IF(ISERROR(B34*3.6/1000000/'E Balans VL '!Z22*100),0,B34*3.6/1000000/'E Balans VL '!Z22*100)</f>
        <v>0.10954170168777065</v>
      </c>
      <c r="D34" s="240" t="s">
        <v>707</v>
      </c>
    </row>
    <row r="35" spans="1:5">
      <c r="A35" s="174" t="s">
        <v>39</v>
      </c>
      <c r="B35" s="38">
        <f>IF( ISERROR(IND_papier_ele_kWh/1000),0,IND_papier_ele_kWh/1000)</f>
        <v>30772.425735199897</v>
      </c>
      <c r="C35" s="40">
        <f>IF(ISERROR(B35*3.6/1000000/'E Balans VL '!Z22*100),0,B35*3.6/1000000/'E Balans VL '!Z22*100)</f>
        <v>6.1843898196857037</v>
      </c>
      <c r="D35" s="240" t="s">
        <v>707</v>
      </c>
    </row>
    <row r="36" spans="1:5">
      <c r="A36" s="174" t="s">
        <v>34</v>
      </c>
      <c r="B36" s="38">
        <f>IF( ISERROR(IND_chemie_ele_kWh/1000),0,IND_chemie_ele_kWh/1000)</f>
        <v>4837.6206544730894</v>
      </c>
      <c r="C36" s="40">
        <f>IF(ISERROR(B36*3.6/1000000/'E Balans VL '!Z24*100),0,B36*3.6/1000000/'E Balans VL '!Z24*100)</f>
        <v>0.11912749146080147</v>
      </c>
      <c r="D36" s="240" t="s">
        <v>707</v>
      </c>
    </row>
    <row r="37" spans="1:5">
      <c r="A37" s="174" t="s">
        <v>270</v>
      </c>
      <c r="B37" s="38">
        <f>IF( ISERROR(IND_rest_ele_kWh/1000),0,IND_rest_ele_kWh/1000)</f>
        <v>125144.70855605701</v>
      </c>
      <c r="C37" s="40">
        <f>IF(ISERROR(B37*3.6/1000000/'E Balans VL '!Z15*100),0,B37*3.6/1000000/'E Balans VL '!Z15*100)</f>
        <v>0.94502741628737819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1621.1987164093582</v>
      </c>
      <c r="C5" s="18">
        <f>'Eigen informatie GS &amp; warmtenet'!B60</f>
        <v>0</v>
      </c>
      <c r="D5" s="31">
        <f>IF(ISERROR(SUM(LB_lb_gas_kWh,LB_rest_gas_kWh)/1000),0,SUM(LB_lb_gas_kWh,LB_rest_gas_kWh)/1000)*0.902</f>
        <v>3260.4621287740119</v>
      </c>
      <c r="E5" s="18">
        <f>B17*'E Balans VL '!I25/3.6*1000000/100</f>
        <v>15.272778147348145</v>
      </c>
      <c r="F5" s="18">
        <f>B17*('E Balans VL '!L25/3.6*1000000+'E Balans VL '!N25/3.6*1000000)/100</f>
        <v>5290.5094402462846</v>
      </c>
      <c r="G5" s="19"/>
      <c r="H5" s="18"/>
      <c r="I5" s="18"/>
      <c r="J5" s="18">
        <f>('E Balans VL '!D25+'E Balans VL '!E25)/3.6*1000000*landbouw!B17/100</f>
        <v>200.55016672887947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1621.1987164093582</v>
      </c>
      <c r="C8" s="22">
        <f>C5+C6</f>
        <v>0</v>
      </c>
      <c r="D8" s="22">
        <f>MAX((D5+D6),0)</f>
        <v>3260.4621287740119</v>
      </c>
      <c r="E8" s="22">
        <f>MAX((E5+E6),0)</f>
        <v>15.272778147348145</v>
      </c>
      <c r="F8" s="22">
        <f>MAX((F5+F6),0)</f>
        <v>5290.5094402462846</v>
      </c>
      <c r="G8" s="22"/>
      <c r="H8" s="22"/>
      <c r="I8" s="22"/>
      <c r="J8" s="22">
        <f>MAX((J5+J6),0)</f>
        <v>200.55016672887947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0.2132122979177643</v>
      </c>
      <c r="C10" s="32">
        <f ca="1">'EF ele_warmte'!B22</f>
        <v>0.23746509465657206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345.65950370696919</v>
      </c>
      <c r="C12" s="24">
        <f ca="1">C8*C10</f>
        <v>0</v>
      </c>
      <c r="D12" s="24">
        <f>D8*D10</f>
        <v>658.61335001235045</v>
      </c>
      <c r="E12" s="24">
        <f>E8*E10</f>
        <v>3.4669206394480292</v>
      </c>
      <c r="F12" s="24">
        <f>F8*F10</f>
        <v>1412.566020545758</v>
      </c>
      <c r="G12" s="24"/>
      <c r="H12" s="24"/>
      <c r="I12" s="24"/>
      <c r="J12" s="24">
        <f>J8*J10</f>
        <v>70.994759022023331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0.21948440027447286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240.63681801916687</v>
      </c>
      <c r="C26" s="250">
        <f>B26*'GWP N2O_CH4'!B5</f>
        <v>5053.373178402504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90.652346373075133</v>
      </c>
      <c r="C27" s="250">
        <f>B27*'GWP N2O_CH4'!B5</f>
        <v>1903.6992738345778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5.9321759083256032</v>
      </c>
      <c r="C28" s="250">
        <f>B28*'GWP N2O_CH4'!B4</f>
        <v>1838.9745315809371</v>
      </c>
      <c r="D28" s="51"/>
    </row>
    <row r="29" spans="1:4">
      <c r="A29" s="42" t="s">
        <v>277</v>
      </c>
      <c r="B29" s="250">
        <f>B34*'ha_N2O bodem landbouw'!B4</f>
        <v>12.354417273274647</v>
      </c>
      <c r="C29" s="250">
        <f>B29*'GWP N2O_CH4'!B4</f>
        <v>3829.8693547151406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3.3353037434317597E-3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1.8440460538152532E-5</v>
      </c>
      <c r="C5" s="447" t="s">
        <v>211</v>
      </c>
      <c r="D5" s="432">
        <f>SUM(D6:D11)</f>
        <v>4.9817783664870966E-5</v>
      </c>
      <c r="E5" s="432">
        <f>SUM(E6:E11)</f>
        <v>3.0719556307968552E-3</v>
      </c>
      <c r="F5" s="445" t="s">
        <v>211</v>
      </c>
      <c r="G5" s="432">
        <f>SUM(G6:G11)</f>
        <v>0.6981716963405693</v>
      </c>
      <c r="H5" s="432">
        <f>SUM(H6:H11)</f>
        <v>0.11246465881494019</v>
      </c>
      <c r="I5" s="447" t="s">
        <v>211</v>
      </c>
      <c r="J5" s="447" t="s">
        <v>211</v>
      </c>
      <c r="K5" s="447" t="s">
        <v>211</v>
      </c>
      <c r="L5" s="447" t="s">
        <v>211</v>
      </c>
      <c r="M5" s="432">
        <f>SUM(M6:M11)</f>
        <v>3.6234367716493125E-2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1.1712228496322372E-5</v>
      </c>
      <c r="C6" s="433"/>
      <c r="D6" s="433">
        <f>vkm_2011_GW_PW*SUMIFS(TableVerdeelsleutelVkm[CNG],TableVerdeelsleutelVkm[Voertuigtype],"Lichte voertuigen")*SUMIFS(TableECFTransport[EnergieConsumptieFactor (PJ per km)],TableECFTransport[Index],CONCATENATE($A6,"_CNG_CNG"))</f>
        <v>2.8601458133956603E-5</v>
      </c>
      <c r="E6" s="435">
        <f>vkm_2011_GW_PW*SUMIFS(TableVerdeelsleutelVkm[LPG],TableVerdeelsleutelVkm[Voertuigtype],"Lichte voertuigen")*SUMIFS(TableECFTransport[EnergieConsumptieFactor (PJ per km)],TableECFTransport[Index],CONCATENATE($A6,"_LPG_LPG"))</f>
        <v>1.6953466298202811E-3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0.24508229851057023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6.4229029355612977E-2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1.3851530893595757E-2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0.13291626561256736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5.3626531205040727E-5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5.921378509035246E-3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2.2717113110449387E-6</v>
      </c>
      <c r="C8" s="433"/>
      <c r="D8" s="435">
        <f>vkm_2011_NGW_PW*SUMIFS(TableVerdeelsleutelVkm[CNG],TableVerdeelsleutelVkm[Voertuigtype],"Lichte voertuigen")*SUMIFS(TableECFTransport[EnergieConsumptieFactor (PJ per km)],TableECFTransport[Index],CONCATENATE($A8,"_CNG_CNG"))</f>
        <v>9.9532599127145006E-6</v>
      </c>
      <c r="E8" s="435">
        <f>vkm_2011_NGW_PW*SUMIFS(TableVerdeelsleutelVkm[LPG],TableVerdeelsleutelVkm[Voertuigtype],"Lichte voertuigen")*SUMIFS(TableECFTransport[EnergieConsumptieFactor (PJ per km)],TableECFTransport[Index],CONCATENATE($A8,"_LPG_LPG"))</f>
        <v>5.4124547799502397E-4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7.3915363780554286E-2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2.1403824394459044E-2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4.2705125780568755E-3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6.1934796853442275E-3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2.1757181812246331E-6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2.7590282532653315E-4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4.4565207307852199E-6</v>
      </c>
      <c r="C10" s="433"/>
      <c r="D10" s="435">
        <f>vkm_2011_SW_PW*SUMIFS(TableVerdeelsleutelVkm[CNG],TableVerdeelsleutelVkm[Voertuigtype],"Lichte voertuigen")*SUMIFS(TableECFTransport[EnergieConsumptieFactor (PJ per km)],TableECFTransport[Index],CONCATENATE($A10,"_CNG_CNG"))</f>
        <v>1.1263065618199864E-5</v>
      </c>
      <c r="E10" s="435">
        <f>vkm_2011_SW_PW*SUMIFS(TableVerdeelsleutelVkm[LPG],TableVerdeelsleutelVkm[Voertuigtype],"Lichte voertuigen")*SUMIFS(TableECFTransport[EnergieConsumptieFactor (PJ per km)],TableECFTransport[Index],CONCATENATE($A10,"_LPG_LPG"))</f>
        <v>8.353635229815502E-4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0.11005447193673669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2.6720351932076031E-2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6.1229995718824638E-3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0.13000981681479651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5.5650883405870094E-5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5.792043338596245E-3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5.1223501494868149</v>
      </c>
      <c r="C14" s="22"/>
      <c r="D14" s="22">
        <f t="shared" ref="D14:M14" si="0">((D5)*10^9/3600)+D12</f>
        <v>13.838273240241934</v>
      </c>
      <c r="E14" s="22">
        <f t="shared" si="0"/>
        <v>853.32100855468207</v>
      </c>
      <c r="F14" s="22"/>
      <c r="G14" s="22">
        <f t="shared" si="0"/>
        <v>193936.58231682479</v>
      </c>
      <c r="H14" s="22">
        <f t="shared" si="0"/>
        <v>31240.183004150054</v>
      </c>
      <c r="I14" s="22"/>
      <c r="J14" s="22"/>
      <c r="K14" s="22"/>
      <c r="L14" s="22"/>
      <c r="M14" s="22">
        <f t="shared" si="0"/>
        <v>10065.102143470313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0.2132122979177643</v>
      </c>
      <c r="C16" s="57">
        <f ca="1">'EF ele_warmte'!B22</f>
        <v>0.23746509465657206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1.0921480461114872</v>
      </c>
      <c r="C18" s="24"/>
      <c r="D18" s="24">
        <f t="shared" ref="D18:M18" si="1">D14*D16</f>
        <v>2.7953311945288708</v>
      </c>
      <c r="E18" s="24">
        <f t="shared" si="1"/>
        <v>193.70386894191284</v>
      </c>
      <c r="F18" s="24"/>
      <c r="G18" s="24">
        <f t="shared" si="1"/>
        <v>51781.067478592224</v>
      </c>
      <c r="H18" s="24">
        <f t="shared" si="1"/>
        <v>7778.8055680333637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1.9820015483218361E-2</v>
      </c>
      <c r="H50" s="323">
        <f t="shared" si="2"/>
        <v>0</v>
      </c>
      <c r="I50" s="323">
        <f t="shared" si="2"/>
        <v>0</v>
      </c>
      <c r="J50" s="323">
        <f t="shared" si="2"/>
        <v>0</v>
      </c>
      <c r="K50" s="323">
        <f t="shared" si="2"/>
        <v>0</v>
      </c>
      <c r="L50" s="323">
        <f t="shared" si="2"/>
        <v>0</v>
      </c>
      <c r="M50" s="323">
        <f t="shared" si="2"/>
        <v>8.7032957502877577E-4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1.9820015483218361E-2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8.7032957502877577E-4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5505.5598564495449</v>
      </c>
      <c r="H54" s="22">
        <f t="shared" si="3"/>
        <v>0</v>
      </c>
      <c r="I54" s="22">
        <f t="shared" si="3"/>
        <v>0</v>
      </c>
      <c r="J54" s="22">
        <f t="shared" si="3"/>
        <v>0</v>
      </c>
      <c r="K54" s="22">
        <f t="shared" si="3"/>
        <v>0</v>
      </c>
      <c r="L54" s="22">
        <f t="shared" si="3"/>
        <v>0</v>
      </c>
      <c r="M54" s="22">
        <f t="shared" si="3"/>
        <v>241.75821528577103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0.2132122979177643</v>
      </c>
      <c r="C56" s="57">
        <f ca="1">'EF ele_warmte'!B22</f>
        <v>0.23746509465657206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1469.9844816720286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94170.413701138314</v>
      </c>
      <c r="D10" s="688">
        <f ca="1">tertiair!C16</f>
        <v>175</v>
      </c>
      <c r="E10" s="688">
        <f ca="1">tertiair!D16</f>
        <v>120805.64289187662</v>
      </c>
      <c r="F10" s="688">
        <f>tertiair!E16</f>
        <v>744.07401762172276</v>
      </c>
      <c r="G10" s="688">
        <f ca="1">tertiair!F16</f>
        <v>19788.038044884575</v>
      </c>
      <c r="H10" s="688">
        <f>tertiair!G16</f>
        <v>0</v>
      </c>
      <c r="I10" s="688">
        <f>tertiair!H16</f>
        <v>0</v>
      </c>
      <c r="J10" s="688">
        <f>tertiair!I16</f>
        <v>0</v>
      </c>
      <c r="K10" s="688">
        <f>tertiair!J16</f>
        <v>0</v>
      </c>
      <c r="L10" s="688">
        <f>tertiair!K16</f>
        <v>0</v>
      </c>
      <c r="M10" s="688">
        <f ca="1">tertiair!L16</f>
        <v>0</v>
      </c>
      <c r="N10" s="688">
        <f>tertiair!M16</f>
        <v>0</v>
      </c>
      <c r="O10" s="688">
        <f ca="1">tertiair!N16</f>
        <v>63.067418497015751</v>
      </c>
      <c r="P10" s="688">
        <f>tertiair!O16</f>
        <v>0</v>
      </c>
      <c r="Q10" s="689">
        <f>tertiair!P16</f>
        <v>0</v>
      </c>
      <c r="R10" s="691">
        <f ca="1">SUM(C10:Q10)</f>
        <v>235746.23607401823</v>
      </c>
      <c r="S10" s="68"/>
    </row>
    <row r="11" spans="1:19" s="457" customFormat="1">
      <c r="A11" s="803" t="s">
        <v>225</v>
      </c>
      <c r="B11" s="808"/>
      <c r="C11" s="688">
        <f>huishoudens!B8</f>
        <v>61125.500512704821</v>
      </c>
      <c r="D11" s="688">
        <f>huishoudens!C8</f>
        <v>0</v>
      </c>
      <c r="E11" s="688">
        <f>huishoudens!D8</f>
        <v>251518.50774498828</v>
      </c>
      <c r="F11" s="688">
        <f>huishoudens!E8</f>
        <v>4464.6549614111682</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29458.603562280819</v>
      </c>
      <c r="P11" s="688">
        <f>huishoudens!O8</f>
        <v>181.34666666666669</v>
      </c>
      <c r="Q11" s="689">
        <f>huishoudens!P8</f>
        <v>324.13333333333333</v>
      </c>
      <c r="R11" s="691">
        <f>SUM(C11:Q11)</f>
        <v>347072.7467813851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197832.26526424248</v>
      </c>
      <c r="D13" s="688">
        <f>industrie!C18</f>
        <v>8839.2857142857138</v>
      </c>
      <c r="E13" s="688">
        <f>industrie!D18</f>
        <v>146035.17308623641</v>
      </c>
      <c r="F13" s="688">
        <f>industrie!E18</f>
        <v>2481.8355146552335</v>
      </c>
      <c r="G13" s="688">
        <f>industrie!F18</f>
        <v>39937.013293315365</v>
      </c>
      <c r="H13" s="688">
        <f>industrie!G18</f>
        <v>0</v>
      </c>
      <c r="I13" s="688">
        <f>industrie!H18</f>
        <v>0</v>
      </c>
      <c r="J13" s="688">
        <f>industrie!I18</f>
        <v>0</v>
      </c>
      <c r="K13" s="688">
        <f>industrie!J18</f>
        <v>643.85319099048695</v>
      </c>
      <c r="L13" s="688">
        <f>industrie!K18</f>
        <v>0</v>
      </c>
      <c r="M13" s="688">
        <f>industrie!L18</f>
        <v>0</v>
      </c>
      <c r="N13" s="688">
        <f>industrie!M18</f>
        <v>0</v>
      </c>
      <c r="O13" s="688">
        <f>industrie!N18</f>
        <v>16195.582979203358</v>
      </c>
      <c r="P13" s="688">
        <f>industrie!O18</f>
        <v>0</v>
      </c>
      <c r="Q13" s="689">
        <f>industrie!P18</f>
        <v>0</v>
      </c>
      <c r="R13" s="691">
        <f>SUM(C13:Q13)</f>
        <v>411965.00904292904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353128.1794780856</v>
      </c>
      <c r="D16" s="721">
        <f t="shared" ref="D16:R16" ca="1" si="0">SUM(D9:D15)</f>
        <v>9014.2857142857138</v>
      </c>
      <c r="E16" s="721">
        <f t="shared" ca="1" si="0"/>
        <v>518359.32372310129</v>
      </c>
      <c r="F16" s="721">
        <f t="shared" si="0"/>
        <v>7690.5644936881235</v>
      </c>
      <c r="G16" s="721">
        <f t="shared" ca="1" si="0"/>
        <v>59725.051338199941</v>
      </c>
      <c r="H16" s="721">
        <f t="shared" si="0"/>
        <v>0</v>
      </c>
      <c r="I16" s="721">
        <f t="shared" si="0"/>
        <v>0</v>
      </c>
      <c r="J16" s="721">
        <f t="shared" si="0"/>
        <v>0</v>
      </c>
      <c r="K16" s="721">
        <f t="shared" si="0"/>
        <v>643.85319099048695</v>
      </c>
      <c r="L16" s="721">
        <f t="shared" si="0"/>
        <v>0</v>
      </c>
      <c r="M16" s="721">
        <f t="shared" ca="1" si="0"/>
        <v>0</v>
      </c>
      <c r="N16" s="721">
        <f t="shared" si="0"/>
        <v>0</v>
      </c>
      <c r="O16" s="721">
        <f t="shared" ca="1" si="0"/>
        <v>45717.253959981193</v>
      </c>
      <c r="P16" s="721">
        <f t="shared" si="0"/>
        <v>181.34666666666669</v>
      </c>
      <c r="Q16" s="721">
        <f t="shared" si="0"/>
        <v>324.13333333333333</v>
      </c>
      <c r="R16" s="721">
        <f t="shared" ca="1" si="0"/>
        <v>994783.99189833237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5505.5598564495449</v>
      </c>
      <c r="I19" s="688">
        <f>transport!H54</f>
        <v>0</v>
      </c>
      <c r="J19" s="688">
        <f>transport!I54</f>
        <v>0</v>
      </c>
      <c r="K19" s="688">
        <f>transport!J54</f>
        <v>0</v>
      </c>
      <c r="L19" s="688">
        <f>transport!K54</f>
        <v>0</v>
      </c>
      <c r="M19" s="688">
        <f>transport!L54</f>
        <v>0</v>
      </c>
      <c r="N19" s="688">
        <f>transport!M54</f>
        <v>241.75821528577103</v>
      </c>
      <c r="O19" s="688">
        <f>transport!N54</f>
        <v>0</v>
      </c>
      <c r="P19" s="688">
        <f>transport!O54</f>
        <v>0</v>
      </c>
      <c r="Q19" s="689">
        <f>transport!P54</f>
        <v>0</v>
      </c>
      <c r="R19" s="691">
        <f>SUM(C19:Q19)</f>
        <v>5747.3180717353162</v>
      </c>
      <c r="S19" s="68"/>
    </row>
    <row r="20" spans="1:19" s="457" customFormat="1">
      <c r="A20" s="803" t="s">
        <v>307</v>
      </c>
      <c r="B20" s="808"/>
      <c r="C20" s="688">
        <f>transport!B14</f>
        <v>5.1223501494868149</v>
      </c>
      <c r="D20" s="688">
        <f>transport!C14</f>
        <v>0</v>
      </c>
      <c r="E20" s="688">
        <f>transport!D14</f>
        <v>13.838273240241934</v>
      </c>
      <c r="F20" s="688">
        <f>transport!E14</f>
        <v>853.32100855468207</v>
      </c>
      <c r="G20" s="688">
        <f>transport!F14</f>
        <v>0</v>
      </c>
      <c r="H20" s="688">
        <f>transport!G14</f>
        <v>193936.58231682479</v>
      </c>
      <c r="I20" s="688">
        <f>transport!H14</f>
        <v>31240.183004150054</v>
      </c>
      <c r="J20" s="688">
        <f>transport!I14</f>
        <v>0</v>
      </c>
      <c r="K20" s="688">
        <f>transport!J14</f>
        <v>0</v>
      </c>
      <c r="L20" s="688">
        <f>transport!K14</f>
        <v>0</v>
      </c>
      <c r="M20" s="688">
        <f>transport!L14</f>
        <v>0</v>
      </c>
      <c r="N20" s="688">
        <f>transport!M14</f>
        <v>10065.102143470313</v>
      </c>
      <c r="O20" s="688">
        <f>transport!N14</f>
        <v>0</v>
      </c>
      <c r="P20" s="688">
        <f>transport!O14</f>
        <v>0</v>
      </c>
      <c r="Q20" s="689">
        <f>transport!P14</f>
        <v>0</v>
      </c>
      <c r="R20" s="691">
        <f>SUM(C20:Q20)</f>
        <v>236114.14909638956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5.1223501494868149</v>
      </c>
      <c r="D22" s="806">
        <f t="shared" ref="D22:R22" si="1">SUM(D18:D21)</f>
        <v>0</v>
      </c>
      <c r="E22" s="806">
        <f t="shared" si="1"/>
        <v>13.838273240241934</v>
      </c>
      <c r="F22" s="806">
        <f t="shared" si="1"/>
        <v>853.32100855468207</v>
      </c>
      <c r="G22" s="806">
        <f t="shared" si="1"/>
        <v>0</v>
      </c>
      <c r="H22" s="806">
        <f t="shared" si="1"/>
        <v>199442.14217327433</v>
      </c>
      <c r="I22" s="806">
        <f t="shared" si="1"/>
        <v>31240.183004150054</v>
      </c>
      <c r="J22" s="806">
        <f t="shared" si="1"/>
        <v>0</v>
      </c>
      <c r="K22" s="806">
        <f t="shared" si="1"/>
        <v>0</v>
      </c>
      <c r="L22" s="806">
        <f t="shared" si="1"/>
        <v>0</v>
      </c>
      <c r="M22" s="806">
        <f t="shared" si="1"/>
        <v>0</v>
      </c>
      <c r="N22" s="806">
        <f t="shared" si="1"/>
        <v>10306.860358756083</v>
      </c>
      <c r="O22" s="806">
        <f t="shared" si="1"/>
        <v>0</v>
      </c>
      <c r="P22" s="806">
        <f t="shared" si="1"/>
        <v>0</v>
      </c>
      <c r="Q22" s="806">
        <f t="shared" si="1"/>
        <v>0</v>
      </c>
      <c r="R22" s="806">
        <f t="shared" si="1"/>
        <v>241861.46716812489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1621.1987164093582</v>
      </c>
      <c r="D24" s="688">
        <f>+landbouw!C8</f>
        <v>0</v>
      </c>
      <c r="E24" s="688">
        <f>+landbouw!D8</f>
        <v>3260.4621287740119</v>
      </c>
      <c r="F24" s="688">
        <f>+landbouw!E8</f>
        <v>15.272778147348145</v>
      </c>
      <c r="G24" s="688">
        <f>+landbouw!F8</f>
        <v>5290.5094402462846</v>
      </c>
      <c r="H24" s="688">
        <f>+landbouw!G8</f>
        <v>0</v>
      </c>
      <c r="I24" s="688">
        <f>+landbouw!H8</f>
        <v>0</v>
      </c>
      <c r="J24" s="688">
        <f>+landbouw!I8</f>
        <v>0</v>
      </c>
      <c r="K24" s="688">
        <f>+landbouw!J8</f>
        <v>200.55016672887947</v>
      </c>
      <c r="L24" s="688">
        <f>+landbouw!K8</f>
        <v>0</v>
      </c>
      <c r="M24" s="688">
        <f>+landbouw!L8</f>
        <v>0</v>
      </c>
      <c r="N24" s="688">
        <f>+landbouw!M8</f>
        <v>0</v>
      </c>
      <c r="O24" s="688">
        <f>+landbouw!N8</f>
        <v>0</v>
      </c>
      <c r="P24" s="688">
        <f>+landbouw!O8</f>
        <v>0</v>
      </c>
      <c r="Q24" s="689">
        <f>+landbouw!P8</f>
        <v>0</v>
      </c>
      <c r="R24" s="691">
        <f>SUM(C24:Q24)</f>
        <v>10387.993230305881</v>
      </c>
      <c r="S24" s="68"/>
    </row>
    <row r="25" spans="1:19" s="457" customFormat="1" ht="15" thickBot="1">
      <c r="A25" s="825" t="s">
        <v>912</v>
      </c>
      <c r="B25" s="1001"/>
      <c r="C25" s="1002">
        <f>IF(Onbekend_ele_kWh="---",0,Onbekend_ele_kWh)/1000+IF(REST_rest_ele_kWh="---",0,REST_rest_ele_kWh)/1000</f>
        <v>2669.31016809216</v>
      </c>
      <c r="D25" s="1002"/>
      <c r="E25" s="1002">
        <f>IF(onbekend_gas_kWh="---",0,onbekend_gas_kWh)/1000+IF(REST_rest_gas_kWh="---",0,REST_rest_gas_kWh)/1000</f>
        <v>14993.929915626099</v>
      </c>
      <c r="F25" s="1002"/>
      <c r="G25" s="1002"/>
      <c r="H25" s="1002"/>
      <c r="I25" s="1002"/>
      <c r="J25" s="1002"/>
      <c r="K25" s="1002"/>
      <c r="L25" s="1002"/>
      <c r="M25" s="1002"/>
      <c r="N25" s="1002"/>
      <c r="O25" s="1002"/>
      <c r="P25" s="1002"/>
      <c r="Q25" s="1003"/>
      <c r="R25" s="691">
        <f>SUM(C25:Q25)</f>
        <v>17663.240083718258</v>
      </c>
      <c r="S25" s="68"/>
    </row>
    <row r="26" spans="1:19" s="457" customFormat="1" ht="15.75" thickBot="1">
      <c r="A26" s="694" t="s">
        <v>913</v>
      </c>
      <c r="B26" s="811"/>
      <c r="C26" s="806">
        <f>SUM(C24:C25)</f>
        <v>4290.508884501518</v>
      </c>
      <c r="D26" s="806">
        <f t="shared" ref="D26:R26" si="2">SUM(D24:D25)</f>
        <v>0</v>
      </c>
      <c r="E26" s="806">
        <f t="shared" si="2"/>
        <v>18254.392044400112</v>
      </c>
      <c r="F26" s="806">
        <f t="shared" si="2"/>
        <v>15.272778147348145</v>
      </c>
      <c r="G26" s="806">
        <f t="shared" si="2"/>
        <v>5290.5094402462846</v>
      </c>
      <c r="H26" s="806">
        <f t="shared" si="2"/>
        <v>0</v>
      </c>
      <c r="I26" s="806">
        <f t="shared" si="2"/>
        <v>0</v>
      </c>
      <c r="J26" s="806">
        <f t="shared" si="2"/>
        <v>0</v>
      </c>
      <c r="K26" s="806">
        <f t="shared" si="2"/>
        <v>200.55016672887947</v>
      </c>
      <c r="L26" s="806">
        <f t="shared" si="2"/>
        <v>0</v>
      </c>
      <c r="M26" s="806">
        <f t="shared" si="2"/>
        <v>0</v>
      </c>
      <c r="N26" s="806">
        <f t="shared" si="2"/>
        <v>0</v>
      </c>
      <c r="O26" s="806">
        <f t="shared" si="2"/>
        <v>0</v>
      </c>
      <c r="P26" s="806">
        <f t="shared" si="2"/>
        <v>0</v>
      </c>
      <c r="Q26" s="806">
        <f t="shared" si="2"/>
        <v>0</v>
      </c>
      <c r="R26" s="806">
        <f t="shared" si="2"/>
        <v>28051.233314024139</v>
      </c>
      <c r="S26" s="68"/>
    </row>
    <row r="27" spans="1:19" s="457" customFormat="1" ht="17.25" thickTop="1" thickBot="1">
      <c r="A27" s="695" t="s">
        <v>116</v>
      </c>
      <c r="B27" s="798"/>
      <c r="C27" s="696">
        <f ca="1">C22+C16+C26</f>
        <v>357423.81071273662</v>
      </c>
      <c r="D27" s="696">
        <f t="shared" ref="D27:R27" ca="1" si="3">D22+D16+D26</f>
        <v>9014.2857142857138</v>
      </c>
      <c r="E27" s="696">
        <f t="shared" ca="1" si="3"/>
        <v>536627.55404074164</v>
      </c>
      <c r="F27" s="696">
        <f t="shared" si="3"/>
        <v>8559.1582803901529</v>
      </c>
      <c r="G27" s="696">
        <f t="shared" ca="1" si="3"/>
        <v>65015.560778446226</v>
      </c>
      <c r="H27" s="696">
        <f t="shared" si="3"/>
        <v>199442.14217327433</v>
      </c>
      <c r="I27" s="696">
        <f t="shared" si="3"/>
        <v>31240.183004150054</v>
      </c>
      <c r="J27" s="696">
        <f t="shared" si="3"/>
        <v>0</v>
      </c>
      <c r="K27" s="696">
        <f t="shared" si="3"/>
        <v>844.40335771936645</v>
      </c>
      <c r="L27" s="696">
        <f t="shared" si="3"/>
        <v>0</v>
      </c>
      <c r="M27" s="696">
        <f t="shared" ca="1" si="3"/>
        <v>0</v>
      </c>
      <c r="N27" s="696">
        <f t="shared" si="3"/>
        <v>10306.860358756083</v>
      </c>
      <c r="O27" s="696">
        <f t="shared" ca="1" si="3"/>
        <v>45717.253959981193</v>
      </c>
      <c r="P27" s="696">
        <f t="shared" si="3"/>
        <v>181.34666666666669</v>
      </c>
      <c r="Q27" s="696">
        <f t="shared" si="3"/>
        <v>324.13333333333333</v>
      </c>
      <c r="R27" s="696">
        <f t="shared" ca="1" si="3"/>
        <v>1264696.6923804814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20078.290301086217</v>
      </c>
      <c r="D40" s="688">
        <f ca="1">tertiair!C20</f>
        <v>41.55639156490011</v>
      </c>
      <c r="E40" s="688">
        <f ca="1">tertiair!D20</f>
        <v>24402.739864159077</v>
      </c>
      <c r="F40" s="688">
        <f>tertiair!E20</f>
        <v>168.90480200013107</v>
      </c>
      <c r="G40" s="688">
        <f ca="1">tertiair!F20</f>
        <v>5283.4061579841818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49974.897516794503</v>
      </c>
    </row>
    <row r="41" spans="1:18">
      <c r="A41" s="816" t="s">
        <v>225</v>
      </c>
      <c r="B41" s="823"/>
      <c r="C41" s="688">
        <f ca="1">huishoudens!B12</f>
        <v>13032.708425687275</v>
      </c>
      <c r="D41" s="688">
        <f ca="1">huishoudens!C12</f>
        <v>0</v>
      </c>
      <c r="E41" s="688">
        <f>huishoudens!D12</f>
        <v>50806.738564487634</v>
      </c>
      <c r="F41" s="688">
        <f>huishoudens!E12</f>
        <v>1013.4766762403352</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64852.923666415249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42180.271879265842</v>
      </c>
      <c r="D43" s="688">
        <f ca="1">industrie!C22</f>
        <v>2099.0218188393424</v>
      </c>
      <c r="E43" s="688">
        <f>industrie!D22</f>
        <v>29499.104963419755</v>
      </c>
      <c r="F43" s="688">
        <f>industrie!E22</f>
        <v>563.37666182673797</v>
      </c>
      <c r="G43" s="688">
        <f>industrie!F22</f>
        <v>10663.182549315203</v>
      </c>
      <c r="H43" s="688">
        <f>industrie!G22</f>
        <v>0</v>
      </c>
      <c r="I43" s="688">
        <f>industrie!H22</f>
        <v>0</v>
      </c>
      <c r="J43" s="688">
        <f>industrie!I22</f>
        <v>0</v>
      </c>
      <c r="K43" s="688">
        <f>industrie!J22</f>
        <v>227.92402961063237</v>
      </c>
      <c r="L43" s="688">
        <f>industrie!K22</f>
        <v>0</v>
      </c>
      <c r="M43" s="688">
        <f>industrie!L22</f>
        <v>0</v>
      </c>
      <c r="N43" s="688">
        <f>industrie!M22</f>
        <v>0</v>
      </c>
      <c r="O43" s="688">
        <f>industrie!N22</f>
        <v>0</v>
      </c>
      <c r="P43" s="688">
        <f>industrie!O22</f>
        <v>0</v>
      </c>
      <c r="Q43" s="763">
        <f>industrie!P22</f>
        <v>0</v>
      </c>
      <c r="R43" s="843">
        <f t="shared" ca="1" si="4"/>
        <v>85232.881902277499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75291.270606039325</v>
      </c>
      <c r="D46" s="721">
        <f t="shared" ref="D46:Q46" ca="1" si="5">SUM(D39:D45)</f>
        <v>2140.5782104042423</v>
      </c>
      <c r="E46" s="721">
        <f t="shared" ca="1" si="5"/>
        <v>104708.58339206647</v>
      </c>
      <c r="F46" s="721">
        <f t="shared" si="5"/>
        <v>1745.7581400672043</v>
      </c>
      <c r="G46" s="721">
        <f t="shared" ca="1" si="5"/>
        <v>15946.588707299385</v>
      </c>
      <c r="H46" s="721">
        <f t="shared" si="5"/>
        <v>0</v>
      </c>
      <c r="I46" s="721">
        <f t="shared" si="5"/>
        <v>0</v>
      </c>
      <c r="J46" s="721">
        <f t="shared" si="5"/>
        <v>0</v>
      </c>
      <c r="K46" s="721">
        <f t="shared" si="5"/>
        <v>227.92402961063237</v>
      </c>
      <c r="L46" s="721">
        <f t="shared" si="5"/>
        <v>0</v>
      </c>
      <c r="M46" s="721">
        <f t="shared" ca="1" si="5"/>
        <v>0</v>
      </c>
      <c r="N46" s="721">
        <f t="shared" si="5"/>
        <v>0</v>
      </c>
      <c r="O46" s="721">
        <f t="shared" ca="1" si="5"/>
        <v>0</v>
      </c>
      <c r="P46" s="721">
        <f t="shared" si="5"/>
        <v>0</v>
      </c>
      <c r="Q46" s="721">
        <f t="shared" si="5"/>
        <v>0</v>
      </c>
      <c r="R46" s="721">
        <f ca="1">SUM(R39:R45)</f>
        <v>200060.70308548724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1469.9844816720286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1469.9844816720286</v>
      </c>
    </row>
    <row r="50" spans="1:18">
      <c r="A50" s="819" t="s">
        <v>307</v>
      </c>
      <c r="B50" s="829"/>
      <c r="C50" s="1008">
        <f ca="1">transport!B18</f>
        <v>1.0921480461114872</v>
      </c>
      <c r="D50" s="1008">
        <f>transport!C18</f>
        <v>0</v>
      </c>
      <c r="E50" s="1008">
        <f>transport!D18</f>
        <v>2.7953311945288708</v>
      </c>
      <c r="F50" s="1008">
        <f>transport!E18</f>
        <v>193.70386894191284</v>
      </c>
      <c r="G50" s="1008">
        <f>transport!F18</f>
        <v>0</v>
      </c>
      <c r="H50" s="1008">
        <f>transport!G18</f>
        <v>51781.067478592224</v>
      </c>
      <c r="I50" s="1008">
        <f>transport!H18</f>
        <v>7778.8055680333637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59757.464394808143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1.0921480461114872</v>
      </c>
      <c r="D52" s="721">
        <f t="shared" ref="D52:Q52" ca="1" si="6">SUM(D48:D51)</f>
        <v>0</v>
      </c>
      <c r="E52" s="721">
        <f t="shared" si="6"/>
        <v>2.7953311945288708</v>
      </c>
      <c r="F52" s="721">
        <f t="shared" si="6"/>
        <v>193.70386894191284</v>
      </c>
      <c r="G52" s="721">
        <f t="shared" si="6"/>
        <v>0</v>
      </c>
      <c r="H52" s="721">
        <f t="shared" si="6"/>
        <v>53251.051960264253</v>
      </c>
      <c r="I52" s="721">
        <f t="shared" si="6"/>
        <v>7778.8055680333637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61227.448876480172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345.65950370696919</v>
      </c>
      <c r="D54" s="1008">
        <f ca="1">+landbouw!C12</f>
        <v>0</v>
      </c>
      <c r="E54" s="1008">
        <f>+landbouw!D12</f>
        <v>658.61335001235045</v>
      </c>
      <c r="F54" s="1008">
        <f>+landbouw!E12</f>
        <v>3.4669206394480292</v>
      </c>
      <c r="G54" s="1008">
        <f>+landbouw!F12</f>
        <v>1412.566020545758</v>
      </c>
      <c r="H54" s="1008">
        <f>+landbouw!G12</f>
        <v>0</v>
      </c>
      <c r="I54" s="1008">
        <f>+landbouw!H12</f>
        <v>0</v>
      </c>
      <c r="J54" s="1008">
        <f>+landbouw!I12</f>
        <v>0</v>
      </c>
      <c r="K54" s="1008">
        <f>+landbouw!J12</f>
        <v>70.994759022023331</v>
      </c>
      <c r="L54" s="1008">
        <f>+landbouw!K12</f>
        <v>0</v>
      </c>
      <c r="M54" s="1008">
        <f>+landbouw!L12</f>
        <v>0</v>
      </c>
      <c r="N54" s="1008">
        <f>+landbouw!M12</f>
        <v>0</v>
      </c>
      <c r="O54" s="1008">
        <f>+landbouw!N12</f>
        <v>0</v>
      </c>
      <c r="P54" s="1008">
        <f>+landbouw!O12</f>
        <v>0</v>
      </c>
      <c r="Q54" s="1009">
        <f>+landbouw!P12</f>
        <v>0</v>
      </c>
      <c r="R54" s="720">
        <f ca="1">SUM(C54:Q54)</f>
        <v>2491.3005539265487</v>
      </c>
    </row>
    <row r="55" spans="1:18" ht="15" thickBot="1">
      <c r="A55" s="819" t="s">
        <v>912</v>
      </c>
      <c r="B55" s="829"/>
      <c r="C55" s="1008">
        <f ca="1">C25*'EF ele_warmte'!B12</f>
        <v>569.1297547941831</v>
      </c>
      <c r="D55" s="1008"/>
      <c r="E55" s="1008">
        <f>E25*EF_CO2_aardgas</f>
        <v>3028.773842956472</v>
      </c>
      <c r="F55" s="1008"/>
      <c r="G55" s="1008"/>
      <c r="H55" s="1008"/>
      <c r="I55" s="1008"/>
      <c r="J55" s="1008"/>
      <c r="K55" s="1008"/>
      <c r="L55" s="1008"/>
      <c r="M55" s="1008"/>
      <c r="N55" s="1008"/>
      <c r="O55" s="1008"/>
      <c r="P55" s="1008"/>
      <c r="Q55" s="1009"/>
      <c r="R55" s="720">
        <f ca="1">SUM(C55:Q55)</f>
        <v>3597.9035977506551</v>
      </c>
    </row>
    <row r="56" spans="1:18" ht="15.75" thickBot="1">
      <c r="A56" s="817" t="s">
        <v>913</v>
      </c>
      <c r="B56" s="830"/>
      <c r="C56" s="721">
        <f ca="1">SUM(C54:C55)</f>
        <v>914.78925850115229</v>
      </c>
      <c r="D56" s="721">
        <f t="shared" ref="D56:Q56" ca="1" si="7">SUM(D54:D55)</f>
        <v>0</v>
      </c>
      <c r="E56" s="721">
        <f t="shared" si="7"/>
        <v>3687.3871929688225</v>
      </c>
      <c r="F56" s="721">
        <f t="shared" si="7"/>
        <v>3.4669206394480292</v>
      </c>
      <c r="G56" s="721">
        <f t="shared" si="7"/>
        <v>1412.566020545758</v>
      </c>
      <c r="H56" s="721">
        <f t="shared" si="7"/>
        <v>0</v>
      </c>
      <c r="I56" s="721">
        <f t="shared" si="7"/>
        <v>0</v>
      </c>
      <c r="J56" s="721">
        <f t="shared" si="7"/>
        <v>0</v>
      </c>
      <c r="K56" s="721">
        <f t="shared" si="7"/>
        <v>70.994759022023331</v>
      </c>
      <c r="L56" s="721">
        <f t="shared" si="7"/>
        <v>0</v>
      </c>
      <c r="M56" s="721">
        <f t="shared" si="7"/>
        <v>0</v>
      </c>
      <c r="N56" s="721">
        <f t="shared" si="7"/>
        <v>0</v>
      </c>
      <c r="O56" s="721">
        <f t="shared" si="7"/>
        <v>0</v>
      </c>
      <c r="P56" s="721">
        <f t="shared" si="7"/>
        <v>0</v>
      </c>
      <c r="Q56" s="722">
        <f t="shared" si="7"/>
        <v>0</v>
      </c>
      <c r="R56" s="723">
        <f ca="1">SUM(R54:R55)</f>
        <v>6089.2041516772042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76207.152012586594</v>
      </c>
      <c r="D61" s="729">
        <f t="shared" ref="D61:Q61" ca="1" si="8">D46+D52+D56</f>
        <v>2140.5782104042423</v>
      </c>
      <c r="E61" s="729">
        <f t="shared" ca="1" si="8"/>
        <v>108398.76591622982</v>
      </c>
      <c r="F61" s="729">
        <f t="shared" si="8"/>
        <v>1942.9289296485651</v>
      </c>
      <c r="G61" s="729">
        <f t="shared" ca="1" si="8"/>
        <v>17359.154727845143</v>
      </c>
      <c r="H61" s="729">
        <f t="shared" si="8"/>
        <v>53251.051960264253</v>
      </c>
      <c r="I61" s="729">
        <f t="shared" si="8"/>
        <v>7778.8055680333637</v>
      </c>
      <c r="J61" s="729">
        <f t="shared" si="8"/>
        <v>0</v>
      </c>
      <c r="K61" s="729">
        <f t="shared" si="8"/>
        <v>298.91878863265572</v>
      </c>
      <c r="L61" s="729">
        <f t="shared" si="8"/>
        <v>0</v>
      </c>
      <c r="M61" s="729">
        <f t="shared" ca="1" si="8"/>
        <v>0</v>
      </c>
      <c r="N61" s="729">
        <f t="shared" si="8"/>
        <v>0</v>
      </c>
      <c r="O61" s="729">
        <f t="shared" ca="1" si="8"/>
        <v>0</v>
      </c>
      <c r="P61" s="729">
        <f t="shared" si="8"/>
        <v>0</v>
      </c>
      <c r="Q61" s="729">
        <f t="shared" si="8"/>
        <v>0</v>
      </c>
      <c r="R61" s="729">
        <f ca="1">R46+R52+R56</f>
        <v>267377.35611364461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0.2132122979177643</v>
      </c>
      <c r="D63" s="773">
        <f t="shared" ca="1" si="9"/>
        <v>0.23746509465657206</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11717.661567550795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6222.5</v>
      </c>
      <c r="D76" s="1020">
        <f>'lokale energieproductie'!C8</f>
        <v>7314.9829282203946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1477.6265515005198</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13058.661567550795</v>
      </c>
      <c r="C78" s="744">
        <f>SUM(C72:C77)</f>
        <v>6222.5</v>
      </c>
      <c r="D78" s="745">
        <f t="shared" ref="D78:H78" si="10">SUM(D76:D77)</f>
        <v>7314.9829282203946</v>
      </c>
      <c r="E78" s="745">
        <f t="shared" si="10"/>
        <v>0</v>
      </c>
      <c r="F78" s="745">
        <f t="shared" si="10"/>
        <v>0</v>
      </c>
      <c r="G78" s="745">
        <f t="shared" si="10"/>
        <v>0</v>
      </c>
      <c r="H78" s="745">
        <f t="shared" si="10"/>
        <v>0</v>
      </c>
      <c r="I78" s="745">
        <f>SUM(I76:I77)</f>
        <v>0</v>
      </c>
      <c r="J78" s="745">
        <f>SUM(J76:J77)</f>
        <v>3831.4285714285716</v>
      </c>
      <c r="K78" s="745">
        <f t="shared" ref="K78:L78" si="11">SUM(K76:K77)</f>
        <v>0</v>
      </c>
      <c r="L78" s="745">
        <f t="shared" si="11"/>
        <v>0</v>
      </c>
      <c r="M78" s="745">
        <f>SUM(M76:M77)</f>
        <v>0</v>
      </c>
      <c r="N78" s="745">
        <f>SUM(N76:N77)</f>
        <v>0</v>
      </c>
      <c r="O78" s="854">
        <f>SUM(O76:O77)</f>
        <v>0</v>
      </c>
      <c r="P78" s="746">
        <v>0</v>
      </c>
      <c r="Q78" s="746">
        <f>SUM(Q76:Q77)</f>
        <v>1477.6265515005198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9014.2857142857138</v>
      </c>
      <c r="D87" s="766">
        <f>'lokale energieproductie'!C17</f>
        <v>10596.921833684368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2140.5782104042423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9014.2857142857138</v>
      </c>
      <c r="D90" s="744">
        <f t="shared" ref="D90:H90" si="12">SUM(D87:D89)</f>
        <v>10596.921833684368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2140.5782104042423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11717.661567550795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6222.5</v>
      </c>
      <c r="C8" s="558">
        <f>B101</f>
        <v>7314.9829282203946</v>
      </c>
      <c r="D8" s="991"/>
      <c r="E8" s="991">
        <f>E101</f>
        <v>0</v>
      </c>
      <c r="F8" s="992"/>
      <c r="G8" s="559"/>
      <c r="H8" s="991">
        <f>I101</f>
        <v>0</v>
      </c>
      <c r="I8" s="991">
        <f>G101+F101</f>
        <v>0</v>
      </c>
      <c r="J8" s="991">
        <f>H101+D101+C101</f>
        <v>0</v>
      </c>
      <c r="K8" s="991"/>
      <c r="L8" s="991"/>
      <c r="M8" s="991"/>
      <c r="N8" s="560"/>
      <c r="O8" s="561">
        <f>C8*$C$12+D8*$D$12+E8*$E$12+F8*$F$12+G8*$G$12+H8*$H$12+I8*$I$12+J8*$J$12</f>
        <v>1477.6265515005198</v>
      </c>
      <c r="P8" s="1245"/>
      <c r="Q8" s="1246"/>
      <c r="S8" s="1028"/>
      <c r="T8" s="1220"/>
      <c r="U8" s="1220"/>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19281.161567550793</v>
      </c>
      <c r="C10" s="570">
        <f t="shared" ref="C10:L10" si="0">SUM(C8:C9)</f>
        <v>7314.9829282203946</v>
      </c>
      <c r="D10" s="570">
        <f t="shared" si="0"/>
        <v>0</v>
      </c>
      <c r="E10" s="570">
        <f t="shared" si="0"/>
        <v>0</v>
      </c>
      <c r="F10" s="570">
        <f t="shared" si="0"/>
        <v>0</v>
      </c>
      <c r="G10" s="570">
        <f t="shared" si="0"/>
        <v>0</v>
      </c>
      <c r="H10" s="570">
        <f t="shared" si="0"/>
        <v>0</v>
      </c>
      <c r="I10" s="570">
        <f t="shared" si="0"/>
        <v>0</v>
      </c>
      <c r="J10" s="570">
        <f t="shared" si="0"/>
        <v>3831.4285714285716</v>
      </c>
      <c r="K10" s="570">
        <f t="shared" si="0"/>
        <v>0</v>
      </c>
      <c r="L10" s="570">
        <f t="shared" si="0"/>
        <v>0</v>
      </c>
      <c r="M10" s="995"/>
      <c r="N10" s="995"/>
      <c r="O10" s="571">
        <f>SUM(O4:O9)</f>
        <v>1477.6265515005198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9014.2857142857138</v>
      </c>
      <c r="C17" s="582">
        <f>B102</f>
        <v>10596.921833684368</v>
      </c>
      <c r="D17" s="583"/>
      <c r="E17" s="583">
        <f>E102</f>
        <v>0</v>
      </c>
      <c r="F17" s="584"/>
      <c r="G17" s="585"/>
      <c r="H17" s="582">
        <f>I102</f>
        <v>0</v>
      </c>
      <c r="I17" s="583">
        <f>G102+F102</f>
        <v>0</v>
      </c>
      <c r="J17" s="583">
        <f>H102+D102+C102</f>
        <v>0</v>
      </c>
      <c r="K17" s="583"/>
      <c r="L17" s="583"/>
      <c r="M17" s="583"/>
      <c r="N17" s="998"/>
      <c r="O17" s="586">
        <f>C17*$C$22+E17*$E$22+H17*$H$22+I17*$I$22+J17*$J$22+D17*$D$22+F17*$F$22+G17*$G$22+K17*$K$22+L17*$L$22</f>
        <v>2140.5782104042423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9014.2857142857138</v>
      </c>
      <c r="C20" s="569">
        <f>SUM(C17:C19)</f>
        <v>10596.921833684368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2140.5782104042423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13040</v>
      </c>
      <c r="C28" s="789">
        <v>2300</v>
      </c>
      <c r="D28" s="642" t="s">
        <v>948</v>
      </c>
      <c r="E28" s="641" t="s">
        <v>949</v>
      </c>
      <c r="F28" s="641" t="s">
        <v>950</v>
      </c>
      <c r="G28" s="641" t="s">
        <v>951</v>
      </c>
      <c r="H28" s="641" t="s">
        <v>952</v>
      </c>
      <c r="I28" s="641" t="s">
        <v>949</v>
      </c>
      <c r="J28" s="788">
        <v>40329</v>
      </c>
      <c r="K28" s="788">
        <v>40381</v>
      </c>
      <c r="L28" s="641" t="s">
        <v>953</v>
      </c>
      <c r="M28" s="641">
        <v>1375</v>
      </c>
      <c r="N28" s="641">
        <v>6187.5</v>
      </c>
      <c r="O28" s="641">
        <v>8839.2857142857138</v>
      </c>
      <c r="P28" s="641">
        <v>17678.571428571431</v>
      </c>
      <c r="Q28" s="641">
        <v>0</v>
      </c>
      <c r="R28" s="641">
        <v>0</v>
      </c>
      <c r="S28" s="641">
        <v>0</v>
      </c>
      <c r="T28" s="641">
        <v>0</v>
      </c>
      <c r="U28" s="641">
        <v>0</v>
      </c>
      <c r="V28" s="641">
        <v>0</v>
      </c>
      <c r="W28" s="641"/>
      <c r="X28" s="641">
        <v>500</v>
      </c>
      <c r="Y28" s="641" t="s">
        <v>41</v>
      </c>
      <c r="Z28" s="643" t="s">
        <v>391</v>
      </c>
    </row>
    <row r="29" spans="1:26" s="595" customFormat="1" ht="25.5">
      <c r="A29" s="594"/>
      <c r="B29" s="789">
        <v>13040</v>
      </c>
      <c r="C29" s="789">
        <v>2300</v>
      </c>
      <c r="D29" s="642" t="s">
        <v>954</v>
      </c>
      <c r="E29" s="641" t="s">
        <v>955</v>
      </c>
      <c r="F29" s="641" t="s">
        <v>956</v>
      </c>
      <c r="G29" s="641" t="s">
        <v>957</v>
      </c>
      <c r="H29" s="641" t="s">
        <v>957</v>
      </c>
      <c r="I29" s="641" t="s">
        <v>955</v>
      </c>
      <c r="J29" s="788">
        <v>41001</v>
      </c>
      <c r="K29" s="788">
        <v>41153</v>
      </c>
      <c r="L29" s="641" t="s">
        <v>953</v>
      </c>
      <c r="M29" s="641">
        <v>70</v>
      </c>
      <c r="N29" s="641">
        <v>35</v>
      </c>
      <c r="O29" s="641">
        <v>175</v>
      </c>
      <c r="P29" s="641">
        <v>233.33333333333334</v>
      </c>
      <c r="Q29" s="641">
        <v>0</v>
      </c>
      <c r="R29" s="641">
        <v>0</v>
      </c>
      <c r="S29" s="641">
        <v>0</v>
      </c>
      <c r="T29" s="641">
        <v>0</v>
      </c>
      <c r="U29" s="641">
        <v>0</v>
      </c>
      <c r="V29" s="641">
        <v>0</v>
      </c>
      <c r="W29" s="641"/>
      <c r="X29" s="641">
        <v>1300</v>
      </c>
      <c r="Y29" s="641" t="s">
        <v>54</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1445</v>
      </c>
      <c r="N58" s="599">
        <f>SUM(N28:N57)</f>
        <v>6222.5</v>
      </c>
      <c r="O58" s="599">
        <f t="shared" ref="O58:W58" si="2">SUM(O28:O57)</f>
        <v>9014.2857142857138</v>
      </c>
      <c r="P58" s="599">
        <f t="shared" si="2"/>
        <v>17911.904761904763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1375</v>
      </c>
      <c r="N59" s="599">
        <f t="shared" si="3"/>
        <v>6187.5</v>
      </c>
      <c r="O59" s="599">
        <f t="shared" si="3"/>
        <v>8839.2857142857138</v>
      </c>
      <c r="P59" s="599">
        <f t="shared" si="3"/>
        <v>17678.571428571431</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70</v>
      </c>
      <c r="N60" s="599">
        <f ca="1">SUMIF($Z$28:AD57,"tertiair",N28:N57)</f>
        <v>35</v>
      </c>
      <c r="O60" s="599">
        <f ca="1">SUMIF($Z$28:AE57,"tertiair",O28:O57)</f>
        <v>175</v>
      </c>
      <c r="P60" s="599">
        <f ca="1">SUMIF($Z$28:AF57,"tertiair",P28:P57)</f>
        <v>233.33333333333334</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13040</v>
      </c>
      <c r="C64" s="789">
        <v>2300</v>
      </c>
      <c r="D64" s="644" t="s">
        <v>958</v>
      </c>
      <c r="E64" s="644" t="s">
        <v>959</v>
      </c>
      <c r="F64" s="644" t="s">
        <v>960</v>
      </c>
      <c r="G64" s="644" t="s">
        <v>961</v>
      </c>
      <c r="H64" s="644" t="s">
        <v>962</v>
      </c>
      <c r="I64" s="644" t="s">
        <v>963</v>
      </c>
      <c r="J64" s="788">
        <v>38768</v>
      </c>
      <c r="K64" s="788">
        <v>39052</v>
      </c>
      <c r="L64" s="644" t="s">
        <v>964</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0.59161334177155844</v>
      </c>
      <c r="C98" s="624">
        <f>IF(ISERROR(N58/(O58+N58)),0,N58/(N58+O58))</f>
        <v>0.4083866582284415</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7314.9829282203946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10596.921833684368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61125.500512704821</v>
      </c>
      <c r="C4" s="461">
        <f>huishoudens!C8</f>
        <v>0</v>
      </c>
      <c r="D4" s="461">
        <f>huishoudens!D8</f>
        <v>251518.50774498828</v>
      </c>
      <c r="E4" s="461">
        <f>huishoudens!E8</f>
        <v>4464.6549614111682</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29458.603562280819</v>
      </c>
      <c r="O4" s="461">
        <f>huishoudens!O8</f>
        <v>181.34666666666669</v>
      </c>
      <c r="P4" s="462">
        <f>huishoudens!P8</f>
        <v>324.13333333333333</v>
      </c>
      <c r="Q4" s="463">
        <f>SUM(B4:P4)</f>
        <v>347072.7467813851</v>
      </c>
    </row>
    <row r="5" spans="1:17">
      <c r="A5" s="460" t="s">
        <v>156</v>
      </c>
      <c r="B5" s="461">
        <f ca="1">tertiair!B16</f>
        <v>91666.028701138319</v>
      </c>
      <c r="C5" s="461">
        <f ca="1">tertiair!C16</f>
        <v>175</v>
      </c>
      <c r="D5" s="461">
        <f ca="1">tertiair!D16</f>
        <v>120805.64289187662</v>
      </c>
      <c r="E5" s="461">
        <f>tertiair!E16</f>
        <v>744.07401762172276</v>
      </c>
      <c r="F5" s="461">
        <f ca="1">tertiair!F16</f>
        <v>19788.038044884575</v>
      </c>
      <c r="G5" s="461">
        <f>tertiair!G16</f>
        <v>0</v>
      </c>
      <c r="H5" s="461">
        <f>tertiair!H16</f>
        <v>0</v>
      </c>
      <c r="I5" s="461">
        <f>tertiair!I16</f>
        <v>0</v>
      </c>
      <c r="J5" s="461">
        <f>tertiair!J16</f>
        <v>0</v>
      </c>
      <c r="K5" s="461">
        <f>tertiair!K16</f>
        <v>0</v>
      </c>
      <c r="L5" s="461">
        <f ca="1">tertiair!L16</f>
        <v>0</v>
      </c>
      <c r="M5" s="461">
        <f>tertiair!M16</f>
        <v>0</v>
      </c>
      <c r="N5" s="461">
        <f ca="1">tertiair!N16</f>
        <v>63.067418497015751</v>
      </c>
      <c r="O5" s="461">
        <f>tertiair!O16</f>
        <v>0</v>
      </c>
      <c r="P5" s="462">
        <f>tertiair!P16</f>
        <v>0</v>
      </c>
      <c r="Q5" s="460">
        <f t="shared" ref="Q5:Q14" ca="1" si="0">SUM(B5:P5)</f>
        <v>233241.85107401825</v>
      </c>
    </row>
    <row r="6" spans="1:17">
      <c r="A6" s="460" t="s">
        <v>194</v>
      </c>
      <c r="B6" s="461">
        <f>'openbare verlichting'!B8</f>
        <v>2504.3850000000002</v>
      </c>
      <c r="C6" s="461"/>
      <c r="D6" s="461"/>
      <c r="E6" s="461"/>
      <c r="F6" s="461"/>
      <c r="G6" s="461"/>
      <c r="H6" s="461"/>
      <c r="I6" s="461"/>
      <c r="J6" s="461"/>
      <c r="K6" s="461"/>
      <c r="L6" s="461"/>
      <c r="M6" s="461"/>
      <c r="N6" s="461"/>
      <c r="O6" s="461"/>
      <c r="P6" s="462"/>
      <c r="Q6" s="460">
        <f t="shared" si="0"/>
        <v>2504.3850000000002</v>
      </c>
    </row>
    <row r="7" spans="1:17">
      <c r="A7" s="460" t="s">
        <v>112</v>
      </c>
      <c r="B7" s="461">
        <f>landbouw!B8</f>
        <v>1621.1987164093582</v>
      </c>
      <c r="C7" s="461">
        <f>landbouw!C8</f>
        <v>0</v>
      </c>
      <c r="D7" s="461">
        <f>landbouw!D8</f>
        <v>3260.4621287740119</v>
      </c>
      <c r="E7" s="461">
        <f>landbouw!E8</f>
        <v>15.272778147348145</v>
      </c>
      <c r="F7" s="461">
        <f>landbouw!F8</f>
        <v>5290.5094402462846</v>
      </c>
      <c r="G7" s="461">
        <f>landbouw!G8</f>
        <v>0</v>
      </c>
      <c r="H7" s="461">
        <f>landbouw!H8</f>
        <v>0</v>
      </c>
      <c r="I7" s="461">
        <f>landbouw!I8</f>
        <v>0</v>
      </c>
      <c r="J7" s="461">
        <f>landbouw!J8</f>
        <v>200.55016672887947</v>
      </c>
      <c r="K7" s="461">
        <f>landbouw!K8</f>
        <v>0</v>
      </c>
      <c r="L7" s="461">
        <f>landbouw!L8</f>
        <v>0</v>
      </c>
      <c r="M7" s="461">
        <f>landbouw!M8</f>
        <v>0</v>
      </c>
      <c r="N7" s="461">
        <f>landbouw!N8</f>
        <v>0</v>
      </c>
      <c r="O7" s="461">
        <f>landbouw!O8</f>
        <v>0</v>
      </c>
      <c r="P7" s="462">
        <f>landbouw!P8</f>
        <v>0</v>
      </c>
      <c r="Q7" s="460">
        <f t="shared" si="0"/>
        <v>10387.993230305881</v>
      </c>
    </row>
    <row r="8" spans="1:17">
      <c r="A8" s="460" t="s">
        <v>685</v>
      </c>
      <c r="B8" s="461">
        <f>industrie!B18</f>
        <v>197832.26526424248</v>
      </c>
      <c r="C8" s="461">
        <f>industrie!C18</f>
        <v>8839.2857142857138</v>
      </c>
      <c r="D8" s="461">
        <f>industrie!D18</f>
        <v>146035.17308623641</v>
      </c>
      <c r="E8" s="461">
        <f>industrie!E18</f>
        <v>2481.8355146552335</v>
      </c>
      <c r="F8" s="461">
        <f>industrie!F18</f>
        <v>39937.013293315365</v>
      </c>
      <c r="G8" s="461">
        <f>industrie!G18</f>
        <v>0</v>
      </c>
      <c r="H8" s="461">
        <f>industrie!H18</f>
        <v>0</v>
      </c>
      <c r="I8" s="461">
        <f>industrie!I18</f>
        <v>0</v>
      </c>
      <c r="J8" s="461">
        <f>industrie!J18</f>
        <v>643.85319099048695</v>
      </c>
      <c r="K8" s="461">
        <f>industrie!K18</f>
        <v>0</v>
      </c>
      <c r="L8" s="461">
        <f>industrie!L18</f>
        <v>0</v>
      </c>
      <c r="M8" s="461">
        <f>industrie!M18</f>
        <v>0</v>
      </c>
      <c r="N8" s="461">
        <f>industrie!N18</f>
        <v>16195.582979203358</v>
      </c>
      <c r="O8" s="461">
        <f>industrie!O18</f>
        <v>0</v>
      </c>
      <c r="P8" s="462">
        <f>industrie!P18</f>
        <v>0</v>
      </c>
      <c r="Q8" s="460">
        <f t="shared" si="0"/>
        <v>411965.00904292904</v>
      </c>
    </row>
    <row r="9" spans="1:17" s="466" customFormat="1">
      <c r="A9" s="464" t="s">
        <v>579</v>
      </c>
      <c r="B9" s="465">
        <f>transport!B14</f>
        <v>5.1223501494868149</v>
      </c>
      <c r="C9" s="465">
        <f>transport!C14</f>
        <v>0</v>
      </c>
      <c r="D9" s="465">
        <f>transport!D14</f>
        <v>13.838273240241934</v>
      </c>
      <c r="E9" s="465">
        <f>transport!E14</f>
        <v>853.32100855468207</v>
      </c>
      <c r="F9" s="465">
        <f>transport!F14</f>
        <v>0</v>
      </c>
      <c r="G9" s="465">
        <f>transport!G14</f>
        <v>193936.58231682479</v>
      </c>
      <c r="H9" s="465">
        <f>transport!H14</f>
        <v>31240.183004150054</v>
      </c>
      <c r="I9" s="465">
        <f>transport!I14</f>
        <v>0</v>
      </c>
      <c r="J9" s="465">
        <f>transport!J14</f>
        <v>0</v>
      </c>
      <c r="K9" s="465">
        <f>transport!K14</f>
        <v>0</v>
      </c>
      <c r="L9" s="465">
        <f>transport!L14</f>
        <v>0</v>
      </c>
      <c r="M9" s="465">
        <f>transport!M14</f>
        <v>10065.102143470313</v>
      </c>
      <c r="N9" s="465">
        <f>transport!N14</f>
        <v>0</v>
      </c>
      <c r="O9" s="465">
        <f>transport!O14</f>
        <v>0</v>
      </c>
      <c r="P9" s="465">
        <f>transport!P14</f>
        <v>0</v>
      </c>
      <c r="Q9" s="464">
        <f>SUM(B9:P9)</f>
        <v>236114.14909638956</v>
      </c>
    </row>
    <row r="10" spans="1:17">
      <c r="A10" s="460" t="s">
        <v>569</v>
      </c>
      <c r="B10" s="461">
        <f>transport!B54</f>
        <v>0</v>
      </c>
      <c r="C10" s="461">
        <f>transport!C54</f>
        <v>0</v>
      </c>
      <c r="D10" s="461">
        <f>transport!D54</f>
        <v>0</v>
      </c>
      <c r="E10" s="461">
        <f>transport!E54</f>
        <v>0</v>
      </c>
      <c r="F10" s="461">
        <f>transport!F54</f>
        <v>0</v>
      </c>
      <c r="G10" s="461">
        <f>transport!G54</f>
        <v>5505.5598564495449</v>
      </c>
      <c r="H10" s="461">
        <f>transport!H54</f>
        <v>0</v>
      </c>
      <c r="I10" s="461">
        <f>transport!I54</f>
        <v>0</v>
      </c>
      <c r="J10" s="461">
        <f>transport!J54</f>
        <v>0</v>
      </c>
      <c r="K10" s="461">
        <f>transport!K54</f>
        <v>0</v>
      </c>
      <c r="L10" s="461">
        <f>transport!L54</f>
        <v>0</v>
      </c>
      <c r="M10" s="461">
        <f>transport!M54</f>
        <v>241.75821528577103</v>
      </c>
      <c r="N10" s="461">
        <f>transport!N54</f>
        <v>0</v>
      </c>
      <c r="O10" s="461">
        <f>transport!O54</f>
        <v>0</v>
      </c>
      <c r="P10" s="462">
        <f>transport!P54</f>
        <v>0</v>
      </c>
      <c r="Q10" s="460">
        <f t="shared" si="0"/>
        <v>5747.3180717353162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2669.31016809216</v>
      </c>
      <c r="C14" s="468"/>
      <c r="D14" s="468">
        <f>'SEAP template'!E25</f>
        <v>14993.929915626099</v>
      </c>
      <c r="E14" s="468"/>
      <c r="F14" s="468"/>
      <c r="G14" s="468"/>
      <c r="H14" s="468"/>
      <c r="I14" s="468"/>
      <c r="J14" s="468"/>
      <c r="K14" s="468"/>
      <c r="L14" s="468"/>
      <c r="M14" s="468"/>
      <c r="N14" s="468"/>
      <c r="O14" s="468"/>
      <c r="P14" s="469"/>
      <c r="Q14" s="460">
        <f t="shared" si="0"/>
        <v>17663.240083718258</v>
      </c>
    </row>
    <row r="15" spans="1:17" s="473" customFormat="1">
      <c r="A15" s="470" t="s">
        <v>573</v>
      </c>
      <c r="B15" s="471">
        <f ca="1">SUM(B4:B14)</f>
        <v>357423.81071273662</v>
      </c>
      <c r="C15" s="471">
        <f t="shared" ref="C15:Q15" ca="1" si="1">SUM(C4:C14)</f>
        <v>9014.2857142857138</v>
      </c>
      <c r="D15" s="471">
        <f t="shared" ca="1" si="1"/>
        <v>536627.55404074164</v>
      </c>
      <c r="E15" s="471">
        <f t="shared" si="1"/>
        <v>8559.1582803901529</v>
      </c>
      <c r="F15" s="471">
        <f t="shared" ca="1" si="1"/>
        <v>65015.560778446226</v>
      </c>
      <c r="G15" s="471">
        <f t="shared" si="1"/>
        <v>199442.14217327433</v>
      </c>
      <c r="H15" s="471">
        <f t="shared" si="1"/>
        <v>31240.183004150054</v>
      </c>
      <c r="I15" s="471">
        <f t="shared" si="1"/>
        <v>0</v>
      </c>
      <c r="J15" s="471">
        <f t="shared" si="1"/>
        <v>844.40335771936645</v>
      </c>
      <c r="K15" s="471">
        <f t="shared" si="1"/>
        <v>0</v>
      </c>
      <c r="L15" s="471">
        <f t="shared" ca="1" si="1"/>
        <v>0</v>
      </c>
      <c r="M15" s="471">
        <f t="shared" si="1"/>
        <v>10306.860358756083</v>
      </c>
      <c r="N15" s="471">
        <f t="shared" ca="1" si="1"/>
        <v>45717.253959981193</v>
      </c>
      <c r="O15" s="471">
        <f t="shared" si="1"/>
        <v>181.34666666666669</v>
      </c>
      <c r="P15" s="471">
        <f t="shared" si="1"/>
        <v>324.13333333333333</v>
      </c>
      <c r="Q15" s="471">
        <f t="shared" ca="1" si="1"/>
        <v>1264696.6923804814</v>
      </c>
    </row>
    <row r="17" spans="1:17">
      <c r="A17" s="474" t="s">
        <v>574</v>
      </c>
      <c r="B17" s="778">
        <f ca="1">huishoudens!B10</f>
        <v>0.2132122979177643</v>
      </c>
      <c r="C17" s="778">
        <f ca="1">huishoudens!C10</f>
        <v>0.23746509465657206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13032.708425687275</v>
      </c>
      <c r="C22" s="461">
        <f t="shared" ref="C22:C32" ca="1" si="3">C4*$C$17</f>
        <v>0</v>
      </c>
      <c r="D22" s="461">
        <f t="shared" ref="D22:D32" si="4">D4*$D$17</f>
        <v>50806.738564487634</v>
      </c>
      <c r="E22" s="461">
        <f t="shared" ref="E22:E32" si="5">E4*$E$17</f>
        <v>1013.4766762403352</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64852.923666415249</v>
      </c>
    </row>
    <row r="23" spans="1:17">
      <c r="A23" s="460" t="s">
        <v>156</v>
      </c>
      <c r="B23" s="461">
        <f t="shared" ca="1" si="2"/>
        <v>19544.324620365438</v>
      </c>
      <c r="C23" s="461">
        <f t="shared" ca="1" si="3"/>
        <v>41.55639156490011</v>
      </c>
      <c r="D23" s="461">
        <f t="shared" ca="1" si="4"/>
        <v>24402.739864159077</v>
      </c>
      <c r="E23" s="461">
        <f t="shared" si="5"/>
        <v>168.90480200013107</v>
      </c>
      <c r="F23" s="461">
        <f t="shared" ca="1" si="6"/>
        <v>5283.4061579841818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49440.931836073723</v>
      </c>
    </row>
    <row r="24" spans="1:17">
      <c r="A24" s="460" t="s">
        <v>194</v>
      </c>
      <c r="B24" s="461">
        <f t="shared" ca="1" si="2"/>
        <v>533.96568072078026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533.96568072078026</v>
      </c>
    </row>
    <row r="25" spans="1:17">
      <c r="A25" s="460" t="s">
        <v>112</v>
      </c>
      <c r="B25" s="461">
        <f t="shared" ca="1" si="2"/>
        <v>345.65950370696919</v>
      </c>
      <c r="C25" s="461">
        <f t="shared" ca="1" si="3"/>
        <v>0</v>
      </c>
      <c r="D25" s="461">
        <f t="shared" si="4"/>
        <v>658.61335001235045</v>
      </c>
      <c r="E25" s="461">
        <f t="shared" si="5"/>
        <v>3.4669206394480292</v>
      </c>
      <c r="F25" s="461">
        <f t="shared" si="6"/>
        <v>1412.566020545758</v>
      </c>
      <c r="G25" s="461">
        <f t="shared" si="7"/>
        <v>0</v>
      </c>
      <c r="H25" s="461">
        <f t="shared" si="8"/>
        <v>0</v>
      </c>
      <c r="I25" s="461">
        <f t="shared" si="9"/>
        <v>0</v>
      </c>
      <c r="J25" s="461">
        <f t="shared" si="10"/>
        <v>70.994759022023331</v>
      </c>
      <c r="K25" s="461">
        <f t="shared" si="11"/>
        <v>0</v>
      </c>
      <c r="L25" s="461">
        <f t="shared" si="12"/>
        <v>0</v>
      </c>
      <c r="M25" s="461">
        <f t="shared" si="13"/>
        <v>0</v>
      </c>
      <c r="N25" s="461">
        <f t="shared" si="14"/>
        <v>0</v>
      </c>
      <c r="O25" s="461">
        <f t="shared" si="15"/>
        <v>0</v>
      </c>
      <c r="P25" s="462">
        <f t="shared" si="16"/>
        <v>0</v>
      </c>
      <c r="Q25" s="460">
        <f t="shared" ca="1" si="17"/>
        <v>2491.3005539265487</v>
      </c>
    </row>
    <row r="26" spans="1:17">
      <c r="A26" s="460" t="s">
        <v>685</v>
      </c>
      <c r="B26" s="461">
        <f t="shared" ca="1" si="2"/>
        <v>42180.271879265842</v>
      </c>
      <c r="C26" s="461">
        <f t="shared" ca="1" si="3"/>
        <v>2099.0218188393424</v>
      </c>
      <c r="D26" s="461">
        <f t="shared" si="4"/>
        <v>29499.104963419755</v>
      </c>
      <c r="E26" s="461">
        <f t="shared" si="5"/>
        <v>563.37666182673797</v>
      </c>
      <c r="F26" s="461">
        <f t="shared" si="6"/>
        <v>10663.182549315203</v>
      </c>
      <c r="G26" s="461">
        <f t="shared" si="7"/>
        <v>0</v>
      </c>
      <c r="H26" s="461">
        <f t="shared" si="8"/>
        <v>0</v>
      </c>
      <c r="I26" s="461">
        <f t="shared" si="9"/>
        <v>0</v>
      </c>
      <c r="J26" s="461">
        <f t="shared" si="10"/>
        <v>227.92402961063237</v>
      </c>
      <c r="K26" s="461">
        <f t="shared" si="11"/>
        <v>0</v>
      </c>
      <c r="L26" s="461">
        <f t="shared" si="12"/>
        <v>0</v>
      </c>
      <c r="M26" s="461">
        <f t="shared" si="13"/>
        <v>0</v>
      </c>
      <c r="N26" s="461">
        <f t="shared" si="14"/>
        <v>0</v>
      </c>
      <c r="O26" s="461">
        <f t="shared" si="15"/>
        <v>0</v>
      </c>
      <c r="P26" s="462">
        <f t="shared" si="16"/>
        <v>0</v>
      </c>
      <c r="Q26" s="460">
        <f t="shared" ca="1" si="17"/>
        <v>85232.881902277499</v>
      </c>
    </row>
    <row r="27" spans="1:17" s="466" customFormat="1">
      <c r="A27" s="464" t="s">
        <v>579</v>
      </c>
      <c r="B27" s="772">
        <f t="shared" ca="1" si="2"/>
        <v>1.0921480461114872</v>
      </c>
      <c r="C27" s="465">
        <f t="shared" ca="1" si="3"/>
        <v>0</v>
      </c>
      <c r="D27" s="465">
        <f t="shared" si="4"/>
        <v>2.7953311945288708</v>
      </c>
      <c r="E27" s="465">
        <f t="shared" si="5"/>
        <v>193.70386894191284</v>
      </c>
      <c r="F27" s="465">
        <f t="shared" si="6"/>
        <v>0</v>
      </c>
      <c r="G27" s="465">
        <f t="shared" si="7"/>
        <v>51781.067478592224</v>
      </c>
      <c r="H27" s="465">
        <f t="shared" si="8"/>
        <v>7778.8055680333637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59757.464394808143</v>
      </c>
    </row>
    <row r="28" spans="1:17">
      <c r="A28" s="460" t="s">
        <v>569</v>
      </c>
      <c r="B28" s="461">
        <f t="shared" ca="1" si="2"/>
        <v>0</v>
      </c>
      <c r="C28" s="461">
        <f t="shared" ca="1" si="3"/>
        <v>0</v>
      </c>
      <c r="D28" s="461">
        <f t="shared" si="4"/>
        <v>0</v>
      </c>
      <c r="E28" s="461">
        <f t="shared" si="5"/>
        <v>0</v>
      </c>
      <c r="F28" s="461">
        <f t="shared" si="6"/>
        <v>0</v>
      </c>
      <c r="G28" s="461">
        <f t="shared" si="7"/>
        <v>1469.9844816720286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1469.9844816720286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569.1297547941831</v>
      </c>
      <c r="C32" s="461">
        <f t="shared" ca="1" si="3"/>
        <v>0</v>
      </c>
      <c r="D32" s="461">
        <f t="shared" si="4"/>
        <v>3028.773842956472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3597.9035977506551</v>
      </c>
    </row>
    <row r="33" spans="1:17" s="473" customFormat="1">
      <c r="A33" s="470" t="s">
        <v>573</v>
      </c>
      <c r="B33" s="471">
        <f ca="1">SUM(B22:B32)</f>
        <v>76207.152012586594</v>
      </c>
      <c r="C33" s="471">
        <f t="shared" ref="C33:Q33" ca="1" si="18">SUM(C22:C32)</f>
        <v>2140.5782104042423</v>
      </c>
      <c r="D33" s="471">
        <f t="shared" ca="1" si="18"/>
        <v>108398.76591622984</v>
      </c>
      <c r="E33" s="471">
        <f t="shared" si="18"/>
        <v>1942.9289296485651</v>
      </c>
      <c r="F33" s="471">
        <f t="shared" ca="1" si="18"/>
        <v>17359.154727845143</v>
      </c>
      <c r="G33" s="471">
        <f t="shared" si="18"/>
        <v>53251.051960264253</v>
      </c>
      <c r="H33" s="471">
        <f t="shared" si="18"/>
        <v>7778.8055680333637</v>
      </c>
      <c r="I33" s="471">
        <f t="shared" si="18"/>
        <v>0</v>
      </c>
      <c r="J33" s="471">
        <f t="shared" si="18"/>
        <v>298.91878863265572</v>
      </c>
      <c r="K33" s="471">
        <f t="shared" si="18"/>
        <v>0</v>
      </c>
      <c r="L33" s="471">
        <f t="shared" ca="1" si="18"/>
        <v>0</v>
      </c>
      <c r="M33" s="471">
        <f t="shared" si="18"/>
        <v>0</v>
      </c>
      <c r="N33" s="471">
        <f t="shared" ca="1" si="18"/>
        <v>0</v>
      </c>
      <c r="O33" s="471">
        <f t="shared" si="18"/>
        <v>0</v>
      </c>
      <c r="P33" s="471">
        <f t="shared" si="18"/>
        <v>0</v>
      </c>
      <c r="Q33" s="471">
        <f t="shared" ca="1" si="18"/>
        <v>267377.35611364461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11717.661567550795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6222.5</v>
      </c>
      <c r="D8" s="1037">
        <f>'SEAP template'!D76</f>
        <v>7314.9829282203946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1477.6265515005198</v>
      </c>
    </row>
    <row r="9" spans="1:16">
      <c r="A9" s="1040" t="s">
        <v>924</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13058.661567550795</v>
      </c>
      <c r="C10" s="1041">
        <f>SUM(C4:C9)</f>
        <v>6222.5</v>
      </c>
      <c r="D10" s="1041">
        <f t="shared" ref="D10:H10" si="0">SUM(D8:D9)</f>
        <v>7314.9829282203946</v>
      </c>
      <c r="E10" s="1041">
        <f t="shared" si="0"/>
        <v>0</v>
      </c>
      <c r="F10" s="1041">
        <f t="shared" si="0"/>
        <v>0</v>
      </c>
      <c r="G10" s="1041">
        <f t="shared" si="0"/>
        <v>0</v>
      </c>
      <c r="H10" s="1041">
        <f t="shared" si="0"/>
        <v>0</v>
      </c>
      <c r="I10" s="1041">
        <f>SUM(I8:I9)</f>
        <v>0</v>
      </c>
      <c r="J10" s="1041">
        <f>SUM(J8:J9)</f>
        <v>3831.4285714285716</v>
      </c>
      <c r="K10" s="1041">
        <f t="shared" ref="K10:L10" si="1">SUM(K8:K9)</f>
        <v>0</v>
      </c>
      <c r="L10" s="1041">
        <f t="shared" si="1"/>
        <v>0</v>
      </c>
      <c r="M10" s="1041">
        <f>SUM(M8:M9)</f>
        <v>0</v>
      </c>
      <c r="N10" s="1041">
        <f>SUM(N8:N9)</f>
        <v>0</v>
      </c>
      <c r="O10" s="1041">
        <f>SUM(O8:O9)</f>
        <v>0</v>
      </c>
      <c r="P10" s="1041">
        <f>SUM(P8:P9)</f>
        <v>1477.6265515005198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0.2132122979177643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9014.2857142857138</v>
      </c>
      <c r="D17" s="1038">
        <f>'SEAP template'!D87</f>
        <v>10596.921833684368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2140.5782104042423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9014.2857142857138</v>
      </c>
      <c r="D20" s="1041">
        <f t="shared" ref="D20:H20" si="2">SUM(D17:D19)</f>
        <v>10596.921833684368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2140.5782104042423</v>
      </c>
    </row>
    <row r="22" spans="1:16">
      <c r="A22" s="474" t="s">
        <v>932</v>
      </c>
      <c r="B22" s="778" t="s">
        <v>926</v>
      </c>
      <c r="C22" s="778">
        <f ca="1">'EF ele_warmte'!B22</f>
        <v>0.23746509465657206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0.2132122979177643</v>
      </c>
      <c r="C17" s="510">
        <f ca="1">'EF ele_warmte'!B22</f>
        <v>0.23746509465657206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2019-08-12T07:53:07Z</dcterms:modified>
</cp:coreProperties>
</file>