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D10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F8" i="56" l="1"/>
  <c r="F10" s="1"/>
  <c r="F78" i="14"/>
  <c r="E8" i="56"/>
  <c r="E10" s="1"/>
  <c r="N78" i="14"/>
  <c r="N8" i="56"/>
  <c r="N10" s="1"/>
  <c r="M78" i="14"/>
  <c r="M8" i="56"/>
  <c r="M10" s="1"/>
  <c r="J10" i="18"/>
  <c r="J76" i="14"/>
  <c r="P29" i="48"/>
  <c r="P27"/>
  <c r="P31"/>
  <c r="P25"/>
  <c r="Q14"/>
  <c r="P28"/>
  <c r="F90" i="14"/>
  <c r="E20" i="56"/>
  <c r="Q11" i="48"/>
  <c r="H78" i="14"/>
  <c r="H9" i="56"/>
  <c r="H10" s="1"/>
  <c r="Q87" i="14"/>
  <c r="P17" i="56"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L10"/>
  <c r="H20"/>
  <c r="G10"/>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Q78"/>
  <c r="B9" i="6" s="1"/>
  <c r="P9" i="56"/>
  <c r="P10" s="1"/>
  <c r="J90" i="14"/>
  <c r="J17" i="56"/>
  <c r="J20" s="1"/>
  <c r="B76" i="14"/>
  <c r="C76"/>
  <c r="C20" i="56"/>
  <c r="P20"/>
  <c r="C90" i="14"/>
  <c r="B87"/>
  <c r="B8" i="56" l="1"/>
  <c r="B10" s="1"/>
  <c r="B78" i="14"/>
  <c r="B4" i="6" s="1"/>
  <c r="C8" i="56"/>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28"/>
  <c r="D32"/>
  <c r="D24"/>
  <c r="D31"/>
  <c r="D29"/>
  <c r="L28"/>
  <c r="L32"/>
  <c r="L27"/>
  <c r="L31"/>
  <c r="L22"/>
  <c r="L29"/>
  <c r="L30"/>
  <c r="L24"/>
  <c r="P5"/>
  <c r="P23" s="1"/>
  <c r="Q10" i="14"/>
  <c r="K28" i="48"/>
  <c r="K32"/>
  <c r="K27"/>
  <c r="K31"/>
  <c r="K24"/>
  <c r="K25"/>
  <c r="K26"/>
  <c r="K29"/>
  <c r="K22"/>
  <c r="K30"/>
  <c r="J10" i="14"/>
  <c r="J16" s="1"/>
  <c r="J27" s="1"/>
  <c r="I5" i="48"/>
  <c r="J32"/>
  <c r="J30"/>
  <c r="J27"/>
  <c r="J31"/>
  <c r="J24"/>
  <c r="J28"/>
  <c r="J29"/>
  <c r="P4"/>
  <c r="Q11" i="14"/>
  <c r="B7" i="48"/>
  <c r="C24" i="14"/>
  <c r="C26" s="1"/>
  <c r="O4" i="48"/>
  <c r="P11" i="14"/>
  <c r="I32" i="48"/>
  <c r="I22"/>
  <c r="I31"/>
  <c r="I26"/>
  <c r="I29"/>
  <c r="I25"/>
  <c r="I27"/>
  <c r="I24"/>
  <c r="I28"/>
  <c r="I30"/>
  <c r="E11" i="14"/>
  <c r="D4" i="48"/>
  <c r="D22" s="1"/>
  <c r="H32"/>
  <c r="H25"/>
  <c r="H26"/>
  <c r="H29"/>
  <c r="H28"/>
  <c r="H24"/>
  <c r="H22"/>
  <c r="H30"/>
  <c r="H23"/>
  <c r="D11" i="14"/>
  <c r="C4" i="48"/>
  <c r="G32"/>
  <c r="G25"/>
  <c r="G26"/>
  <c r="G30"/>
  <c r="G24"/>
  <c r="G22"/>
  <c r="G29"/>
  <c r="G23"/>
  <c r="C11" i="14"/>
  <c r="B4" i="48"/>
  <c r="F30"/>
  <c r="F24"/>
  <c r="F28"/>
  <c r="F32"/>
  <c r="F27"/>
  <c r="F31"/>
  <c r="F29"/>
  <c r="N24"/>
  <c r="N32"/>
  <c r="N30"/>
  <c r="N28"/>
  <c r="N31"/>
  <c r="N27"/>
  <c r="N29"/>
  <c r="C19" i="14"/>
  <c r="B10" i="48"/>
  <c r="E32"/>
  <c r="E28"/>
  <c r="E24"/>
  <c r="E31"/>
  <c r="E29"/>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O22" i="48"/>
  <c r="K15"/>
  <c r="K23"/>
  <c r="K33" s="1"/>
  <c r="G11" i="14"/>
  <c r="F4" i="48"/>
  <c r="F22" s="1"/>
  <c r="H13"/>
  <c r="H31" s="1"/>
  <c r="I18" i="14"/>
  <c r="P8" i="48"/>
  <c r="P26" s="1"/>
  <c r="Q13" i="14"/>
  <c r="Q16" s="1"/>
  <c r="Q27" s="1"/>
  <c r="M32" i="48"/>
  <c r="M22"/>
  <c r="M24"/>
  <c r="M26"/>
  <c r="M25"/>
  <c r="M29"/>
  <c r="M30"/>
  <c r="M23"/>
  <c r="H18" i="14"/>
  <c r="G13" i="48"/>
  <c r="N18" i="14"/>
  <c r="M13" i="48"/>
  <c r="M31" s="1"/>
  <c r="J12" i="17"/>
  <c r="K54" i="14" s="1"/>
  <c r="K56" s="1"/>
  <c r="J7" i="48"/>
  <c r="J25" s="1"/>
  <c r="K24" i="14"/>
  <c r="K26" s="1"/>
  <c r="P15" i="48"/>
  <c r="P22"/>
  <c r="P33" s="1"/>
  <c r="I23"/>
  <c r="I33" s="1"/>
  <c r="I15"/>
  <c r="J46" i="14"/>
  <c r="J61" s="1"/>
  <c r="L63"/>
  <c r="L46"/>
  <c r="L61"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R18" i="14"/>
  <c r="K11"/>
  <c r="J4" i="48"/>
  <c r="M9"/>
  <c r="N20" i="14"/>
  <c r="E7" i="48"/>
  <c r="E25" s="1"/>
  <c r="F24" i="14"/>
  <c r="F26" s="1"/>
  <c r="G31" i="48"/>
  <c r="Q13"/>
  <c r="E9"/>
  <c r="E27" s="1"/>
  <c r="F20" i="14"/>
  <c r="F22" s="1"/>
  <c r="P13"/>
  <c r="O8" i="48"/>
  <c r="O26" s="1"/>
  <c r="N19" i="14"/>
  <c r="M10" i="48"/>
  <c r="M28" s="1"/>
  <c r="D9"/>
  <c r="D27" s="1"/>
  <c r="E20" i="14"/>
  <c r="E22" s="1"/>
  <c r="B9" i="48"/>
  <c r="C20" i="14"/>
  <c r="E12" i="17"/>
  <c r="F54" i="14" s="1"/>
  <c r="F56" s="1"/>
  <c r="N22"/>
  <c r="N27" s="1"/>
  <c r="H14" i="22"/>
  <c r="P16" i="14"/>
  <c r="P27" s="1"/>
  <c r="D16"/>
  <c r="D27" s="1"/>
  <c r="B20" i="6" s="1"/>
  <c r="B22" s="1"/>
  <c r="C22" i="56" s="1"/>
  <c r="O15" i="48"/>
  <c r="O33"/>
  <c r="D18" i="22"/>
  <c r="E50" i="14" s="1"/>
  <c r="E52" s="1"/>
  <c r="Q46"/>
  <c r="Q61" s="1"/>
  <c r="Q63"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G28" i="48"/>
  <c r="Q10"/>
  <c r="I20" i="14"/>
  <c r="I22" s="1"/>
  <c r="I27" s="1"/>
  <c r="H9" i="48"/>
  <c r="H20" i="14"/>
  <c r="H22" s="1"/>
  <c r="H27" s="1"/>
  <c r="G9" i="48"/>
  <c r="R20" i="14"/>
  <c r="C22"/>
  <c r="J22" i="48"/>
  <c r="K10" i="14"/>
  <c r="J5" i="48"/>
  <c r="J23" s="1"/>
  <c r="M27"/>
  <c r="M33" s="1"/>
  <c r="M15"/>
  <c r="E22"/>
  <c r="Q4"/>
  <c r="E5"/>
  <c r="E23" s="1"/>
  <c r="F10" i="14"/>
  <c r="N63"/>
  <c r="Q9" i="48"/>
  <c r="H18" i="22"/>
  <c r="I50" i="14" s="1"/>
  <c r="I52" s="1"/>
  <c r="I61" s="1"/>
  <c r="I63" s="1"/>
  <c r="R11"/>
  <c r="E46"/>
  <c r="E61" s="1"/>
  <c r="R19"/>
  <c r="R22"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G27" i="48"/>
  <c r="G33" s="1"/>
  <c r="G15"/>
  <c r="K13" i="14"/>
  <c r="J8" i="48"/>
  <c r="H27"/>
  <c r="H33" s="1"/>
  <c r="H15"/>
  <c r="F46" i="14"/>
  <c r="F61" s="1"/>
  <c r="K46"/>
  <c r="K61" s="1"/>
  <c r="C27"/>
  <c r="B3" i="6" s="1"/>
  <c r="B12" s="1"/>
  <c r="K16" i="14"/>
  <c r="K27" s="1"/>
  <c r="K63" s="1"/>
  <c r="Q5" i="48"/>
  <c r="E63" i="14"/>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J26"/>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<sst xmlns="http://schemas.openxmlformats.org/spreadsheetml/2006/main" count="2522" uniqueCount="963">
  <si>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</si>
  <si>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</si>
  <si>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</si>
  <si>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</si>
  <si>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</si>
  <si>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</si>
  <si>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</si>
  <si>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</si>
  <si>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</si>
  <si>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</si>
  <si>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</si>
  <si>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</si>
  <si>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</si>
  <si>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</si>
  <si>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</si>
  <si>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</si>
  <si>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</si>
  <si>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</si>
  <si>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</si>
  <si>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</si>
  <si>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</si>
  <si>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</si>
  <si>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</si>
  <si>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</si>
  <si>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</si>
  <si>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</si>
  <si>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</si>
  <si>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</si>
  <si>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</si>
  <si>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</si>
  <si>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</si>
  <si>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</si>
  <si>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</si>
  <si>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</si>
  <si>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</si>
  <si>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</si>
  <si>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</si>
  <si>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</si>
  <si>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</si>
  <si>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</si>
  <si>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</si>
  <si>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</si>
  <si>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</si>
  <si>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</si>
  <si>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</si>
  <si>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</si>
  <si>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</si>
  <si>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</si>
  <si>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</si>
  <si>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</si>
  <si>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</si>
  <si>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</si>
  <si>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</si>
  <si>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</si>
  <si>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</si>
  <si>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</si>
  <si>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</si>
  <si>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</si>
  <si>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</si>
  <si>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</si>
  <si>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</si>
  <si>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</si>
  <si>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</si>
  <si>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</si>
  <si>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</si>
  <si>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</si>
  <si>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</si>
  <si>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</si>
  <si>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</si>
  <si>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</si>
  <si>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</si>
  <si>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</si>
  <si>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</si>
  <si>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</si>
  <si>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</si>
  <si>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</si>
  <si>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</si>
  <si>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</si>
  <si>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</si>
  <si>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</si>
  <si>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</si>
  <si>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</si>
  <si>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</si>
  <si>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</si>
  <si>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</si>
  <si>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</si>
  <si>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</si>
  <si>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</si>
  <si>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</si>
  <si>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</si>
  <si>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</si>
  <si>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</si>
  <si>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</si>
  <si>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</si>
  <si>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</si>
  <si>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</si>
  <si>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</si>
  <si>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</si>
  <si>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</si>
  <si>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</si>
  <si>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</si>
  <si>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</si>
  <si>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</si>
  <si>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</si>
  <si>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</si>
  <si>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</si>
  <si>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</si>
  <si>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</si>
  <si>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</si>
  <si>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</si>
  <si>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</si>
  <si>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</si>
  <si>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</si>
  <si>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</si>
  <si>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</si>
  <si>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</si>
  <si>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</si>
  <si>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</si>
  <si>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</si>
  <si>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</si>
  <si>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</si>
  <si>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</si>
  <si>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</si>
  <si>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</si>
  <si>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</si>
  <si>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</si>
  <si>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</si>
  <si>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</si>
  <si>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</si>
  <si>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</si>
  <si>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</si>
  <si>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</si>
  <si>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</si>
  <si>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</si>
  <si>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</si>
  <si>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</si>
  <si>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</si>
  <si>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</si>
  <si>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</si>
  <si>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</si>
  <si>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</si>
  <si>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</si>
  <si>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</si>
  <si>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</si>
  <si>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</si>
  <si>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</si>
  <si>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</si>
  <si>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</si>
  <si>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</si>
  <si>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</si>
  <si>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</si>
  <si>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</si>
  <si>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</si>
  <si>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</si>
  <si>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</si>
  <si>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</si>
  <si>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</si>
  <si>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</si>
  <si>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</si>
  <si>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</si>
  <si>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</si>
  <si>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</si>
  <si>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</si>
  <si>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</si>
  <si>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</si>
  <si>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</si>
  <si>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</si>
  <si>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</si>
  <si>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</si>
  <si>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</si>
  <si>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</si>
  <si>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</si>
  <si>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</si>
  <si>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</si>
  <si>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</si>
  <si>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</si>
  <si>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</si>
  <si>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</si>
  <si>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</si>
  <si>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</si>
  <si>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</si>
  <si>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</si>
  <si>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</si>
  <si>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</si>
  <si>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</si>
  <si>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</si>
  <si>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</si>
  <si>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</si>
  <si>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</si>
  <si>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</si>
  <si>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</si>
  <si>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</si>
  <si>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</si>
  <si>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</si>
  <si>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</si>
  <si>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</si>
  <si>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</si>
  <si>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</si>
  <si>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</si>
  <si>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</si>
  <si>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</si>
  <si>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</si>
  <si>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</si>
  <si>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</si>
  <si>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</si>
  <si>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</si>
  <si>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</si>
  <si>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</si>
  <si>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</si>
  <si>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</si>
  <si>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</si>
  <si>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</si>
  <si>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</si>
  <si>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</si>
  <si>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</si>
  <si>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</si>
  <si>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</si>
  <si>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</si>
  <si>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</si>
  <si>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</si>
  <si>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</si>
  <si>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</si>
  <si>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</si>
  <si>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</si>
  <si>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</si>
  <si>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</si>
  <si>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</si>
  <si>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</si>
  <si>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</si>
  <si>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</si>
  <si>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</si>
  <si>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</si>
  <si>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</si>
  <si>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</si>
  <si>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</si>
  <si>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</si>
  <si>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</si>
  <si>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</si>
  <si>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</si>
  <si>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</si>
  <si>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</si>
  <si>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</si>
  <si>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</si>
  <si>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</si>
  <si>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</si>
  <si>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</si>
  <si>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</si>
  <si>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</si>
  <si>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</si>
  <si>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</si>
  <si>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</si>
  <si>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</si>
  <si>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</si>
  <si>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</si>
  <si>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</si>
  <si>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</si>
  <si>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</si>
  <si>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</si>
  <si>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</si>
  <si>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</si>
  <si>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</si>
  <si>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</si>
  <si>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</si>
  <si>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</si>
  <si>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</si>
  <si>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</si>
  <si>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</si>
  <si>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</si>
  <si>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</si>
  <si>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</si>
  <si>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</si>
  <si>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</si>
  <si>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</si>
  <si>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</si>
  <si>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</si>
  <si>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</si>
  <si>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</si>
  <si>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</si>
  <si>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</si>
  <si>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</si>
  <si>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</si>
  <si>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</si>
  <si>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</si>
  <si>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</si>
  <si>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</si>
  <si>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</si>
  <si>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</si>
  <si>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</si>
  <si>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</si>
  <si>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</si>
  <si>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</si>
  <si>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</si>
  <si>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</si>
  <si>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</si>
  <si>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</si>
  <si>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</si>
  <si>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</si>
  <si>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</si>
  <si>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</si>
  <si>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</si>
  <si>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</si>
  <si>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</si>
  <si>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</si>
  <si>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</si>
  <si>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</si>
  <si>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</si>
  <si>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</si>
  <si>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</si>
  <si>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</si>
  <si>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</si>
  <si>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</si>
  <si>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</si>
  <si>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</si>
  <si>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</si>
  <si>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</si>
  <si>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</si>
  <si>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</si>
  <si>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</si>
  <si>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</si>
  <si>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</si>
  <si>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</si>
  <si>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</si>
  <si>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</si>
  <si>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</si>
  <si>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</si>
  <si>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</si>
  <si>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</si>
  <si>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</si>
  <si>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</si>
  <si>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</si>
  <si>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</si>
  <si>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</si>
  <si>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</si>
  <si>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</si>
  <si>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</si>
  <si>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</si>
  <si>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</si>
  <si>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</si>
  <si>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</si>
  <si>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</si>
  <si>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</si>
  <si>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</si>
  <si>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</si>
  <si>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</si>
  <si>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</si>
  <si>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</si>
  <si>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</si>
  <si>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</si>
  <si>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</si>
  <si>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</si>
  <si>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</si>
  <si>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</si>
  <si>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</si>
  <si>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</si>
  <si>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</si>
  <si>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</si>
  <si>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</si>
  <si>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</si>
  <si>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</si>
  <si>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</si>
  <si>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</si>
  <si>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</si>
  <si>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</si>
  <si>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</si>
  <si>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</si>
  <si>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</si>
  <si>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</si>
  <si>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</si>
  <si>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</si>
  <si>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</si>
  <si>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</si>
  <si>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</si>
  <si>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</si>
  <si>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</si>
  <si>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</si>
  <si>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</si>
  <si>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</si>
  <si>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</si>
  <si>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</si>
  <si>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</si>
  <si>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</si>
  <si>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</si>
  <si>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</si>
  <si>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</si>
  <si>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</si>
  <si>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</si>
  <si>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</si>
  <si>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</si>
  <si>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</si>
  <si>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</si>
  <si>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</si>
  <si>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</si>
  <si>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</si>
  <si>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</si>
  <si>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</si>
  <si>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</si>
  <si>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</si>
  <si>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</si>
  <si>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</si>
  <si>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</si>
  <si>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</si>
  <si>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</si>
  <si>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</si>
  <si>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</si>
  <si>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</si>
  <si>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</si>
  <si>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</si>
  <si>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</si>
  <si>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</si>
  <si>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</si>
  <si>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</si>
  <si>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</si>
  <si>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</si>
  <si>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</si>
  <si>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</si>
  <si>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</si>
  <si>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</si>
  <si>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</si>
  <si>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</si>
  <si>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</si>
  <si>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</si>
  <si>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</si>
  <si>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</si>
  <si>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</si>
  <si>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</si>
  <si>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</si>
  <si>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</si>
  <si>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</si>
  <si>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</si>
  <si>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</si>
  <si>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</si>
  <si>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</si>
  <si>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</si>
  <si>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</si>
  <si>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</si>
  <si>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</si>
  <si>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</si>
  <si>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</si>
  <si>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</si>
  <si>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</si>
  <si>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</si>
  <si>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</si>
  <si>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</si>
  <si>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</si>
  <si>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</si>
  <si>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</si>
  <si>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</si>
  <si>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</si>
  <si>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</si>
  <si>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</si>
  <si>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</si>
  <si>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</si>
  <si>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</si>
  <si>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</si>
  <si>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</si>
  <si>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</si>
  <si>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</si>
  <si>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</si>
  <si>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</si>
  <si>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</si>
  <si>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</si>
  <si>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</si>
  <si>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</si>
  <si>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</si>
  <si>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</si>
  <si>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</si>
  <si>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</si>
  <si>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</si>
  <si>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</si>
  <si>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</si>
  <si>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</si>
  <si>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</si>
  <si>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</si>
  <si>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</si>
  <si>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</si>
  <si>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</si>
  <si>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</si>
  <si>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</si>
  <si>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</si>
  <si>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</si>
  <si>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</si>
  <si>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</si>
  <si>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</si>
  <si>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</si>
  <si>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</si>
  <si>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</si>
  <si>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</si>
  <si>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</si>
  <si>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</si>
  <si>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</si>
  <si>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</si>
  <si>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</si>
  <si>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</si>
  <si>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</si>
  <si>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</si>
  <si>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</si>
  <si>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</si>
  <si>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</si>
  <si>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</si>
  <si>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</si>
  <si>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</si>
  <si>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</si>
  <si>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</si>
  <si>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</si>
  <si>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</si>
  <si>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</si>
  <si>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</si>
  <si>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</si>
  <si>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</si>
  <si>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</si>
  <si>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</si>
  <si>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</si>
  <si>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</si>
  <si>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</si>
  <si>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</si>
  <si>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</si>
  <si>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</si>
  <si>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</si>
  <si>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</si>
  <si>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</si>
  <si>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</si>
  <si>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</si>
  <si>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</si>
  <si>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</si>
  <si>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</si>
  <si>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</si>
  <si>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</si>
  <si>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</si>
  <si>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</si>
  <si>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</si>
  <si>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</si>
  <si>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</si>
  <si>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</si>
  <si>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</si>
  <si>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</si>
  <si>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</si>
  <si>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</si>
  <si>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</si>
  <si>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</si>
  <si>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</si>
  <si>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</si>
  <si>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</si>
  <si>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</si>
  <si>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</si>
  <si>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</si>
  <si>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</si>
  <si>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</si>
  <si>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</si>
  <si>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</si>
  <si>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</si>
  <si>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</si>
  <si>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</si>
  <si>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</si>
  <si>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</si>
  <si>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</si>
  <si>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</si>
  <si>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</si>
  <si>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</si>
  <si>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</si>
  <si>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</si>
  <si>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</si>
  <si>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</si>
  <si>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</si>
  <si>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</si>
  <si>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</si>
  <si>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</si>
  <si>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</si>
  <si>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</si>
  <si>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</si>
  <si>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</si>
  <si>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</si>
  <si>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</si>
  <si>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</si>
  <si>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</si>
  <si>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</si>
  <si>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</si>
  <si>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</si>
  <si>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</si>
  <si>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</si>
  <si>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</si>
  <si>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</si>
  <si>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</si>
  <si>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</si>
  <si>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</si>
  <si>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</si>
  <si>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</si>
  <si>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</si>
  <si>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</si>
  <si>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</si>
  <si>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</si>
  <si>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</si>
  <si>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</si>
  <si>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</si>
  <si>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</si>
  <si>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</si>
  <si>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</si>
  <si>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</si>
  <si>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</si>
  <si>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</si>
  <si>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</si>
  <si>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</si>
  <si>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</si>
  <si>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</si>
  <si>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</si>
  <si>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</si>
  <si>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</si>
  <si>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</si>
  <si>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</si>
  <si>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</si>
  <si>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</si>
  <si>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</si>
  <si>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</si>
  <si>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</si>
  <si>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</si>
  <si>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</si>
  <si>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</si>
  <si>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</si>
  <si>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</si>
  <si>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</si>
  <si>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</si>
  <si>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</si>
  <si>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</si>
  <si>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</si>
  <si>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</si>
  <si>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</si>
  <si>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</si>
  <si>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</si>
  <si>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</si>
  <si>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</si>
  <si>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</si>
  <si>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</si>
  <si>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</si>
  <si>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</si>
  <si>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</si>
  <si>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</si>
  <si>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</si>
  <si>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</si>
  <si>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</si>
  <si>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</si>
  <si>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</si>
  <si>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</si>
  <si>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</si>
  <si>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</si>
  <si>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</si>
  <si>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</si>
  <si>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</si>
  <si>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</si>
  <si>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</si>
  <si>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</si>
  <si>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</si>
  <si>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</si>
  <si>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</si>
  <si>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</si>
  <si>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</si>
  <si>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</si>
  <si>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</si>
  <si>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</si>
  <si>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</si>
  <si>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</si>
  <si>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</si>
  <si>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</si>
  <si>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</si>
  <si>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</si>
  <si>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</si>
  <si>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</si>
  <si>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</si>
  <si>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</si>
  <si>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</si>
  <si>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</si>
  <si>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</si>
  <si>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</si>
  <si>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</si>
  <si>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</si>
  <si>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</si>
  <si>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</si>
  <si>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</si>
  <si>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</si>
  <si>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</si>
  <si>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</si>
  <si>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</si>
  <si>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</si>
  <si>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</si>
  <si>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</si>
  <si>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</si>
  <si>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</si>
  <si>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</si>
  <si>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</si>
  <si>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</si>
  <si>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</si>
  <si>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</si>
  <si>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</si>
  <si>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</si>
  <si>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</si>
  <si>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</si>
  <si>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</si>
  <si>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</si>
  <si>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</si>
  <si>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</si>
  <si>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</si>
  <si>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</si>
  <si>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</si>
  <si>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</si>
  <si>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</si>
  <si>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</si>
  <si>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</si>
  <si>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</si>
  <si>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</si>
  <si>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</si>
  <si>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</si>
  <si>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</si>
  <si>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</si>
  <si>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</si>
  <si>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</si>
  <si>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</si>
  <si>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</si>
  <si>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</si>
  <si>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</si>
  <si>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</si>
  <si>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</si>
  <si>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</si>
  <si>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</si>
  <si>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</si>
  <si>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</si>
  <si>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</si>
  <si>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</si>
  <si>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</si>
  <si>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</si>
  <si>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</si>
  <si>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</si>
  <si>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</si>
  <si>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</si>
  <si>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</si>
  <si>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</si>
  <si>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</si>
  <si>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</si>
  <si>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</si>
  <si>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</si>
  <si>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</si>
  <si>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</si>
  <si>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</si>
  <si>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</si>
  <si>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</si>
  <si>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</si>
  <si>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</si>
  <si>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</si>
  <si>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</si>
  <si>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</si>
  <si>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</si>
  <si>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</si>
  <si>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</si>
  <si>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</si>
  <si>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</si>
  <si>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</si>
  <si>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</si>
  <si>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</si>
  <si>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</si>
  <si>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</si>
  <si>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</si>
  <si>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</si>
  <si>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</si>
  <si>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</si>
  <si>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</si>
  <si>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</si>
  <si>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</si>
  <si>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</si>
  <si>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</si>
  <si>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</si>
  <si>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</si>
  <si>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</si>
  <si>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</si>
  <si>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</si>
  <si>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</si>
  <si>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</si>
  <si>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</si>
  <si>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</si>
  <si>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</si>
  <si>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</si>
  <si>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</si>
  <si>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</si>
  <si>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</si>
  <si>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</si>
  <si>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</si>
  <si>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</si>
  <si>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</si>
  <si>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</si>
  <si>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</si>
  <si>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</si>
  <si>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</si>
  <si>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</si>
  <si>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</si>
  <si>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</si>
  <si>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</si>
  <si>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</si>
  <si>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</si>
  <si>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</si>
  <si>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</si>
  <si>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</si>
  <si>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</si>
  <si>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</si>
  <si>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</si>
  <si>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</si>
  <si>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</si>
  <si>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</si>
  <si>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</si>
  <si>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</si>
  <si>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</si>
  <si>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</si>
  <si>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</si>
  <si>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</si>
  <si>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</si>
  <si>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</si>
  <si>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</si>
  <si>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</si>
  <si>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</si>
  <si>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</si>
  <si>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</si>
  <si>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</si>
  <si>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</si>
  <si>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</si>
  <si>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</si>
  <si>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</si>
  <si>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</si>
  <si>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</si>
  <si>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</si>
  <si>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</si>
  <si>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</si>
  <si>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</si>
  <si>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</si>
  <si>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</si>
  <si>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</si>
  <si>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</si>
  <si>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</si>
  <si>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</si>
  <si>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</si>
  <si>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</si>
  <si>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</si>
  <si>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</si>
  <si>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</si>
  <si>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</si>
  <si>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</si>
  <si>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</si>
  <si>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</si>
  <si>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</si>
  <si>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</si>
  <si>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</si>
  <si>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</si>
  <si>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</si>
  <si>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</si>
  <si>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</si>
  <si>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</si>
  <si>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</si>
  <si>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</si>
  <si>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</si>
  <si>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</si>
  <si>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</si>
  <si>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</si>
  <si>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</si>
  <si>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</si>
  <si>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</si>
  <si>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</si>
  <si>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</si>
  <si>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</si>
  <si>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</si>
  <si>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</si>
  <si>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</si>
  <si>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</si>
  <si>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</si>
  <si>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</si>
  <si>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</si>
  <si>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</si>
  <si>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</si>
  <si>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</si>
  <si>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</si>
  <si>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</si>
  <si>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</si>
  <si>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</si>
  <si>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</si>
  <si>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</si>
  <si>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</si>
  <si>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</si>
  <si>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</si>
  <si>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</si>
  <si>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</si>
  <si>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</si>
  <si>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</si>
  <si>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</si>
  <si>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</si>
  <si>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</si>
  <si>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</si>
  <si>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</si>
  <si>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</si>
  <si>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</si>
  <si>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</si>
  <si>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</si>
  <si>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</si>
  <si>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</si>
  <si>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</si>
  <si>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</si>
  <si>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</si>
  <si>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</si>
  <si>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</si>
  <si>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</si>
  <si>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</si>
  <si>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</si>
  <si>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</si>
  <si>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</si>
  <si>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</si>
  <si>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</si>
  <si>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</si>
  <si>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</si>
  <si>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</si>
  <si>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</si>
  <si>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</si>
  <si>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</si>
  <si>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</si>
  <si>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</si>
  <si>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</si>
  <si>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</si>
  <si>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</si>
  <si>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</si>
  <si>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</si>
  <si>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</si>
  <si>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</si>
  <si>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</si>
  <si>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</si>
  <si>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</si>
  <si>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</si>
  <si>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</si>
  <si>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</si>
  <si>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</si>
  <si>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</si>
  <si>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</si>
  <si>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</si>
  <si>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</si>
  <si>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</si>
  <si>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</si>
  <si>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</si>
  <si>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</si>
  <si>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</si>
  <si>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</si>
  <si>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</si>
  <si>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</si>
  <si>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13021</t>
  </si>
  <si>
    <t>MEERHOUT</t>
  </si>
  <si>
    <t>Paarden&amp;pony's 200 - 600 kg</t>
  </si>
  <si>
    <t>Paarden&amp;pony's &lt; 200 kg</t>
  </si>
  <si>
    <t>op basis van VEA (maart 2018) en Inventaris Hernieuwbare Energiebronnen (juni 2018)</t>
  </si>
  <si>
    <t>VEA (juni 2018)</t>
  </si>
  <si>
    <t>Jos Coenen</t>
  </si>
  <si>
    <t>Pater van Clé straat 12 , 2450 Meerhout</t>
  </si>
  <si>
    <t>WKK-0334 Jos Coenen</t>
  </si>
  <si>
    <t>stirlingmotor</t>
  </si>
  <si>
    <t>IVEKA</t>
  </si>
  <si>
    <t>Biogas Boonen BVBA</t>
  </si>
  <si>
    <t>De Donken 10 , 2450 Meerhout</t>
  </si>
  <si>
    <t>WKK-0376 Biogas Boonen</t>
  </si>
  <si>
    <t>interne verbrandingsmotor</t>
  </si>
  <si>
    <t>WKK interne verbrandinsgmotor (gas)</t>
  </si>
  <si>
    <t>Biolectric nv</t>
  </si>
  <si>
    <t>Jan de Malschelaan 4 B, 9140 Temse</t>
  </si>
  <si>
    <t>WKK-0439 Marien</t>
  </si>
  <si>
    <t>Genelaar 103-105 , 2450 Meerhout</t>
  </si>
  <si>
    <t>WKK-0563 Biogas Boonen B</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</si>
</sst>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13021</v>
      </c>
      <c r="B6" s="397"/>
      <c r="C6" s="398"/>
    </row>
    <row r="7" spans="1:7" s="395" customFormat="1" ht="15.75" customHeight="1">
      <c r="A7" s="399" t="str">
        <f>txtMunicipality</f>
        <v>MEERHOUT</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0.12048499961120801</v>
      </c>
      <c r="C17" s="510">
        <f ca="1">'EF ele_warmte'!B22</f>
        <v>6.5004171943850006E-4</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0.12048499961120801</v>
      </c>
      <c r="C29" s="511">
        <f ca="1">'EF ele_warmte'!B22</f>
        <v>6.5004171943850006E-4</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13021</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4077</v>
      </c>
      <c r="C9" s="338">
        <v>4393</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1737</v>
      </c>
    </row>
    <row r="15" spans="1:6">
      <c r="A15" s="1286" t="s">
        <v>184</v>
      </c>
      <c r="B15" s="335">
        <v>1738</v>
      </c>
    </row>
    <row r="16" spans="1:6">
      <c r="A16" s="1286" t="s">
        <v>6</v>
      </c>
      <c r="B16" s="335">
        <v>2224</v>
      </c>
    </row>
    <row r="17" spans="1:6">
      <c r="A17" s="1286" t="s">
        <v>7</v>
      </c>
      <c r="B17" s="335">
        <v>132</v>
      </c>
    </row>
    <row r="18" spans="1:6">
      <c r="A18" s="1286" t="s">
        <v>8</v>
      </c>
      <c r="B18" s="335">
        <v>1268</v>
      </c>
    </row>
    <row r="19" spans="1:6">
      <c r="A19" s="1286" t="s">
        <v>9</v>
      </c>
      <c r="B19" s="335">
        <v>1039</v>
      </c>
    </row>
    <row r="20" spans="1:6">
      <c r="A20" s="1286" t="s">
        <v>10</v>
      </c>
      <c r="B20" s="335">
        <v>710</v>
      </c>
    </row>
    <row r="21" spans="1:6">
      <c r="A21" s="1286" t="s">
        <v>11</v>
      </c>
      <c r="B21" s="335">
        <v>0</v>
      </c>
    </row>
    <row r="22" spans="1:6">
      <c r="A22" s="1286" t="s">
        <v>12</v>
      </c>
      <c r="B22" s="335">
        <v>3308</v>
      </c>
    </row>
    <row r="23" spans="1:6">
      <c r="A23" s="1286" t="s">
        <v>13</v>
      </c>
      <c r="B23" s="335">
        <v>0</v>
      </c>
    </row>
    <row r="24" spans="1:6">
      <c r="A24" s="1286" t="s">
        <v>14</v>
      </c>
      <c r="B24" s="335">
        <v>0</v>
      </c>
    </row>
    <row r="25" spans="1:6">
      <c r="A25" s="1286" t="s">
        <v>15</v>
      </c>
      <c r="B25" s="335">
        <v>0</v>
      </c>
    </row>
    <row r="26" spans="1:6">
      <c r="A26" s="1286" t="s">
        <v>16</v>
      </c>
      <c r="B26" s="335">
        <v>264</v>
      </c>
    </row>
    <row r="27" spans="1:6">
      <c r="A27" s="1286" t="s">
        <v>17</v>
      </c>
      <c r="B27" s="335">
        <v>2</v>
      </c>
    </row>
    <row r="28" spans="1:6" s="341" customFormat="1">
      <c r="A28" s="1287" t="s">
        <v>18</v>
      </c>
      <c r="B28" s="1287">
        <v>80449</v>
      </c>
    </row>
    <row r="29" spans="1:6">
      <c r="A29" s="1287" t="s">
        <v>944</v>
      </c>
      <c r="B29" s="1287">
        <v>189</v>
      </c>
      <c r="C29" s="341"/>
      <c r="D29" s="341"/>
      <c r="E29" s="341"/>
      <c r="F29" s="341"/>
    </row>
    <row r="30" spans="1:6">
      <c r="A30" s="1282" t="s">
        <v>945</v>
      </c>
      <c r="B30" s="1282">
        <v>26</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1</v>
      </c>
      <c r="D38" s="335">
        <v>158550.34150059399</v>
      </c>
      <c r="E38" s="335">
        <v>3</v>
      </c>
      <c r="F38" s="335">
        <v>7411.2355657873004</v>
      </c>
    </row>
    <row r="39" spans="1:6">
      <c r="A39" s="1286" t="s">
        <v>30</v>
      </c>
      <c r="B39" s="1286" t="s">
        <v>31</v>
      </c>
      <c r="C39" s="335">
        <v>1903</v>
      </c>
      <c r="D39" s="335">
        <v>34122611.632377602</v>
      </c>
      <c r="E39" s="335">
        <v>4041</v>
      </c>
      <c r="F39" s="335">
        <v>15112776.7808793</v>
      </c>
    </row>
    <row r="40" spans="1:6">
      <c r="A40" s="1286" t="s">
        <v>30</v>
      </c>
      <c r="B40" s="1286" t="s">
        <v>29</v>
      </c>
      <c r="C40" s="335">
        <v>0</v>
      </c>
      <c r="D40" s="335">
        <v>0</v>
      </c>
      <c r="E40" s="335">
        <v>0</v>
      </c>
      <c r="F40" s="335">
        <v>0</v>
      </c>
    </row>
    <row r="41" spans="1:6">
      <c r="A41" s="1286" t="s">
        <v>32</v>
      </c>
      <c r="B41" s="1286" t="s">
        <v>33</v>
      </c>
      <c r="C41" s="335">
        <v>12</v>
      </c>
      <c r="D41" s="335">
        <v>294067.26659192803</v>
      </c>
      <c r="E41" s="335">
        <v>57</v>
      </c>
      <c r="F41" s="335">
        <v>357995.931878409</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7</v>
      </c>
      <c r="F44" s="335">
        <v>770178.06201037997</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22</v>
      </c>
      <c r="D48" s="335">
        <v>1201888.50139151</v>
      </c>
      <c r="E48" s="335">
        <v>36</v>
      </c>
      <c r="F48" s="335">
        <v>1288682.52272078</v>
      </c>
    </row>
    <row r="49" spans="1:6">
      <c r="A49" s="1286" t="s">
        <v>32</v>
      </c>
      <c r="B49" s="1286" t="s">
        <v>40</v>
      </c>
      <c r="C49" s="335">
        <v>0</v>
      </c>
      <c r="D49" s="335">
        <v>0</v>
      </c>
      <c r="E49" s="335">
        <v>0</v>
      </c>
      <c r="F49" s="335">
        <v>0</v>
      </c>
    </row>
    <row r="50" spans="1:6">
      <c r="A50" s="1286" t="s">
        <v>32</v>
      </c>
      <c r="B50" s="1286" t="s">
        <v>41</v>
      </c>
      <c r="C50" s="335">
        <v>0</v>
      </c>
      <c r="D50" s="335">
        <v>0</v>
      </c>
      <c r="E50" s="335">
        <v>8</v>
      </c>
      <c r="F50" s="335">
        <v>257535.30486886899</v>
      </c>
    </row>
    <row r="51" spans="1:6">
      <c r="A51" s="1286" t="s">
        <v>42</v>
      </c>
      <c r="B51" s="1286" t="s">
        <v>43</v>
      </c>
      <c r="C51" s="335">
        <v>0</v>
      </c>
      <c r="D51" s="335">
        <v>0</v>
      </c>
      <c r="E51" s="335">
        <v>60</v>
      </c>
      <c r="F51" s="335">
        <v>1208216.91318925</v>
      </c>
    </row>
    <row r="52" spans="1:6">
      <c r="A52" s="1286" t="s">
        <v>42</v>
      </c>
      <c r="B52" s="1286" t="s">
        <v>29</v>
      </c>
      <c r="C52" s="335">
        <v>7</v>
      </c>
      <c r="D52" s="335">
        <v>103383.039023819</v>
      </c>
      <c r="E52" s="335">
        <v>4</v>
      </c>
      <c r="F52" s="335">
        <v>42282.145850361601</v>
      </c>
    </row>
    <row r="53" spans="1:6">
      <c r="A53" s="1286" t="s">
        <v>44</v>
      </c>
      <c r="B53" s="1286" t="s">
        <v>45</v>
      </c>
      <c r="C53" s="335">
        <v>33</v>
      </c>
      <c r="D53" s="335">
        <v>1347075.84223887</v>
      </c>
      <c r="E53" s="335">
        <v>100</v>
      </c>
      <c r="F53" s="335">
        <v>514659.87543067802</v>
      </c>
    </row>
    <row r="54" spans="1:6">
      <c r="A54" s="1286" t="s">
        <v>46</v>
      </c>
      <c r="B54" s="1286" t="s">
        <v>47</v>
      </c>
      <c r="C54" s="335">
        <v>0</v>
      </c>
      <c r="D54" s="335">
        <v>0</v>
      </c>
      <c r="E54" s="335">
        <v>1</v>
      </c>
      <c r="F54" s="335">
        <v>419144</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10</v>
      </c>
      <c r="D57" s="335">
        <v>190920.383325095</v>
      </c>
      <c r="E57" s="335">
        <v>76</v>
      </c>
      <c r="F57" s="335">
        <v>808834.83484461904</v>
      </c>
    </row>
    <row r="58" spans="1:6">
      <c r="A58" s="1286" t="s">
        <v>49</v>
      </c>
      <c r="B58" s="1286" t="s">
        <v>51</v>
      </c>
      <c r="C58" s="335">
        <v>0</v>
      </c>
      <c r="D58" s="335">
        <v>0</v>
      </c>
      <c r="E58" s="335">
        <v>8</v>
      </c>
      <c r="F58" s="335">
        <v>291777.06474245602</v>
      </c>
    </row>
    <row r="59" spans="1:6">
      <c r="A59" s="1286" t="s">
        <v>49</v>
      </c>
      <c r="B59" s="1286" t="s">
        <v>52</v>
      </c>
      <c r="C59" s="335">
        <v>24</v>
      </c>
      <c r="D59" s="335">
        <v>1210468.0865605399</v>
      </c>
      <c r="E59" s="335">
        <v>76</v>
      </c>
      <c r="F59" s="335">
        <v>2247209.6403551102</v>
      </c>
    </row>
    <row r="60" spans="1:6">
      <c r="A60" s="1286" t="s">
        <v>49</v>
      </c>
      <c r="B60" s="1286" t="s">
        <v>53</v>
      </c>
      <c r="C60" s="335">
        <v>21</v>
      </c>
      <c r="D60" s="335">
        <v>1038753.44422719</v>
      </c>
      <c r="E60" s="335">
        <v>41</v>
      </c>
      <c r="F60" s="335">
        <v>992509.77365365101</v>
      </c>
    </row>
    <row r="61" spans="1:6">
      <c r="A61" s="1286" t="s">
        <v>49</v>
      </c>
      <c r="B61" s="1286" t="s">
        <v>54</v>
      </c>
      <c r="C61" s="335">
        <v>49</v>
      </c>
      <c r="D61" s="335">
        <v>2411800.1734571499</v>
      </c>
      <c r="E61" s="335">
        <v>118</v>
      </c>
      <c r="F61" s="335">
        <v>21511792.065318901</v>
      </c>
    </row>
    <row r="62" spans="1:6">
      <c r="A62" s="1286" t="s">
        <v>49</v>
      </c>
      <c r="B62" s="1286" t="s">
        <v>55</v>
      </c>
      <c r="C62" s="335">
        <v>4</v>
      </c>
      <c r="D62" s="335">
        <v>217108.234592989</v>
      </c>
      <c r="E62" s="335">
        <v>5</v>
      </c>
      <c r="F62" s="335">
        <v>86228.295393420005</v>
      </c>
    </row>
    <row r="63" spans="1:6">
      <c r="A63" s="1286" t="s">
        <v>49</v>
      </c>
      <c r="B63" s="1286" t="s">
        <v>29</v>
      </c>
      <c r="C63" s="335">
        <v>71</v>
      </c>
      <c r="D63" s="335">
        <v>13207916.213577799</v>
      </c>
      <c r="E63" s="335">
        <v>86</v>
      </c>
      <c r="F63" s="335">
        <v>1957666.1127657101</v>
      </c>
    </row>
    <row r="64" spans="1:6">
      <c r="A64" s="1286" t="s">
        <v>56</v>
      </c>
      <c r="B64" s="1286" t="s">
        <v>57</v>
      </c>
      <c r="C64" s="335">
        <v>0</v>
      </c>
      <c r="D64" s="335">
        <v>0</v>
      </c>
      <c r="E64" s="335">
        <v>0</v>
      </c>
      <c r="F64" s="335">
        <v>0</v>
      </c>
    </row>
    <row r="65" spans="1:6">
      <c r="A65" s="1286" t="s">
        <v>56</v>
      </c>
      <c r="B65" s="1286" t="s">
        <v>29</v>
      </c>
      <c r="C65" s="335">
        <v>1</v>
      </c>
      <c r="D65" s="335">
        <v>31660.038137564199</v>
      </c>
      <c r="E65" s="335">
        <v>1</v>
      </c>
      <c r="F65" s="335">
        <v>11771.035398415999</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5</v>
      </c>
      <c r="F68" s="335">
        <v>38829.650953447701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50531010</v>
      </c>
      <c r="E73" s="335">
        <v>59953451.974507272</v>
      </c>
    </row>
    <row r="74" spans="1:6">
      <c r="A74" s="1286" t="s">
        <v>64</v>
      </c>
      <c r="B74" s="1286" t="s">
        <v>772</v>
      </c>
      <c r="C74" s="1297" t="s">
        <v>766</v>
      </c>
      <c r="D74" s="335">
        <v>1617462.2399588425</v>
      </c>
      <c r="E74" s="335">
        <v>2141529.480655848</v>
      </c>
    </row>
    <row r="75" spans="1:6">
      <c r="A75" s="1286" t="s">
        <v>65</v>
      </c>
      <c r="B75" s="1286" t="s">
        <v>771</v>
      </c>
      <c r="C75" s="1297" t="s">
        <v>767</v>
      </c>
      <c r="D75" s="335">
        <v>7576388</v>
      </c>
      <c r="E75" s="335">
        <v>9056888.2576400284</v>
      </c>
    </row>
    <row r="76" spans="1:6">
      <c r="A76" s="1286" t="s">
        <v>65</v>
      </c>
      <c r="B76" s="1286" t="s">
        <v>772</v>
      </c>
      <c r="C76" s="1297" t="s">
        <v>768</v>
      </c>
      <c r="D76" s="335">
        <v>522662.23995884258</v>
      </c>
      <c r="E76" s="335">
        <v>725011.42172522785</v>
      </c>
    </row>
    <row r="77" spans="1:6">
      <c r="A77" s="1286" t="s">
        <v>66</v>
      </c>
      <c r="B77" s="1286" t="s">
        <v>771</v>
      </c>
      <c r="C77" s="1297" t="s">
        <v>769</v>
      </c>
      <c r="D77" s="335">
        <v>28575097</v>
      </c>
      <c r="E77" s="335">
        <v>34489560.665670589</v>
      </c>
    </row>
    <row r="78" spans="1:6">
      <c r="A78" s="1282" t="s">
        <v>66</v>
      </c>
      <c r="B78" s="1282" t="s">
        <v>772</v>
      </c>
      <c r="C78" s="1282" t="s">
        <v>770</v>
      </c>
      <c r="D78" s="1282">
        <v>6627026</v>
      </c>
      <c r="E78" s="1282">
        <v>7506235.7742999205</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182955.52008231488</v>
      </c>
      <c r="C83" s="335">
        <v>172223.61715852589</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14899.208449506163</v>
      </c>
    </row>
    <row r="91" spans="1:6">
      <c r="A91" s="1286" t="s">
        <v>68</v>
      </c>
      <c r="B91" s="335">
        <v>2425.7055280372524</v>
      </c>
    </row>
    <row r="92" spans="1:6">
      <c r="A92" s="1282" t="s">
        <v>69</v>
      </c>
      <c r="B92" s="338">
        <v>1731.4845719850596</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823</v>
      </c>
    </row>
    <row r="98" spans="1:6">
      <c r="A98" s="1286" t="s">
        <v>72</v>
      </c>
      <c r="B98" s="335">
        <v>2</v>
      </c>
    </row>
    <row r="99" spans="1:6">
      <c r="A99" s="1286" t="s">
        <v>73</v>
      </c>
      <c r="B99" s="335">
        <v>34</v>
      </c>
    </row>
    <row r="100" spans="1:6">
      <c r="A100" s="1286" t="s">
        <v>74</v>
      </c>
      <c r="B100" s="335">
        <v>92</v>
      </c>
    </row>
    <row r="101" spans="1:6">
      <c r="A101" s="1286" t="s">
        <v>75</v>
      </c>
      <c r="B101" s="335">
        <v>58</v>
      </c>
    </row>
    <row r="102" spans="1:6">
      <c r="A102" s="1286" t="s">
        <v>76</v>
      </c>
      <c r="B102" s="335">
        <v>26</v>
      </c>
    </row>
    <row r="103" spans="1:6">
      <c r="A103" s="1286" t="s">
        <v>77</v>
      </c>
      <c r="B103" s="335">
        <v>149</v>
      </c>
    </row>
    <row r="104" spans="1:6">
      <c r="A104" s="1286" t="s">
        <v>78</v>
      </c>
      <c r="B104" s="335">
        <v>2312</v>
      </c>
    </row>
    <row r="105" spans="1:6">
      <c r="A105" s="1282" t="s">
        <v>79</v>
      </c>
      <c r="B105" s="1282">
        <v>0</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7</v>
      </c>
      <c r="C123" s="335">
        <v>5</v>
      </c>
    </row>
    <row r="124" spans="1:6">
      <c r="A124" s="1282" t="s">
        <v>89</v>
      </c>
      <c r="B124" s="335">
        <v>0</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52</v>
      </c>
    </row>
    <row r="130" spans="1:6">
      <c r="A130" s="1286" t="s">
        <v>295</v>
      </c>
      <c r="B130" s="335">
        <v>0</v>
      </c>
    </row>
    <row r="131" spans="1:6">
      <c r="A131" s="1286" t="s">
        <v>296</v>
      </c>
      <c r="B131" s="335">
        <v>0</v>
      </c>
    </row>
    <row r="132" spans="1:6">
      <c r="A132" s="1282" t="s">
        <v>297</v>
      </c>
      <c r="B132" s="338">
        <v>10</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50299.518654118969</v>
      </c>
      <c r="C3" s="44" t="s">
        <v>170</v>
      </c>
      <c r="D3" s="44"/>
      <c r="E3" s="157"/>
      <c r="F3" s="44"/>
      <c r="G3" s="44"/>
      <c r="H3" s="44"/>
      <c r="I3" s="44"/>
      <c r="J3" s="44"/>
      <c r="K3" s="97"/>
    </row>
    <row r="4" spans="1:11">
      <c r="A4" s="365" t="s">
        <v>171</v>
      </c>
      <c r="B4" s="50">
        <f>IF(ISERROR('SEAP template'!B78+'SEAP template'!C78),0,'SEAP template'!B78+'SEAP template'!C78)</f>
        <v>22888.448549528475</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2.4909923709743045</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0.12048499961120801</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3.5690076290256965</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5490.4285714285716</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6.5004171943850006E-4</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419.14400000000001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419.14400000000001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0.12048499961120801</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50.500564677040174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15112.7767808793</v>
      </c>
      <c r="C5" s="18">
        <f>IF(ISERROR('Eigen informatie GS &amp; warmtenet'!B57),0,'Eigen informatie GS &amp; warmtenet'!B57)</f>
        <v>0</v>
      </c>
      <c r="D5" s="31">
        <f>(SUM(HH_hh_gas_kWh,HH_rest_gas_kWh)/1000)*0.902</f>
        <v>30778.595692404597</v>
      </c>
      <c r="E5" s="18">
        <f>B46*B57</f>
        <v>3159.832441738251</v>
      </c>
      <c r="F5" s="18">
        <f>B51*B62</f>
        <v>26451.444948113691</v>
      </c>
      <c r="G5" s="19"/>
      <c r="H5" s="18"/>
      <c r="I5" s="18"/>
      <c r="J5" s="18">
        <f>B50*B61+C50*C61</f>
        <v>1293.8377716819134</v>
      </c>
      <c r="K5" s="18"/>
      <c r="L5" s="18"/>
      <c r="M5" s="18"/>
      <c r="N5" s="18">
        <f>B48*B59+C48*C59</f>
        <v>17505.235778634335</v>
      </c>
      <c r="O5" s="18">
        <f>B69*B70*B71</f>
        <v>90.673333333333346</v>
      </c>
      <c r="P5" s="18">
        <f>B77*B78*B79/1000-B77*B78*B79/1000/B80</f>
        <v>324.13333333333333</v>
      </c>
    </row>
    <row r="6" spans="1:16">
      <c r="A6" s="17" t="s">
        <v>639</v>
      </c>
      <c r="B6" s="780">
        <f>kWh_PV_kleiner_dan_10kW</f>
        <v>2425.7055280372524</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17538.482308916551</v>
      </c>
      <c r="C8" s="22">
        <f>C5</f>
        <v>0</v>
      </c>
      <c r="D8" s="22">
        <f>D5</f>
        <v>30778.595692404597</v>
      </c>
      <c r="E8" s="22">
        <f>E5</f>
        <v>3159.832441738251</v>
      </c>
      <c r="F8" s="22">
        <f>F5</f>
        <v>26451.444948113691</v>
      </c>
      <c r="G8" s="22"/>
      <c r="H8" s="22"/>
      <c r="I8" s="22"/>
      <c r="J8" s="22">
        <f>J5</f>
        <v>1293.8377716819134</v>
      </c>
      <c r="K8" s="22"/>
      <c r="L8" s="22">
        <f>L5</f>
        <v>0</v>
      </c>
      <c r="M8" s="22">
        <f>M5</f>
        <v>0</v>
      </c>
      <c r="N8" s="22">
        <f>N5</f>
        <v>17505.235778634335</v>
      </c>
      <c r="O8" s="22">
        <f>O5</f>
        <v>90.673333333333346</v>
      </c>
      <c r="P8" s="22">
        <f>P5</f>
        <v>324.13333333333333</v>
      </c>
    </row>
    <row r="9" spans="1:16">
      <c r="B9" s="20"/>
      <c r="C9" s="20"/>
      <c r="D9" s="262"/>
      <c r="E9" s="20"/>
      <c r="F9" s="20"/>
      <c r="G9" s="20"/>
      <c r="H9" s="20"/>
      <c r="I9" s="20"/>
      <c r="J9" s="20"/>
      <c r="K9" s="20"/>
      <c r="L9" s="20"/>
      <c r="M9" s="20"/>
      <c r="N9" s="20"/>
      <c r="O9" s="20"/>
      <c r="P9" s="20"/>
    </row>
    <row r="10" spans="1:16">
      <c r="A10" s="25" t="s">
        <v>214</v>
      </c>
      <c r="B10" s="26">
        <f ca="1">'EF ele_warmte'!B12</f>
        <v>0.12048499961120801</v>
      </c>
      <c r="C10" s="26">
        <f ca="1">'EF ele_warmte'!B22</f>
        <v>6.5004171943850006E-4</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2113.124034170989</v>
      </c>
      <c r="C12" s="24">
        <f ca="1">C10*C8</f>
        <v>0</v>
      </c>
      <c r="D12" s="24">
        <f>D8*D10</f>
        <v>6217.2763298657292</v>
      </c>
      <c r="E12" s="24">
        <f>E10*E8</f>
        <v>717.28196427458295</v>
      </c>
      <c r="F12" s="24">
        <f>F10*F8</f>
        <v>7062.5358011463559</v>
      </c>
      <c r="G12" s="24"/>
      <c r="H12" s="24"/>
      <c r="I12" s="24"/>
      <c r="J12" s="24">
        <f>J10*J8</f>
        <v>458.01857117539731</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823</v>
      </c>
      <c r="C18" s="169" t="s">
        <v>111</v>
      </c>
      <c r="D18" s="231"/>
      <c r="E18" s="16"/>
    </row>
    <row r="19" spans="1:7">
      <c r="A19" s="174" t="s">
        <v>72</v>
      </c>
      <c r="B19" s="38">
        <f>aantalw2001_ander</f>
        <v>2</v>
      </c>
      <c r="C19" s="169" t="s">
        <v>111</v>
      </c>
      <c r="D19" s="232"/>
      <c r="E19" s="16"/>
    </row>
    <row r="20" spans="1:7">
      <c r="A20" s="174" t="s">
        <v>73</v>
      </c>
      <c r="B20" s="38">
        <f>aantalw2001_propaan</f>
        <v>34</v>
      </c>
      <c r="C20" s="170">
        <f>IF(ISERROR(B20/SUM($B$20,$B$21,$B$22)*100),0,B20/SUM($B$20,$B$21,$B$22)*100)</f>
        <v>18.478260869565215</v>
      </c>
      <c r="D20" s="232"/>
      <c r="E20" s="16"/>
    </row>
    <row r="21" spans="1:7">
      <c r="A21" s="174" t="s">
        <v>74</v>
      </c>
      <c r="B21" s="38">
        <f>aantalw2001_elektriciteit</f>
        <v>92</v>
      </c>
      <c r="C21" s="170">
        <f>IF(ISERROR(B21/SUM($B$20,$B$21,$B$22)*100),0,B21/SUM($B$20,$B$21,$B$22)*100)</f>
        <v>50</v>
      </c>
      <c r="D21" s="232"/>
      <c r="E21" s="16"/>
    </row>
    <row r="22" spans="1:7">
      <c r="A22" s="174" t="s">
        <v>75</v>
      </c>
      <c r="B22" s="38">
        <f>aantalw2001_hout</f>
        <v>58</v>
      </c>
      <c r="C22" s="170">
        <f>IF(ISERROR(B22/SUM($B$20,$B$21,$B$22)*100),0,B22/SUM($B$20,$B$21,$B$22)*100)</f>
        <v>31.521739130434785</v>
      </c>
      <c r="D22" s="232"/>
      <c r="E22" s="16"/>
    </row>
    <row r="23" spans="1:7">
      <c r="A23" s="174" t="s">
        <v>76</v>
      </c>
      <c r="B23" s="38">
        <f>aantalw2001_niet_gespec</f>
        <v>26</v>
      </c>
      <c r="C23" s="169" t="s">
        <v>111</v>
      </c>
      <c r="D23" s="231"/>
      <c r="E23" s="16"/>
    </row>
    <row r="24" spans="1:7">
      <c r="A24" s="174" t="s">
        <v>77</v>
      </c>
      <c r="B24" s="38">
        <f>aantalw2001_steenkool</f>
        <v>149</v>
      </c>
      <c r="C24" s="169" t="s">
        <v>111</v>
      </c>
      <c r="D24" s="232"/>
      <c r="E24" s="16"/>
    </row>
    <row r="25" spans="1:7">
      <c r="A25" s="174" t="s">
        <v>78</v>
      </c>
      <c r="B25" s="38">
        <f>aantalw2001_stookolie</f>
        <v>2312</v>
      </c>
      <c r="C25" s="169" t="s">
        <v>111</v>
      </c>
      <c r="D25" s="231"/>
      <c r="E25" s="53"/>
    </row>
    <row r="26" spans="1:7">
      <c r="A26" s="174" t="s">
        <v>79</v>
      </c>
      <c r="B26" s="38">
        <f>aantalw2001_WP</f>
        <v>0</v>
      </c>
      <c r="C26" s="169" t="s">
        <v>111</v>
      </c>
      <c r="D26" s="231"/>
      <c r="E26" s="16"/>
    </row>
    <row r="27" spans="1:7" s="16" customFormat="1">
      <c r="A27" s="174"/>
      <c r="B27" s="30"/>
      <c r="C27" s="37"/>
      <c r="D27" s="231"/>
    </row>
    <row r="28" spans="1:7" s="16" customFormat="1">
      <c r="A28" s="233" t="s">
        <v>665</v>
      </c>
      <c r="B28" s="38">
        <f>aantalHuishoudens2011</f>
        <v>4077</v>
      </c>
      <c r="C28" s="37"/>
      <c r="D28" s="231"/>
    </row>
    <row r="29" spans="1:7" s="16" customFormat="1">
      <c r="A29" s="233" t="s">
        <v>666</v>
      </c>
      <c r="B29" s="38">
        <f>SUM(HH_hh_gas_aantal,HH_rest_gas_aantal)</f>
        <v>1903</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1903</v>
      </c>
      <c r="C32" s="170">
        <f>IF(ISERROR(B32/SUM($B$32,$B$34,$B$35,$B$36,$B$38,$B$39)*100),0,B32/SUM($B$32,$B$34,$B$35,$B$36,$B$38,$B$39)*100)</f>
        <v>46.871921182266007</v>
      </c>
      <c r="D32" s="236"/>
      <c r="G32" s="16"/>
    </row>
    <row r="33" spans="1:7">
      <c r="A33" s="174" t="s">
        <v>72</v>
      </c>
      <c r="B33" s="35" t="s">
        <v>111</v>
      </c>
      <c r="C33" s="170"/>
      <c r="D33" s="236"/>
      <c r="G33" s="16"/>
    </row>
    <row r="34" spans="1:7">
      <c r="A34" s="174" t="s">
        <v>73</v>
      </c>
      <c r="B34" s="34">
        <f>IF((($B$28-$B$32-$B$39-$B$77-$B$38)*C20/100)&lt;0,0,($B$28-$B$32-$B$39-$B$77-$B$38)*C20/100)</f>
        <v>143.39130434782606</v>
      </c>
      <c r="C34" s="170">
        <f>IF(ISERROR(B34/SUM($B$32,$B$34,$B$35,$B$36,$B$38,$B$39)*100),0,B34/SUM($B$32,$B$34,$B$35,$B$36,$B$38,$B$39)*100)</f>
        <v>3.5318055258085232</v>
      </c>
      <c r="D34" s="236"/>
      <c r="G34" s="16"/>
    </row>
    <row r="35" spans="1:7">
      <c r="A35" s="174" t="s">
        <v>74</v>
      </c>
      <c r="B35" s="34">
        <f>IF((($B$28-$B$32-$B$39-$B$77-$B$38)*C21/100)&lt;0,0,($B$28-$B$32-$B$39-$B$77-$B$38)*C21/100)</f>
        <v>388</v>
      </c>
      <c r="C35" s="170">
        <f>IF(ISERROR(B35/SUM($B$32,$B$34,$B$35,$B$36,$B$38,$B$39)*100),0,B35/SUM($B$32,$B$34,$B$35,$B$36,$B$38,$B$39)*100)</f>
        <v>9.5566502463054182</v>
      </c>
      <c r="D35" s="236"/>
      <c r="G35" s="16"/>
    </row>
    <row r="36" spans="1:7">
      <c r="A36" s="174" t="s">
        <v>75</v>
      </c>
      <c r="B36" s="34">
        <f>IF((($B$28-$B$32-$B$39-$B$77-$B$38)*C22/100)&lt;0,0,($B$28-$B$32-$B$39-$B$77-$B$38)*C22/100)</f>
        <v>244.60869565217391</v>
      </c>
      <c r="C36" s="170">
        <f>IF(ISERROR(B36/SUM($B$32,$B$34,$B$35,$B$36,$B$38,$B$39)*100),0,B36/SUM($B$32,$B$34,$B$35,$B$36,$B$38,$B$39)*100)</f>
        <v>6.024844720496894</v>
      </c>
      <c r="D36" s="236"/>
      <c r="G36" s="16"/>
    </row>
    <row r="37" spans="1:7">
      <c r="A37" s="174" t="s">
        <v>76</v>
      </c>
      <c r="B37" s="35" t="s">
        <v>111</v>
      </c>
      <c r="C37" s="170"/>
      <c r="D37" s="176"/>
      <c r="G37" s="16"/>
    </row>
    <row r="38" spans="1:7">
      <c r="A38" s="174" t="s">
        <v>77</v>
      </c>
      <c r="B38" s="34">
        <f>IF((B24-(B29-B18)*0.1)&lt;0,0,B24-(B29-B18)*0.1)</f>
        <v>41</v>
      </c>
      <c r="C38" s="170">
        <f>IF(ISERROR(B38/SUM($B$32,$B$34,$B$35,$B$36,$B$38,$B$39)*100),0,B38/SUM($B$32,$B$34,$B$35,$B$36,$B$38,$B$39)*100)</f>
        <v>1.0098522167487685</v>
      </c>
      <c r="D38" s="237"/>
      <c r="G38" s="16"/>
    </row>
    <row r="39" spans="1:7">
      <c r="A39" s="174" t="s">
        <v>78</v>
      </c>
      <c r="B39" s="34">
        <f>IF((B25-(B29-B18))&lt;0,0,B25-(B29-B18)*0.9)</f>
        <v>1340</v>
      </c>
      <c r="C39" s="170">
        <f>IF(ISERROR(B39/SUM($B$32,$B$34,$B$35,$B$36,$B$38,$B$39)*100),0,B39/SUM($B$32,$B$34,$B$35,$B$36,$B$38,$B$39)*100)</f>
        <v>33.004926108374384</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1903</v>
      </c>
      <c r="C44" s="35" t="s">
        <v>111</v>
      </c>
      <c r="D44" s="177"/>
    </row>
    <row r="45" spans="1:7">
      <c r="A45" s="174" t="s">
        <v>72</v>
      </c>
      <c r="B45" s="34" t="str">
        <f t="shared" si="0"/>
        <v>-</v>
      </c>
      <c r="C45" s="35" t="s">
        <v>111</v>
      </c>
      <c r="D45" s="177"/>
    </row>
    <row r="46" spans="1:7">
      <c r="A46" s="174" t="s">
        <v>73</v>
      </c>
      <c r="B46" s="34">
        <f t="shared" si="0"/>
        <v>143.39130434782606</v>
      </c>
      <c r="C46" s="35" t="s">
        <v>111</v>
      </c>
      <c r="D46" s="177"/>
    </row>
    <row r="47" spans="1:7">
      <c r="A47" s="174" t="s">
        <v>74</v>
      </c>
      <c r="B47" s="34">
        <f t="shared" si="0"/>
        <v>388</v>
      </c>
      <c r="C47" s="35" t="s">
        <v>111</v>
      </c>
      <c r="D47" s="177"/>
    </row>
    <row r="48" spans="1:7">
      <c r="A48" s="174" t="s">
        <v>75</v>
      </c>
      <c r="B48" s="34">
        <f t="shared" si="0"/>
        <v>244.60869565217391</v>
      </c>
      <c r="C48" s="34">
        <f>B48*10</f>
        <v>2446.086956521739</v>
      </c>
      <c r="D48" s="237"/>
    </row>
    <row r="49" spans="1:6">
      <c r="A49" s="174" t="s">
        <v>76</v>
      </c>
      <c r="B49" s="34" t="str">
        <f t="shared" si="0"/>
        <v>-</v>
      </c>
      <c r="C49" s="35" t="s">
        <v>111</v>
      </c>
      <c r="D49" s="237"/>
    </row>
    <row r="50" spans="1:6">
      <c r="A50" s="174" t="s">
        <v>77</v>
      </c>
      <c r="B50" s="34">
        <f t="shared" si="0"/>
        <v>41</v>
      </c>
      <c r="C50" s="34">
        <f>B50*2</f>
        <v>82</v>
      </c>
      <c r="D50" s="237"/>
    </row>
    <row r="51" spans="1:6">
      <c r="A51" s="174" t="s">
        <v>78</v>
      </c>
      <c r="B51" s="34">
        <f t="shared" si="0"/>
        <v>1340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58</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17</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27896.017787073866</v>
      </c>
      <c r="C5" s="18">
        <f>IF(ISERROR('Eigen informatie GS &amp; warmtenet'!B58),0,'Eigen informatie GS &amp; warmtenet'!B58)</f>
        <v>0</v>
      </c>
      <c r="D5" s="31">
        <f>SUM(D6:D12)</f>
        <v>16485.823815238167</v>
      </c>
      <c r="E5" s="18">
        <f>SUM(E6:E12)</f>
        <v>122.78506742570927</v>
      </c>
      <c r="F5" s="18">
        <f>SUM(F6:F12)</f>
        <v>3981.4866358798699</v>
      </c>
      <c r="G5" s="19"/>
      <c r="H5" s="18"/>
      <c r="I5" s="18"/>
      <c r="J5" s="18">
        <f>SUM(J6:J12)</f>
        <v>0</v>
      </c>
      <c r="K5" s="18"/>
      <c r="L5" s="18"/>
      <c r="M5" s="18"/>
      <c r="N5" s="18">
        <f>SUM(N6:N12)</f>
        <v>613.7729919695779</v>
      </c>
      <c r="O5" s="18">
        <f>B38*B39*B40</f>
        <v>0</v>
      </c>
      <c r="P5" s="18">
        <f>B46*B47*B48/1000-B46*B47*B48/1000/B49</f>
        <v>0</v>
      </c>
      <c r="R5" s="33"/>
    </row>
    <row r="6" spans="1:18">
      <c r="A6" s="33" t="s">
        <v>54</v>
      </c>
      <c r="B6" s="38">
        <f>B26</f>
        <v>21511.792065318899</v>
      </c>
      <c r="C6" s="34"/>
      <c r="D6" s="38">
        <f>IF(ISERROR(TER_kantoor_gas_kWh/1000),0,TER_kantoor_gas_kWh/1000)*0.902</f>
        <v>2175.4437564583491</v>
      </c>
      <c r="E6" s="34">
        <f>$C$26*'E Balans VL '!I12/100/3.6*1000000</f>
        <v>35.30521069990823</v>
      </c>
      <c r="F6" s="34">
        <f>$C$26*('E Balans VL '!L12+'E Balans VL '!N12)/100/3.6*1000000</f>
        <v>2535.7341395197741</v>
      </c>
      <c r="G6" s="35"/>
      <c r="H6" s="34"/>
      <c r="I6" s="34"/>
      <c r="J6" s="34">
        <f>$C$26*('E Balans VL '!D12+'E Balans VL '!E12)/100/3.6*1000000</f>
        <v>0</v>
      </c>
      <c r="K6" s="34"/>
      <c r="L6" s="34"/>
      <c r="M6" s="34"/>
      <c r="N6" s="34">
        <f>$C$26*'E Balans VL '!Y12/100/3.6*1000000</f>
        <v>4.3463557201226948</v>
      </c>
      <c r="O6" s="34"/>
      <c r="P6" s="34"/>
      <c r="R6" s="33"/>
    </row>
    <row r="7" spans="1:18">
      <c r="A7" s="33" t="s">
        <v>53</v>
      </c>
      <c r="B7" s="38">
        <f t="shared" ref="B7:B12" si="0">B27</f>
        <v>992.509773653651</v>
      </c>
      <c r="C7" s="34"/>
      <c r="D7" s="38">
        <f>IF(ISERROR(TER_horeca_gas_kWh/1000),0,TER_horeca_gas_kWh/1000)*0.902</f>
        <v>936.95560669292536</v>
      </c>
      <c r="E7" s="34">
        <f>$C$27*'E Balans VL '!I9/100/3.6*1000000</f>
        <v>51.504075298214239</v>
      </c>
      <c r="F7" s="34">
        <f>$C$27*('E Balans VL '!L9+'E Balans VL '!N9)/100/3.6*1000000</f>
        <v>226.49145051642424</v>
      </c>
      <c r="G7" s="35"/>
      <c r="H7" s="34"/>
      <c r="I7" s="34"/>
      <c r="J7" s="34">
        <f>$C$27*('E Balans VL '!D9+'E Balans VL '!E9)/100/3.6*1000000</f>
        <v>0</v>
      </c>
      <c r="K7" s="34"/>
      <c r="L7" s="34"/>
      <c r="M7" s="34"/>
      <c r="N7" s="34">
        <f>$C$27*'E Balans VL '!Y9/100/3.6*1000000</f>
        <v>0.10480857726037841</v>
      </c>
      <c r="O7" s="34"/>
      <c r="P7" s="34"/>
      <c r="R7" s="33"/>
    </row>
    <row r="8" spans="1:18">
      <c r="A8" s="6" t="s">
        <v>52</v>
      </c>
      <c r="B8" s="38">
        <f t="shared" si="0"/>
        <v>2247.20964035511</v>
      </c>
      <c r="C8" s="34"/>
      <c r="D8" s="38">
        <f>IF(ISERROR(TER_handel_gas_kWh/1000),0,TER_handel_gas_kWh/1000)*0.902</f>
        <v>1091.842214077607</v>
      </c>
      <c r="E8" s="34">
        <f>$C$28*'E Balans VL '!I13/100/3.6*1000000</f>
        <v>12.101500058674382</v>
      </c>
      <c r="F8" s="34">
        <f>$C$28*('E Balans VL '!L13+'E Balans VL '!N13)/100/3.6*1000000</f>
        <v>458.27282672416476</v>
      </c>
      <c r="G8" s="35"/>
      <c r="H8" s="34"/>
      <c r="I8" s="34"/>
      <c r="J8" s="34">
        <f>$C$28*('E Balans VL '!D13+'E Balans VL '!E13)/100/3.6*1000000</f>
        <v>0</v>
      </c>
      <c r="K8" s="34"/>
      <c r="L8" s="34"/>
      <c r="M8" s="34"/>
      <c r="N8" s="34">
        <f>$C$28*'E Balans VL '!Y13/100/3.6*1000000</f>
        <v>11.174186824075035</v>
      </c>
      <c r="O8" s="34"/>
      <c r="P8" s="34"/>
      <c r="R8" s="33"/>
    </row>
    <row r="9" spans="1:18">
      <c r="A9" s="33" t="s">
        <v>51</v>
      </c>
      <c r="B9" s="38">
        <f t="shared" si="0"/>
        <v>291.77706474245599</v>
      </c>
      <c r="C9" s="34"/>
      <c r="D9" s="38">
        <f>IF(ISERROR(TER_gezond_gas_kWh/1000),0,TER_gezond_gas_kWh/1000)*0.902</f>
        <v>0</v>
      </c>
      <c r="E9" s="34">
        <f>$C$29*'E Balans VL '!I10/100/3.6*1000000</f>
        <v>0.28915438923482184</v>
      </c>
      <c r="F9" s="34">
        <f>$C$29*('E Balans VL '!L10+'E Balans VL '!N10)/100/3.6*1000000</f>
        <v>101.23823131439106</v>
      </c>
      <c r="G9" s="35"/>
      <c r="H9" s="34"/>
      <c r="I9" s="34"/>
      <c r="J9" s="34">
        <f>$C$29*('E Balans VL '!D10+'E Balans VL '!E10)/100/3.6*1000000</f>
        <v>0</v>
      </c>
      <c r="K9" s="34"/>
      <c r="L9" s="34"/>
      <c r="M9" s="34"/>
      <c r="N9" s="34">
        <f>$C$29*'E Balans VL '!Y10/100/3.6*1000000</f>
        <v>2.5142176903598079</v>
      </c>
      <c r="O9" s="34"/>
      <c r="P9" s="34"/>
      <c r="R9" s="33"/>
    </row>
    <row r="10" spans="1:18">
      <c r="A10" s="33" t="s">
        <v>50</v>
      </c>
      <c r="B10" s="38">
        <f t="shared" si="0"/>
        <v>808.83483484461908</v>
      </c>
      <c r="C10" s="34"/>
      <c r="D10" s="38">
        <f>IF(ISERROR(TER_ander_gas_kWh/1000),0,TER_ander_gas_kWh/1000)*0.902</f>
        <v>172.21018575923569</v>
      </c>
      <c r="E10" s="34">
        <f>$C$30*'E Balans VL '!I14/100/3.6*1000000</f>
        <v>6.6170773218758452</v>
      </c>
      <c r="F10" s="34">
        <f>$C$30*('E Balans VL '!L14+'E Balans VL '!N14)/100/3.6*1000000</f>
        <v>236.47037667863498</v>
      </c>
      <c r="G10" s="35"/>
      <c r="H10" s="34"/>
      <c r="I10" s="34"/>
      <c r="J10" s="34">
        <f>$C$30*('E Balans VL '!D14+'E Balans VL '!E14)/100/3.6*1000000</f>
        <v>0</v>
      </c>
      <c r="K10" s="34"/>
      <c r="L10" s="34"/>
      <c r="M10" s="34"/>
      <c r="N10" s="34">
        <f>$C$30*'E Balans VL '!Y14/100/3.6*1000000</f>
        <v>466.59157160778062</v>
      </c>
      <c r="O10" s="34"/>
      <c r="P10" s="34"/>
      <c r="R10" s="33"/>
    </row>
    <row r="11" spans="1:18">
      <c r="A11" s="33" t="s">
        <v>55</v>
      </c>
      <c r="B11" s="38">
        <f t="shared" si="0"/>
        <v>86.228295393419998</v>
      </c>
      <c r="C11" s="34"/>
      <c r="D11" s="38">
        <f>IF(ISERROR(TER_onderwijs_gas_kWh/1000),0,TER_onderwijs_gas_kWh/1000)*0.902</f>
        <v>195.83162760287607</v>
      </c>
      <c r="E11" s="34">
        <f>$C$31*'E Balans VL '!I11/100/3.6*1000000</f>
        <v>5.3147482947501129E-2</v>
      </c>
      <c r="F11" s="34">
        <f>$C$31*('E Balans VL '!L11+'E Balans VL '!N11)/100/3.6*1000000</f>
        <v>33.337255437825647</v>
      </c>
      <c r="G11" s="35"/>
      <c r="H11" s="34"/>
      <c r="I11" s="34"/>
      <c r="J11" s="34">
        <f>$C$31*('E Balans VL '!D11+'E Balans VL '!E11)/100/3.6*1000000</f>
        <v>0</v>
      </c>
      <c r="K11" s="34"/>
      <c r="L11" s="34"/>
      <c r="M11" s="34"/>
      <c r="N11" s="34">
        <f>$C$31*'E Balans VL '!Y11/100/3.6*1000000</f>
        <v>0.28048216658563141</v>
      </c>
      <c r="O11" s="34"/>
      <c r="P11" s="34"/>
      <c r="R11" s="33"/>
    </row>
    <row r="12" spans="1:18">
      <c r="A12" s="33" t="s">
        <v>260</v>
      </c>
      <c r="B12" s="38">
        <f t="shared" si="0"/>
        <v>1957.6661127657101</v>
      </c>
      <c r="C12" s="34"/>
      <c r="D12" s="38">
        <f>IF(ISERROR(TER_rest_gas_kWh/1000),0,TER_rest_gas_kWh/1000)*0.902</f>
        <v>11913.540424647175</v>
      </c>
      <c r="E12" s="34">
        <f>$C$32*'E Balans VL '!I8/100/3.6*1000000</f>
        <v>16.914902174854248</v>
      </c>
      <c r="F12" s="34">
        <f>$C$32*('E Balans VL '!L8+'E Balans VL '!N8)/100/3.6*1000000</f>
        <v>389.94235568865514</v>
      </c>
      <c r="G12" s="35"/>
      <c r="H12" s="34"/>
      <c r="I12" s="34"/>
      <c r="J12" s="34">
        <f>$C$32*('E Balans VL '!D8+'E Balans VL '!E8)/100/3.6*1000000</f>
        <v>0</v>
      </c>
      <c r="K12" s="34"/>
      <c r="L12" s="34"/>
      <c r="M12" s="34"/>
      <c r="N12" s="34">
        <f>$C$32*'E Balans VL '!Y8/100/3.6*1000000</f>
        <v>128.76136938339377</v>
      </c>
      <c r="O12" s="34"/>
      <c r="P12" s="34"/>
      <c r="R12" s="33"/>
    </row>
    <row r="13" spans="1:18">
      <c r="A13" s="17" t="s">
        <v>502</v>
      </c>
      <c r="B13" s="250">
        <f ca="1">'lokale energieproductie'!N91+'lokale energieproductie'!N60</f>
        <v>4.5</v>
      </c>
      <c r="C13" s="250">
        <f ca="1">'lokale energieproductie'!O91+'lokale energieproductie'!O60</f>
        <v>22.5</v>
      </c>
      <c r="D13" s="312">
        <f ca="1">('lokale energieproductie'!P60+'lokale energieproductie'!P91)*(-1)</f>
        <v>-30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27900.517787073866</v>
      </c>
      <c r="C16" s="22">
        <f t="shared" ca="1" si="1"/>
        <v>22.5</v>
      </c>
      <c r="D16" s="22">
        <f t="shared" ca="1" si="1"/>
        <v>16455.823815238167</v>
      </c>
      <c r="E16" s="22">
        <f t="shared" si="1"/>
        <v>122.78506742570927</v>
      </c>
      <c r="F16" s="22">
        <f t="shared" ca="1" si="1"/>
        <v>3981.4866358798699</v>
      </c>
      <c r="G16" s="22">
        <f t="shared" si="1"/>
        <v>0</v>
      </c>
      <c r="H16" s="22">
        <f t="shared" si="1"/>
        <v>0</v>
      </c>
      <c r="I16" s="22">
        <f t="shared" si="1"/>
        <v>0</v>
      </c>
      <c r="J16" s="22">
        <f t="shared" si="1"/>
        <v>0</v>
      </c>
      <c r="K16" s="22">
        <f t="shared" si="1"/>
        <v>0</v>
      </c>
      <c r="L16" s="22">
        <f t="shared" ca="1" si="1"/>
        <v>0</v>
      </c>
      <c r="M16" s="22">
        <f t="shared" si="1"/>
        <v>0</v>
      </c>
      <c r="N16" s="22">
        <f t="shared" ca="1" si="1"/>
        <v>613.7729919695779</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0.12048499961120801</v>
      </c>
      <c r="C18" s="26">
        <f ca="1">'EF ele_warmte'!B22</f>
        <v>6.5004171943850006E-4</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3361.593874728097</v>
      </c>
      <c r="C20" s="24">
        <f t="shared" ref="C20:P20" ca="1" si="2">C16*C18</f>
        <v>1.4625938687366251E-2</v>
      </c>
      <c r="D20" s="24">
        <f t="shared" ca="1" si="2"/>
        <v>3324.0764106781098</v>
      </c>
      <c r="E20" s="24">
        <f t="shared" si="2"/>
        <v>27.872210305636006</v>
      </c>
      <c r="F20" s="24">
        <f t="shared" ca="1" si="2"/>
        <v>1063.0569317799254</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21511.792065318899</v>
      </c>
      <c r="C26" s="40">
        <f>IF(ISERROR(B26*3.6/1000000/'E Balans VL '!Z12*100),0,B26*3.6/1000000/'E Balans VL '!Z12*100)</f>
        <v>0.45711015461413101</v>
      </c>
      <c r="D26" s="240" t="s">
        <v>707</v>
      </c>
      <c r="F26" s="6"/>
    </row>
    <row r="27" spans="1:18">
      <c r="A27" s="234" t="s">
        <v>53</v>
      </c>
      <c r="B27" s="34">
        <f>IF(ISERROR(TER_horeca_ele_kWh/1000),0,TER_horeca_ele_kWh/1000)</f>
        <v>992.509773653651</v>
      </c>
      <c r="C27" s="40">
        <f>IF(ISERROR(B27*3.6/1000000/'E Balans VL '!Z9*100),0,B27*3.6/1000000/'E Balans VL '!Z9*100)</f>
        <v>7.8118194231337951E-2</v>
      </c>
      <c r="D27" s="240" t="s">
        <v>707</v>
      </c>
      <c r="F27" s="6"/>
    </row>
    <row r="28" spans="1:18">
      <c r="A28" s="174" t="s">
        <v>52</v>
      </c>
      <c r="B28" s="34">
        <f>IF(ISERROR(TER_handel_ele_kWh/1000),0,TER_handel_ele_kWh/1000)</f>
        <v>2247.20964035511</v>
      </c>
      <c r="C28" s="40">
        <f>IF(ISERROR(B28*3.6/1000000/'E Balans VL '!Z13*100),0,B28*3.6/1000000/'E Balans VL '!Z13*100)</f>
        <v>6.2945544685465524E-2</v>
      </c>
      <c r="D28" s="240" t="s">
        <v>707</v>
      </c>
      <c r="F28" s="6"/>
    </row>
    <row r="29" spans="1:18">
      <c r="A29" s="234" t="s">
        <v>51</v>
      </c>
      <c r="B29" s="34">
        <f>IF(ISERROR(TER_gezond_ele_kWh/1000),0,TER_gezond_ele_kWh/1000)</f>
        <v>291.77706474245599</v>
      </c>
      <c r="C29" s="40">
        <f>IF(ISERROR(B29*3.6/1000000/'E Balans VL '!Z10*100),0,B29*3.6/1000000/'E Balans VL '!Z10*100)</f>
        <v>3.7327109563657652E-2</v>
      </c>
      <c r="D29" s="240" t="s">
        <v>707</v>
      </c>
      <c r="F29" s="6"/>
    </row>
    <row r="30" spans="1:18">
      <c r="A30" s="234" t="s">
        <v>50</v>
      </c>
      <c r="B30" s="34">
        <f>IF(ISERROR(TER_ander_ele_kWh/1000),0,TER_ander_ele_kWh/1000)</f>
        <v>808.83483484461908</v>
      </c>
      <c r="C30" s="40">
        <f>IF(ISERROR(B30*3.6/1000000/'E Balans VL '!Z14*100),0,B30*3.6/1000000/'E Balans VL '!Z14*100)</f>
        <v>6.0494030285002241E-2</v>
      </c>
      <c r="D30" s="240" t="s">
        <v>707</v>
      </c>
      <c r="F30" s="6"/>
    </row>
    <row r="31" spans="1:18">
      <c r="A31" s="234" t="s">
        <v>55</v>
      </c>
      <c r="B31" s="34">
        <f>IF(ISERROR(TER_onderwijs_ele_kWh/1000),0,TER_onderwijs_ele_kWh/1000)</f>
        <v>86.228295393419998</v>
      </c>
      <c r="C31" s="40">
        <f>IF(ISERROR(B31*3.6/1000000/'E Balans VL '!Z11*100),0,B31*3.6/1000000/'E Balans VL '!Z11*100)</f>
        <v>1.8207216266512914E-2</v>
      </c>
      <c r="D31" s="240" t="s">
        <v>707</v>
      </c>
    </row>
    <row r="32" spans="1:18">
      <c r="A32" s="234" t="s">
        <v>260</v>
      </c>
      <c r="B32" s="34">
        <f>IF(ISERROR(TER_rest_ele_kWh/1000),0,TER_rest_ele_kWh/1000)</f>
        <v>1957.6661127657101</v>
      </c>
      <c r="C32" s="40">
        <f>IF(ISERROR(B32*3.6/1000000/'E Balans VL '!Z8*100),0,B32*3.6/1000000/'E Balans VL '!Z8*100)</f>
        <v>1.6127120443777267E-2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2674.391821478438</v>
      </c>
      <c r="C5" s="18">
        <f>IF(ISERROR('Eigen informatie GS &amp; warmtenet'!B59),0,'Eigen informatie GS &amp; warmtenet'!B59)</f>
        <v>0</v>
      </c>
      <c r="D5" s="31">
        <f>SUM(D6:D15)</f>
        <v>1349.3521027210611</v>
      </c>
      <c r="E5" s="18">
        <f>SUM(E6:E15)</f>
        <v>23.195091474010873</v>
      </c>
      <c r="F5" s="18">
        <f>SUM(F6:F15)</f>
        <v>668.75425318348175</v>
      </c>
      <c r="G5" s="19"/>
      <c r="H5" s="18"/>
      <c r="I5" s="18"/>
      <c r="J5" s="18">
        <f>SUM(J6:J15)</f>
        <v>19.145167990150473</v>
      </c>
      <c r="K5" s="18"/>
      <c r="L5" s="18"/>
      <c r="M5" s="18"/>
      <c r="N5" s="18">
        <f>SUM(N6:N15)</f>
        <v>73.143056089831191</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770.17806201038002</v>
      </c>
      <c r="C8" s="34"/>
      <c r="D8" s="38">
        <f>IF( ISERROR(IND_metaal_Gas_kWH/1000),0,IND_metaal_Gas_kWH/1000)*0.902</f>
        <v>0</v>
      </c>
      <c r="E8" s="34">
        <f>C30*'E Balans VL '!I18/100/3.6*1000000</f>
        <v>7.0138728151266427</v>
      </c>
      <c r="F8" s="34">
        <f>C30*'E Balans VL '!L18/100/3.6*1000000+C30*'E Balans VL '!N18/100/3.6*1000000</f>
        <v>101.58063754650938</v>
      </c>
      <c r="G8" s="35"/>
      <c r="H8" s="34"/>
      <c r="I8" s="34"/>
      <c r="J8" s="41">
        <f>C30*'E Balans VL '!D18/100/3.6*1000000+C30*'E Balans VL '!E18/100/3.6*1000000</f>
        <v>12.62980195869147</v>
      </c>
      <c r="K8" s="34"/>
      <c r="L8" s="34"/>
      <c r="M8" s="34"/>
      <c r="N8" s="34">
        <f>C30*'E Balans VL '!Y18/100/3.6*1000000</f>
        <v>2.6467960466793694</v>
      </c>
      <c r="O8" s="34"/>
      <c r="P8" s="34"/>
      <c r="R8" s="33"/>
    </row>
    <row r="9" spans="1:18">
      <c r="A9" s="6" t="s">
        <v>33</v>
      </c>
      <c r="B9" s="38">
        <f t="shared" si="0"/>
        <v>357.99593187840901</v>
      </c>
      <c r="C9" s="34"/>
      <c r="D9" s="38">
        <f>IF( ISERROR(IND_andere_gas_kWh/1000),0,IND_andere_gas_kWh/1000)*0.902</f>
        <v>265.24867446591912</v>
      </c>
      <c r="E9" s="34">
        <f>C31*'E Balans VL '!I19/100/3.6*1000000</f>
        <v>2.0692699843242388</v>
      </c>
      <c r="F9" s="34">
        <f>C31*'E Balans VL '!L19/100/3.6*1000000+C31*'E Balans VL '!N19/100/3.6*1000000</f>
        <v>284.8029898918553</v>
      </c>
      <c r="G9" s="35"/>
      <c r="H9" s="34"/>
      <c r="I9" s="34"/>
      <c r="J9" s="41">
        <f>C31*'E Balans VL '!D19/100/3.6*1000000+C31*'E Balans VL '!E19/100/3.6*1000000</f>
        <v>3.3862438649515943E-2</v>
      </c>
      <c r="K9" s="34"/>
      <c r="L9" s="34"/>
      <c r="M9" s="34"/>
      <c r="N9" s="34">
        <f>C31*'E Balans VL '!Y19/100/3.6*1000000</f>
        <v>27.123609502221019</v>
      </c>
      <c r="O9" s="34"/>
      <c r="P9" s="34"/>
      <c r="R9" s="33"/>
    </row>
    <row r="10" spans="1:18">
      <c r="A10" s="6" t="s">
        <v>41</v>
      </c>
      <c r="B10" s="38">
        <f t="shared" si="0"/>
        <v>257.53530486886899</v>
      </c>
      <c r="C10" s="34"/>
      <c r="D10" s="38">
        <f>IF( ISERROR(IND_voed_gas_kWh/1000),0,IND_voed_gas_kWh/1000)*0.902</f>
        <v>0</v>
      </c>
      <c r="E10" s="34">
        <f>C32*'E Balans VL '!I20/100/3.6*1000000</f>
        <v>2.5322457981873989</v>
      </c>
      <c r="F10" s="34">
        <f>C32*'E Balans VL '!L20/100/3.6*1000000+C32*'E Balans VL '!N20/100/3.6*1000000</f>
        <v>28.602657122440633</v>
      </c>
      <c r="G10" s="35"/>
      <c r="H10" s="34"/>
      <c r="I10" s="34"/>
      <c r="J10" s="41">
        <f>C32*'E Balans VL '!D20/100/3.6*1000000+C32*'E Balans VL '!E20/100/3.6*1000000</f>
        <v>1.0150635504816389E-3</v>
      </c>
      <c r="K10" s="34"/>
      <c r="L10" s="34"/>
      <c r="M10" s="34"/>
      <c r="N10" s="34">
        <f>C32*'E Balans VL '!Y20/100/3.6*1000000</f>
        <v>3.8134920782162793</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1288.6825227207801</v>
      </c>
      <c r="C15" s="34"/>
      <c r="D15" s="38">
        <f>IF( ISERROR(IND_rest_gas_kWh/1000),0,IND_rest_gas_kWh/1000)*0.902</f>
        <v>1084.103428255142</v>
      </c>
      <c r="E15" s="34">
        <f>C37*'E Balans VL '!I15/100/3.6*1000000</f>
        <v>11.579702876372595</v>
      </c>
      <c r="F15" s="34">
        <f>C37*'E Balans VL '!L15/100/3.6*1000000+C37*'E Balans VL '!N15/100/3.6*1000000</f>
        <v>253.76796862267651</v>
      </c>
      <c r="G15" s="35"/>
      <c r="H15" s="34"/>
      <c r="I15" s="34"/>
      <c r="J15" s="41">
        <f>C37*'E Balans VL '!D15/100/3.6*1000000+C37*'E Balans VL '!E15/100/3.6*1000000</f>
        <v>6.4804885292590058</v>
      </c>
      <c r="K15" s="34"/>
      <c r="L15" s="34"/>
      <c r="M15" s="34"/>
      <c r="N15" s="34">
        <f>C37*'E Balans VL '!Y15/100/3.6*1000000</f>
        <v>39.559158462714514</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2674.391821478438</v>
      </c>
      <c r="C18" s="22">
        <f>C5+C16</f>
        <v>0</v>
      </c>
      <c r="D18" s="22">
        <f>MAX((D5+D16),0)</f>
        <v>1349.3521027210611</v>
      </c>
      <c r="E18" s="22">
        <f>MAX((E5+E16),0)</f>
        <v>23.195091474010873</v>
      </c>
      <c r="F18" s="22">
        <f>MAX((F5+F16),0)</f>
        <v>668.75425318348175</v>
      </c>
      <c r="G18" s="22"/>
      <c r="H18" s="22"/>
      <c r="I18" s="22"/>
      <c r="J18" s="22">
        <f>MAX((J5+J16),0)</f>
        <v>19.145167990150473</v>
      </c>
      <c r="K18" s="22"/>
      <c r="L18" s="22">
        <f>MAX((L5+L16),0)</f>
        <v>0</v>
      </c>
      <c r="M18" s="22"/>
      <c r="N18" s="22">
        <f>MAX((N5+N16),0)</f>
        <v>73.143056089831191</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0.12048499961120801</v>
      </c>
      <c r="C20" s="26">
        <f ca="1">'EF ele_warmte'!B22</f>
        <v>6.5004171943850006E-4</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322.22409757104748</v>
      </c>
      <c r="C22" s="24">
        <f ca="1">C18*C20</f>
        <v>0</v>
      </c>
      <c r="D22" s="24">
        <f>D18*D20</f>
        <v>272.56912474965435</v>
      </c>
      <c r="E22" s="24">
        <f>E18*E20</f>
        <v>5.2652857646004687</v>
      </c>
      <c r="F22" s="24">
        <f>F18*F20</f>
        <v>178.55738559998963</v>
      </c>
      <c r="G22" s="24"/>
      <c r="H22" s="24"/>
      <c r="I22" s="24"/>
      <c r="J22" s="24">
        <f>J18*J20</f>
        <v>6.7773894685132667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770.17806201038002</v>
      </c>
      <c r="C30" s="40">
        <f>IF(ISERROR(B30*3.6/1000000/'E Balans VL '!Z18*100),0,B30*3.6/1000000/'E Balans VL '!Z18*100)</f>
        <v>4.2855259014363815E-2</v>
      </c>
      <c r="D30" s="240" t="s">
        <v>707</v>
      </c>
    </row>
    <row r="31" spans="1:18">
      <c r="A31" s="6" t="s">
        <v>33</v>
      </c>
      <c r="B31" s="38">
        <f>IF( ISERROR(IND_ander_ele_kWh/1000),0,IND_ander_ele_kWh/1000)</f>
        <v>357.99593187840901</v>
      </c>
      <c r="C31" s="40">
        <f>IF(ISERROR(B31*3.6/1000000/'E Balans VL '!Z19*100),0,B31*3.6/1000000/'E Balans VL '!Z19*100)</f>
        <v>1.6642290667338897E-2</v>
      </c>
      <c r="D31" s="240" t="s">
        <v>707</v>
      </c>
    </row>
    <row r="32" spans="1:18">
      <c r="A32" s="174" t="s">
        <v>41</v>
      </c>
      <c r="B32" s="38">
        <f>IF( ISERROR(IND_voed_ele_kWh/1000),0,IND_voed_ele_kWh/1000)</f>
        <v>257.53530486886899</v>
      </c>
      <c r="C32" s="40">
        <f>IF(ISERROR(B32*3.6/1000000/'E Balans VL '!Z20*100),0,B32*3.6/1000000/'E Balans VL '!Z20*100)</f>
        <v>9.1033529125392563E-3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1288.6825227207801</v>
      </c>
      <c r="C37" s="40">
        <f>IF(ISERROR(B37*3.6/1000000/'E Balans VL '!Z15*100),0,B37*3.6/1000000/'E Balans VL '!Z15*100)</f>
        <v>9.7314567184916389E-3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1250.4990590396117</v>
      </c>
      <c r="C5" s="18">
        <f>'Eigen informatie GS &amp; warmtenet'!B60</f>
        <v>0</v>
      </c>
      <c r="D5" s="31">
        <f>IF(ISERROR(SUM(LB_lb_gas_kWh,LB_rest_gas_kWh)/1000),0,SUM(LB_lb_gas_kWh,LB_rest_gas_kWh)/1000)*0.902</f>
        <v>93.251501199484736</v>
      </c>
      <c r="E5" s="18">
        <f>B17*'E Balans VL '!I25/3.6*1000000/100</f>
        <v>11.780538998007161</v>
      </c>
      <c r="F5" s="18">
        <f>B17*('E Balans VL '!L25/3.6*1000000+'E Balans VL '!N25/3.6*1000000)/100</f>
        <v>4080.7934338369259</v>
      </c>
      <c r="G5" s="19"/>
      <c r="H5" s="18"/>
      <c r="I5" s="18"/>
      <c r="J5" s="18">
        <f>('E Balans VL '!D25+'E Balans VL '!E25)/3.6*1000000*landbouw!B17/100</f>
        <v>154.69281602945475</v>
      </c>
      <c r="K5" s="18"/>
      <c r="L5" s="18">
        <f>L6*(-1)</f>
        <v>0</v>
      </c>
      <c r="M5" s="18"/>
      <c r="N5" s="18">
        <f>N6*(-1)</f>
        <v>10935.857142857143</v>
      </c>
      <c r="O5" s="18"/>
      <c r="P5" s="18"/>
      <c r="R5" s="33"/>
    </row>
    <row r="6" spans="1:18">
      <c r="A6" s="17" t="s">
        <v>502</v>
      </c>
      <c r="B6" s="18" t="s">
        <v>211</v>
      </c>
      <c r="C6" s="18">
        <f>'lokale energieproductie'!O92+'lokale energieproductie'!O61</f>
        <v>5467.9285714285716</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-10935.857142857143</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1250.4990590396117</v>
      </c>
      <c r="C8" s="22">
        <f>C5+C6</f>
        <v>5467.9285714285716</v>
      </c>
      <c r="D8" s="22">
        <f>MAX((D5+D6),0)</f>
        <v>93.251501199484736</v>
      </c>
      <c r="E8" s="22">
        <f>MAX((E5+E6),0)</f>
        <v>11.780538998007161</v>
      </c>
      <c r="F8" s="22">
        <f>MAX((F5+F6),0)</f>
        <v>4080.7934338369259</v>
      </c>
      <c r="G8" s="22"/>
      <c r="H8" s="22"/>
      <c r="I8" s="22"/>
      <c r="J8" s="22">
        <f>MAX((J5+J6),0)</f>
        <v>154.69281602945475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0.12048499961120801</v>
      </c>
      <c r="C10" s="32">
        <f ca="1">'EF ele_warmte'!B22</f>
        <v>6.5004171943850006E-4</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150.6663786422036</v>
      </c>
      <c r="C12" s="24">
        <f ca="1">C8*C10</f>
        <v>3.5543816903383298</v>
      </c>
      <c r="D12" s="24">
        <f>D8*D10</f>
        <v>18.836803242295918</v>
      </c>
      <c r="E12" s="24">
        <f>E8*E10</f>
        <v>2.6741823525476258</v>
      </c>
      <c r="F12" s="24">
        <f>F8*F10</f>
        <v>1089.5718468344594</v>
      </c>
      <c r="G12" s="24"/>
      <c r="H12" s="24"/>
      <c r="I12" s="24"/>
      <c r="J12" s="24">
        <f>J8*J10</f>
        <v>54.761256874426977</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0.16929759025777469</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474.60407104033055</v>
      </c>
      <c r="C26" s="250">
        <f>B26*'GWP N2O_CH4'!B5</f>
        <v>9966.6854918469417</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121.52750536645914</v>
      </c>
      <c r="C27" s="250">
        <f>B27*'GWP N2O_CH4'!B5</f>
        <v>2552.0776126956421</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6.7166826905833581</v>
      </c>
      <c r="C28" s="250">
        <f>B28*'GWP N2O_CH4'!B4</f>
        <v>2082.1716340808412</v>
      </c>
      <c r="D28" s="51"/>
    </row>
    <row r="29" spans="1:4">
      <c r="A29" s="42" t="s">
        <v>277</v>
      </c>
      <c r="B29" s="250">
        <f>B34*'ha_N2O bodem landbouw'!B4</f>
        <v>9.580188751641991</v>
      </c>
      <c r="C29" s="250">
        <f>B29*'GWP N2O_CH4'!B4</f>
        <v>2969.8585130090173</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2.5863493760450744E-3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6.5656878473946582E-6</v>
      </c>
      <c r="C5" s="447" t="s">
        <v>211</v>
      </c>
      <c r="D5" s="432">
        <f>SUM(D6:D11)</f>
        <v>1.7331098724839942E-5</v>
      </c>
      <c r="E5" s="432">
        <f>SUM(E6:E11)</f>
        <v>1.0964571416013642E-3</v>
      </c>
      <c r="F5" s="445" t="s">
        <v>211</v>
      </c>
      <c r="G5" s="432">
        <f>SUM(G6:G11)</f>
        <v>0.23375802261231687</v>
      </c>
      <c r="H5" s="432">
        <f>SUM(H6:H11)</f>
        <v>3.9407516439537021E-2</v>
      </c>
      <c r="I5" s="447" t="s">
        <v>211</v>
      </c>
      <c r="J5" s="447" t="s">
        <v>211</v>
      </c>
      <c r="K5" s="447" t="s">
        <v>211</v>
      </c>
      <c r="L5" s="447" t="s">
        <v>211</v>
      </c>
      <c r="M5" s="432">
        <f>SUM(M6:M11)</f>
        <v>1.2211958352036882E-2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3.8274260365207296E-6</v>
      </c>
      <c r="C6" s="433"/>
      <c r="D6" s="433">
        <f>vkm_2011_GW_PW*SUMIFS(TableVerdeelsleutelVkm[CNG],TableVerdeelsleutelVkm[Voertuigtype],"Lichte voertuigen")*SUMIFS(TableECFTransport[EnergieConsumptieFactor (PJ per km)],TableECFTransport[Index],CONCATENATE($A6,"_CNG_CNG"))</f>
        <v>9.3466384794948772E-6</v>
      </c>
      <c r="E6" s="435">
        <f>vkm_2011_GW_PW*SUMIFS(TableVerdeelsleutelVkm[LPG],TableVerdeelsleutelVkm[Voertuigtype],"Lichte voertuigen")*SUMIFS(TableECFTransport[EnergieConsumptieFactor (PJ per km)],TableECFTransport[Index],CONCATENATE($A6,"_LPG_LPG"))</f>
        <v>5.5402042693577017E-4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8.0090169919776064E-2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2.0989332588014172E-2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4.526526271620002E-3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1.5038420609433552E-2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6.0674164171677162E-6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6.6995698529550749E-4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5.7386671459729818E-7</v>
      </c>
      <c r="C8" s="433"/>
      <c r="D8" s="435">
        <f>vkm_2011_NGW_PW*SUMIFS(TableVerdeelsleutelVkm[CNG],TableVerdeelsleutelVkm[Voertuigtype],"Lichte voertuigen")*SUMIFS(TableECFTransport[EnergieConsumptieFactor (PJ per km)],TableECFTransport[Index],CONCATENATE($A8,"_CNG_CNG"))</f>
        <v>2.5143355750670335E-6</v>
      </c>
      <c r="E8" s="435">
        <f>vkm_2011_NGW_PW*SUMIFS(TableVerdeelsleutelVkm[LPG],TableVerdeelsleutelVkm[Voertuigtype],"Lichte voertuigen")*SUMIFS(TableECFTransport[EnergieConsumptieFactor (PJ per km)],TableECFTransport[Index],CONCATENATE($A8,"_LPG_LPG"))</f>
        <v>1.367263361050828E-4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1.8672076317434737E-2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5.4069116640599133E-3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1.0787924552300024E-3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6.7371137302956585E-3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2.36669232429519E-6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3.0012025665204735E-4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2.1643950962766308E-6</v>
      </c>
      <c r="C10" s="433"/>
      <c r="D10" s="435">
        <f>vkm_2011_SW_PW*SUMIFS(TableVerdeelsleutelVkm[CNG],TableVerdeelsleutelVkm[Voertuigtype],"Lichte voertuigen")*SUMIFS(TableECFTransport[EnergieConsumptieFactor (PJ per km)],TableECFTransport[Index],CONCATENATE($A10,"_CNG_CNG"))</f>
        <v>5.4701246702780304E-6</v>
      </c>
      <c r="E10" s="435">
        <f>vkm_2011_SW_PW*SUMIFS(TableVerdeelsleutelVkm[LPG],TableVerdeelsleutelVkm[Voertuigtype],"Lichte voertuigen")*SUMIFS(TableECFTransport[EnergieConsumptieFactor (PJ per km)],TableECFTransport[Index],CONCATENATE($A10,"_LPG_LPG"))</f>
        <v>4.0571037856051116E-4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5.345007322365062E-2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1.2977253374603098E-2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2.9737526309119773E-3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5.9770168811726233E-2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2.5584704118373817E-5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2.6628097523273462E-3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1.8238021798318496</v>
      </c>
      <c r="C14" s="22"/>
      <c r="D14" s="22">
        <f t="shared" ref="D14:M14" si="0">((D5)*10^9/3600)+D12</f>
        <v>4.8141940902333173</v>
      </c>
      <c r="E14" s="22">
        <f t="shared" si="0"/>
        <v>304.57142822260113</v>
      </c>
      <c r="F14" s="22"/>
      <c r="G14" s="22">
        <f t="shared" si="0"/>
        <v>64932.784058976911</v>
      </c>
      <c r="H14" s="22">
        <f t="shared" si="0"/>
        <v>10946.532344315838</v>
      </c>
      <c r="I14" s="22"/>
      <c r="J14" s="22"/>
      <c r="K14" s="22"/>
      <c r="L14" s="22"/>
      <c r="M14" s="22">
        <f t="shared" si="0"/>
        <v>3392.2106533435785</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0.12048499961120801</v>
      </c>
      <c r="C16" s="57">
        <f ca="1">'EF ele_warmte'!B22</f>
        <v>6.5004171943850006E-4</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0.21974080492796072</v>
      </c>
      <c r="C18" s="24"/>
      <c r="D18" s="24">
        <f t="shared" ref="D18:M18" si="1">D14*D16</f>
        <v>0.97246720622713012</v>
      </c>
      <c r="E18" s="24">
        <f t="shared" si="1"/>
        <v>69.137714206530461</v>
      </c>
      <c r="F18" s="24"/>
      <c r="G18" s="24">
        <f t="shared" si="1"/>
        <v>17337.053343746837</v>
      </c>
      <c r="H18" s="24">
        <f t="shared" si="1"/>
        <v>2725.6865537346434</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2.3980471052317391E-3</v>
      </c>
      <c r="H50" s="323">
        <f t="shared" si="2"/>
        <v>0</v>
      </c>
      <c r="I50" s="323">
        <f t="shared" si="2"/>
        <v>0</v>
      </c>
      <c r="J50" s="323">
        <f t="shared" si="2"/>
        <v>0</v>
      </c>
      <c r="K50" s="323">
        <f t="shared" si="2"/>
        <v>0</v>
      </c>
      <c r="L50" s="323">
        <f t="shared" si="2"/>
        <v>0</v>
      </c>
      <c r="M50" s="323">
        <f t="shared" si="2"/>
        <v>1.0530220421686698E-4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2.3980471052317391E-3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1.0530220421686698E-4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666.12419589770536</v>
      </c>
      <c r="H54" s="22">
        <f t="shared" si="3"/>
        <v>0</v>
      </c>
      <c r="I54" s="22">
        <f t="shared" si="3"/>
        <v>0</v>
      </c>
      <c r="J54" s="22">
        <f t="shared" si="3"/>
        <v>0</v>
      </c>
      <c r="K54" s="22">
        <f t="shared" si="3"/>
        <v>0</v>
      </c>
      <c r="L54" s="22">
        <f t="shared" si="3"/>
        <v>0</v>
      </c>
      <c r="M54" s="22">
        <f t="shared" si="3"/>
        <v>29.250612282463052</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0.12048499961120801</v>
      </c>
      <c r="C56" s="57">
        <f ca="1">'EF ele_warmte'!B22</f>
        <v>6.5004171943850006E-4</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177.85516030468733</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28319.661787073866</v>
      </c>
      <c r="D10" s="688">
        <f ca="1">tertiair!C16</f>
        <v>22.5</v>
      </c>
      <c r="E10" s="688">
        <f ca="1">tertiair!D16</f>
        <v>16455.823815238167</v>
      </c>
      <c r="F10" s="688">
        <f>tertiair!E16</f>
        <v>122.78506742570927</v>
      </c>
      <c r="G10" s="688">
        <f ca="1">tertiair!F16</f>
        <v>3981.4866358798699</v>
      </c>
      <c r="H10" s="688">
        <f>tertiair!G16</f>
        <v>0</v>
      </c>
      <c r="I10" s="688">
        <f>tertiair!H16</f>
        <v>0</v>
      </c>
      <c r="J10" s="688">
        <f>tertiair!I16</f>
        <v>0</v>
      </c>
      <c r="K10" s="688">
        <f>tertiair!J16</f>
        <v>0</v>
      </c>
      <c r="L10" s="688">
        <f>tertiair!K16</f>
        <v>0</v>
      </c>
      <c r="M10" s="688">
        <f ca="1">tertiair!L16</f>
        <v>0</v>
      </c>
      <c r="N10" s="688">
        <f>tertiair!M16</f>
        <v>0</v>
      </c>
      <c r="O10" s="688">
        <f ca="1">tertiair!N16</f>
        <v>613.7729919695779</v>
      </c>
      <c r="P10" s="688">
        <f>tertiair!O16</f>
        <v>0</v>
      </c>
      <c r="Q10" s="689">
        <f>tertiair!P16</f>
        <v>0</v>
      </c>
      <c r="R10" s="691">
        <f ca="1">SUM(C10:Q10)</f>
        <v>49516.030297587189</v>
      </c>
      <c r="S10" s="68"/>
    </row>
    <row r="11" spans="1:19" s="457" customFormat="1">
      <c r="A11" s="803" t="s">
        <v>225</v>
      </c>
      <c r="B11" s="808"/>
      <c r="C11" s="688">
        <f>huishoudens!B8</f>
        <v>17538.482308916551</v>
      </c>
      <c r="D11" s="688">
        <f>huishoudens!C8</f>
        <v>0</v>
      </c>
      <c r="E11" s="688">
        <f>huishoudens!D8</f>
        <v>30778.595692404597</v>
      </c>
      <c r="F11" s="688">
        <f>huishoudens!E8</f>
        <v>3159.832441738251</v>
      </c>
      <c r="G11" s="688">
        <f>huishoudens!F8</f>
        <v>26451.444948113691</v>
      </c>
      <c r="H11" s="688">
        <f>huishoudens!G8</f>
        <v>0</v>
      </c>
      <c r="I11" s="688">
        <f>huishoudens!H8</f>
        <v>0</v>
      </c>
      <c r="J11" s="688">
        <f>huishoudens!I8</f>
        <v>0</v>
      </c>
      <c r="K11" s="688">
        <f>huishoudens!J8</f>
        <v>1293.8377716819134</v>
      </c>
      <c r="L11" s="688">
        <f>huishoudens!K8</f>
        <v>0</v>
      </c>
      <c r="M11" s="688">
        <f>huishoudens!L8</f>
        <v>0</v>
      </c>
      <c r="N11" s="688">
        <f>huishoudens!M8</f>
        <v>0</v>
      </c>
      <c r="O11" s="688">
        <f>huishoudens!N8</f>
        <v>17505.235778634335</v>
      </c>
      <c r="P11" s="688">
        <f>huishoudens!O8</f>
        <v>90.673333333333346</v>
      </c>
      <c r="Q11" s="689">
        <f>huishoudens!P8</f>
        <v>324.13333333333333</v>
      </c>
      <c r="R11" s="691">
        <f>SUM(C11:Q11)</f>
        <v>97142.235608156014</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2674.391821478438</v>
      </c>
      <c r="D13" s="688">
        <f>industrie!C18</f>
        <v>0</v>
      </c>
      <c r="E13" s="688">
        <f>industrie!D18</f>
        <v>1349.3521027210611</v>
      </c>
      <c r="F13" s="688">
        <f>industrie!E18</f>
        <v>23.195091474010873</v>
      </c>
      <c r="G13" s="688">
        <f>industrie!F18</f>
        <v>668.75425318348175</v>
      </c>
      <c r="H13" s="688">
        <f>industrie!G18</f>
        <v>0</v>
      </c>
      <c r="I13" s="688">
        <f>industrie!H18</f>
        <v>0</v>
      </c>
      <c r="J13" s="688">
        <f>industrie!I18</f>
        <v>0</v>
      </c>
      <c r="K13" s="688">
        <f>industrie!J18</f>
        <v>19.145167990150473</v>
      </c>
      <c r="L13" s="688">
        <f>industrie!K18</f>
        <v>0</v>
      </c>
      <c r="M13" s="688">
        <f>industrie!L18</f>
        <v>0</v>
      </c>
      <c r="N13" s="688">
        <f>industrie!M18</f>
        <v>0</v>
      </c>
      <c r="O13" s="688">
        <f>industrie!N18</f>
        <v>73.143056089831191</v>
      </c>
      <c r="P13" s="688">
        <f>industrie!O18</f>
        <v>0</v>
      </c>
      <c r="Q13" s="689">
        <f>industrie!P18</f>
        <v>0</v>
      </c>
      <c r="R13" s="691">
        <f>SUM(C13:Q13)</f>
        <v>4807.9814929369732</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48532.535917468849</v>
      </c>
      <c r="D16" s="721">
        <f t="shared" ref="D16:R16" ca="1" si="0">SUM(D9:D15)</f>
        <v>22.5</v>
      </c>
      <c r="E16" s="721">
        <f t="shared" ca="1" si="0"/>
        <v>48583.771610363823</v>
      </c>
      <c r="F16" s="721">
        <f t="shared" si="0"/>
        <v>3305.8126006379712</v>
      </c>
      <c r="G16" s="721">
        <f t="shared" ca="1" si="0"/>
        <v>31101.68583717704</v>
      </c>
      <c r="H16" s="721">
        <f t="shared" si="0"/>
        <v>0</v>
      </c>
      <c r="I16" s="721">
        <f t="shared" si="0"/>
        <v>0</v>
      </c>
      <c r="J16" s="721">
        <f t="shared" si="0"/>
        <v>0</v>
      </c>
      <c r="K16" s="721">
        <f t="shared" si="0"/>
        <v>1312.9829396720638</v>
      </c>
      <c r="L16" s="721">
        <f t="shared" si="0"/>
        <v>0</v>
      </c>
      <c r="M16" s="721">
        <f t="shared" ca="1" si="0"/>
        <v>0</v>
      </c>
      <c r="N16" s="721">
        <f t="shared" si="0"/>
        <v>0</v>
      </c>
      <c r="O16" s="721">
        <f t="shared" ca="1" si="0"/>
        <v>18192.151826693742</v>
      </c>
      <c r="P16" s="721">
        <f t="shared" si="0"/>
        <v>90.673333333333346</v>
      </c>
      <c r="Q16" s="721">
        <f t="shared" si="0"/>
        <v>324.13333333333333</v>
      </c>
      <c r="R16" s="721">
        <f t="shared" ca="1" si="0"/>
        <v>151466.24739868016</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666.12419589770536</v>
      </c>
      <c r="I19" s="688">
        <f>transport!H54</f>
        <v>0</v>
      </c>
      <c r="J19" s="688">
        <f>transport!I54</f>
        <v>0</v>
      </c>
      <c r="K19" s="688">
        <f>transport!J54</f>
        <v>0</v>
      </c>
      <c r="L19" s="688">
        <f>transport!K54</f>
        <v>0</v>
      </c>
      <c r="M19" s="688">
        <f>transport!L54</f>
        <v>0</v>
      </c>
      <c r="N19" s="688">
        <f>transport!M54</f>
        <v>29.250612282463052</v>
      </c>
      <c r="O19" s="688">
        <f>transport!N54</f>
        <v>0</v>
      </c>
      <c r="P19" s="688">
        <f>transport!O54</f>
        <v>0</v>
      </c>
      <c r="Q19" s="689">
        <f>transport!P54</f>
        <v>0</v>
      </c>
      <c r="R19" s="691">
        <f>SUM(C19:Q19)</f>
        <v>695.37480818016843</v>
      </c>
      <c r="S19" s="68"/>
    </row>
    <row r="20" spans="1:19" s="457" customFormat="1">
      <c r="A20" s="803" t="s">
        <v>307</v>
      </c>
      <c r="B20" s="808"/>
      <c r="C20" s="688">
        <f>transport!B14</f>
        <v>1.8238021798318496</v>
      </c>
      <c r="D20" s="688">
        <f>transport!C14</f>
        <v>0</v>
      </c>
      <c r="E20" s="688">
        <f>transport!D14</f>
        <v>4.8141940902333173</v>
      </c>
      <c r="F20" s="688">
        <f>transport!E14</f>
        <v>304.57142822260113</v>
      </c>
      <c r="G20" s="688">
        <f>transport!F14</f>
        <v>0</v>
      </c>
      <c r="H20" s="688">
        <f>transport!G14</f>
        <v>64932.784058976911</v>
      </c>
      <c r="I20" s="688">
        <f>transport!H14</f>
        <v>10946.532344315838</v>
      </c>
      <c r="J20" s="688">
        <f>transport!I14</f>
        <v>0</v>
      </c>
      <c r="K20" s="688">
        <f>transport!J14</f>
        <v>0</v>
      </c>
      <c r="L20" s="688">
        <f>transport!K14</f>
        <v>0</v>
      </c>
      <c r="M20" s="688">
        <f>transport!L14</f>
        <v>0</v>
      </c>
      <c r="N20" s="688">
        <f>transport!M14</f>
        <v>3392.2106533435785</v>
      </c>
      <c r="O20" s="688">
        <f>transport!N14</f>
        <v>0</v>
      </c>
      <c r="P20" s="688">
        <f>transport!O14</f>
        <v>0</v>
      </c>
      <c r="Q20" s="689">
        <f>transport!P14</f>
        <v>0</v>
      </c>
      <c r="R20" s="691">
        <f>SUM(C20:Q20)</f>
        <v>79582.736481128988</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1.8238021798318496</v>
      </c>
      <c r="D22" s="806">
        <f t="shared" ref="D22:R22" si="1">SUM(D18:D21)</f>
        <v>0</v>
      </c>
      <c r="E22" s="806">
        <f t="shared" si="1"/>
        <v>4.8141940902333173</v>
      </c>
      <c r="F22" s="806">
        <f t="shared" si="1"/>
        <v>304.57142822260113</v>
      </c>
      <c r="G22" s="806">
        <f t="shared" si="1"/>
        <v>0</v>
      </c>
      <c r="H22" s="806">
        <f t="shared" si="1"/>
        <v>65598.908254874623</v>
      </c>
      <c r="I22" s="806">
        <f t="shared" si="1"/>
        <v>10946.532344315838</v>
      </c>
      <c r="J22" s="806">
        <f t="shared" si="1"/>
        <v>0</v>
      </c>
      <c r="K22" s="806">
        <f t="shared" si="1"/>
        <v>0</v>
      </c>
      <c r="L22" s="806">
        <f t="shared" si="1"/>
        <v>0</v>
      </c>
      <c r="M22" s="806">
        <f t="shared" si="1"/>
        <v>0</v>
      </c>
      <c r="N22" s="806">
        <f t="shared" si="1"/>
        <v>3421.4612656260415</v>
      </c>
      <c r="O22" s="806">
        <f t="shared" si="1"/>
        <v>0</v>
      </c>
      <c r="P22" s="806">
        <f t="shared" si="1"/>
        <v>0</v>
      </c>
      <c r="Q22" s="806">
        <f t="shared" si="1"/>
        <v>0</v>
      </c>
      <c r="R22" s="806">
        <f t="shared" si="1"/>
        <v>80278.111289309163</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1250.4990590396117</v>
      </c>
      <c r="D24" s="688">
        <f>+landbouw!C8</f>
        <v>5467.9285714285716</v>
      </c>
      <c r="E24" s="688">
        <f>+landbouw!D8</f>
        <v>93.251501199484736</v>
      </c>
      <c r="F24" s="688">
        <f>+landbouw!E8</f>
        <v>11.780538998007161</v>
      </c>
      <c r="G24" s="688">
        <f>+landbouw!F8</f>
        <v>4080.7934338369259</v>
      </c>
      <c r="H24" s="688">
        <f>+landbouw!G8</f>
        <v>0</v>
      </c>
      <c r="I24" s="688">
        <f>+landbouw!H8</f>
        <v>0</v>
      </c>
      <c r="J24" s="688">
        <f>+landbouw!I8</f>
        <v>0</v>
      </c>
      <c r="K24" s="688">
        <f>+landbouw!J8</f>
        <v>154.69281602945475</v>
      </c>
      <c r="L24" s="688">
        <f>+landbouw!K8</f>
        <v>0</v>
      </c>
      <c r="M24" s="688">
        <f>+landbouw!L8</f>
        <v>0</v>
      </c>
      <c r="N24" s="688">
        <f>+landbouw!M8</f>
        <v>0</v>
      </c>
      <c r="O24" s="688">
        <f>+landbouw!N8</f>
        <v>0</v>
      </c>
      <c r="P24" s="688">
        <f>+landbouw!O8</f>
        <v>0</v>
      </c>
      <c r="Q24" s="689">
        <f>+landbouw!P8</f>
        <v>0</v>
      </c>
      <c r="R24" s="691">
        <f>SUM(C24:Q24)</f>
        <v>11058.945920532056</v>
      </c>
      <c r="S24" s="68"/>
    </row>
    <row r="25" spans="1:19" s="457" customFormat="1" ht="15" thickBot="1">
      <c r="A25" s="825" t="s">
        <v>912</v>
      </c>
      <c r="B25" s="1001"/>
      <c r="C25" s="1002">
        <f>IF(Onbekend_ele_kWh="---",0,Onbekend_ele_kWh)/1000+IF(REST_rest_ele_kWh="---",0,REST_rest_ele_kWh)/1000</f>
        <v>514.65987543067797</v>
      </c>
      <c r="D25" s="1002"/>
      <c r="E25" s="1002">
        <f>IF(onbekend_gas_kWh="---",0,onbekend_gas_kWh)/1000+IF(REST_rest_gas_kWh="---",0,REST_rest_gas_kWh)/1000</f>
        <v>1347.0758422388699</v>
      </c>
      <c r="F25" s="1002"/>
      <c r="G25" s="1002"/>
      <c r="H25" s="1002"/>
      <c r="I25" s="1002"/>
      <c r="J25" s="1002"/>
      <c r="K25" s="1002"/>
      <c r="L25" s="1002"/>
      <c r="M25" s="1002"/>
      <c r="N25" s="1002"/>
      <c r="O25" s="1002"/>
      <c r="P25" s="1002"/>
      <c r="Q25" s="1003"/>
      <c r="R25" s="691">
        <f>SUM(C25:Q25)</f>
        <v>1861.7357176695477</v>
      </c>
      <c r="S25" s="68"/>
    </row>
    <row r="26" spans="1:19" s="457" customFormat="1" ht="15.75" thickBot="1">
      <c r="A26" s="694" t="s">
        <v>913</v>
      </c>
      <c r="B26" s="811"/>
      <c r="C26" s="806">
        <f>SUM(C24:C25)</f>
        <v>1765.1589344702898</v>
      </c>
      <c r="D26" s="806">
        <f t="shared" ref="D26:R26" si="2">SUM(D24:D25)</f>
        <v>5467.9285714285716</v>
      </c>
      <c r="E26" s="806">
        <f t="shared" si="2"/>
        <v>1440.3273434383545</v>
      </c>
      <c r="F26" s="806">
        <f t="shared" si="2"/>
        <v>11.780538998007161</v>
      </c>
      <c r="G26" s="806">
        <f t="shared" si="2"/>
        <v>4080.7934338369259</v>
      </c>
      <c r="H26" s="806">
        <f t="shared" si="2"/>
        <v>0</v>
      </c>
      <c r="I26" s="806">
        <f t="shared" si="2"/>
        <v>0</v>
      </c>
      <c r="J26" s="806">
        <f t="shared" si="2"/>
        <v>0</v>
      </c>
      <c r="K26" s="806">
        <f t="shared" si="2"/>
        <v>154.69281602945475</v>
      </c>
      <c r="L26" s="806">
        <f t="shared" si="2"/>
        <v>0</v>
      </c>
      <c r="M26" s="806">
        <f t="shared" si="2"/>
        <v>0</v>
      </c>
      <c r="N26" s="806">
        <f t="shared" si="2"/>
        <v>0</v>
      </c>
      <c r="O26" s="806">
        <f t="shared" si="2"/>
        <v>0</v>
      </c>
      <c r="P26" s="806">
        <f t="shared" si="2"/>
        <v>0</v>
      </c>
      <c r="Q26" s="806">
        <f t="shared" si="2"/>
        <v>0</v>
      </c>
      <c r="R26" s="806">
        <f t="shared" si="2"/>
        <v>12920.681638201604</v>
      </c>
      <c r="S26" s="68"/>
    </row>
    <row r="27" spans="1:19" s="457" customFormat="1" ht="17.25" thickTop="1" thickBot="1">
      <c r="A27" s="695" t="s">
        <v>116</v>
      </c>
      <c r="B27" s="798"/>
      <c r="C27" s="696">
        <f ca="1">C22+C16+C26</f>
        <v>50299.518654118969</v>
      </c>
      <c r="D27" s="696">
        <f t="shared" ref="D27:R27" ca="1" si="3">D22+D16+D26</f>
        <v>5490.4285714285716</v>
      </c>
      <c r="E27" s="696">
        <f t="shared" ca="1" si="3"/>
        <v>50028.91314789241</v>
      </c>
      <c r="F27" s="696">
        <f t="shared" si="3"/>
        <v>3622.1645678585796</v>
      </c>
      <c r="G27" s="696">
        <f t="shared" ca="1" si="3"/>
        <v>35182.479271013966</v>
      </c>
      <c r="H27" s="696">
        <f t="shared" si="3"/>
        <v>65598.908254874623</v>
      </c>
      <c r="I27" s="696">
        <f t="shared" si="3"/>
        <v>10946.532344315838</v>
      </c>
      <c r="J27" s="696">
        <f t="shared" si="3"/>
        <v>0</v>
      </c>
      <c r="K27" s="696">
        <f t="shared" si="3"/>
        <v>1467.6757557015185</v>
      </c>
      <c r="L27" s="696">
        <f t="shared" si="3"/>
        <v>0</v>
      </c>
      <c r="M27" s="696">
        <f t="shared" ca="1" si="3"/>
        <v>0</v>
      </c>
      <c r="N27" s="696">
        <f t="shared" si="3"/>
        <v>3421.4612656260415</v>
      </c>
      <c r="O27" s="696">
        <f t="shared" ca="1" si="3"/>
        <v>18192.151826693742</v>
      </c>
      <c r="P27" s="696">
        <f t="shared" si="3"/>
        <v>90.673333333333346</v>
      </c>
      <c r="Q27" s="696">
        <f t="shared" si="3"/>
        <v>324.13333333333333</v>
      </c>
      <c r="R27" s="696">
        <f t="shared" ca="1" si="3"/>
        <v>244665.04032619094</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3412.0944394051371</v>
      </c>
      <c r="D40" s="688">
        <f ca="1">tertiair!C20</f>
        <v>1.4625938687366251E-2</v>
      </c>
      <c r="E40" s="688">
        <f ca="1">tertiair!D20</f>
        <v>3324.0764106781098</v>
      </c>
      <c r="F40" s="688">
        <f>tertiair!E20</f>
        <v>27.872210305636006</v>
      </c>
      <c r="G40" s="688">
        <f ca="1">tertiair!F20</f>
        <v>1063.0569317799254</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7827.1146181074955</v>
      </c>
    </row>
    <row r="41" spans="1:18">
      <c r="A41" s="816" t="s">
        <v>225</v>
      </c>
      <c r="B41" s="823"/>
      <c r="C41" s="688">
        <f ca="1">huishoudens!B12</f>
        <v>2113.124034170989</v>
      </c>
      <c r="D41" s="688">
        <f ca="1">huishoudens!C12</f>
        <v>0</v>
      </c>
      <c r="E41" s="688">
        <f>huishoudens!D12</f>
        <v>6217.2763298657292</v>
      </c>
      <c r="F41" s="688">
        <f>huishoudens!E12</f>
        <v>717.28196427458295</v>
      </c>
      <c r="G41" s="688">
        <f>huishoudens!F12</f>
        <v>7062.5358011463559</v>
      </c>
      <c r="H41" s="688">
        <f>huishoudens!G12</f>
        <v>0</v>
      </c>
      <c r="I41" s="688">
        <f>huishoudens!H12</f>
        <v>0</v>
      </c>
      <c r="J41" s="688">
        <f>huishoudens!I12</f>
        <v>0</v>
      </c>
      <c r="K41" s="688">
        <f>huishoudens!J12</f>
        <v>458.01857117539731</v>
      </c>
      <c r="L41" s="688">
        <f>huishoudens!K12</f>
        <v>0</v>
      </c>
      <c r="M41" s="688">
        <f>huishoudens!L12</f>
        <v>0</v>
      </c>
      <c r="N41" s="688">
        <f>huishoudens!M12</f>
        <v>0</v>
      </c>
      <c r="O41" s="688">
        <f>huishoudens!N12</f>
        <v>0</v>
      </c>
      <c r="P41" s="688">
        <f>huishoudens!O12</f>
        <v>0</v>
      </c>
      <c r="Q41" s="763">
        <f>huishoudens!P12</f>
        <v>0</v>
      </c>
      <c r="R41" s="844">
        <f t="shared" ca="1" si="4"/>
        <v>16568.236700633057</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322.22409757104748</v>
      </c>
      <c r="D43" s="688">
        <f ca="1">industrie!C22</f>
        <v>0</v>
      </c>
      <c r="E43" s="688">
        <f>industrie!D22</f>
        <v>272.56912474965435</v>
      </c>
      <c r="F43" s="688">
        <f>industrie!E22</f>
        <v>5.2652857646004687</v>
      </c>
      <c r="G43" s="688">
        <f>industrie!F22</f>
        <v>178.55738559998963</v>
      </c>
      <c r="H43" s="688">
        <f>industrie!G22</f>
        <v>0</v>
      </c>
      <c r="I43" s="688">
        <f>industrie!H22</f>
        <v>0</v>
      </c>
      <c r="J43" s="688">
        <f>industrie!I22</f>
        <v>0</v>
      </c>
      <c r="K43" s="688">
        <f>industrie!J22</f>
        <v>6.7773894685132667</v>
      </c>
      <c r="L43" s="688">
        <f>industrie!K22</f>
        <v>0</v>
      </c>
      <c r="M43" s="688">
        <f>industrie!L22</f>
        <v>0</v>
      </c>
      <c r="N43" s="688">
        <f>industrie!M22</f>
        <v>0</v>
      </c>
      <c r="O43" s="688">
        <f>industrie!N22</f>
        <v>0</v>
      </c>
      <c r="P43" s="688">
        <f>industrie!O22</f>
        <v>0</v>
      </c>
      <c r="Q43" s="763">
        <f>industrie!P22</f>
        <v>0</v>
      </c>
      <c r="R43" s="843">
        <f t="shared" ca="1" si="4"/>
        <v>785.39328315380521</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5847.4425711471731</v>
      </c>
      <c r="D46" s="721">
        <f t="shared" ref="D46:Q46" ca="1" si="5">SUM(D39:D45)</f>
        <v>1.4625938687366251E-2</v>
      </c>
      <c r="E46" s="721">
        <f t="shared" ca="1" si="5"/>
        <v>9813.9218652934942</v>
      </c>
      <c r="F46" s="721">
        <f t="shared" si="5"/>
        <v>750.41946034481941</v>
      </c>
      <c r="G46" s="721">
        <f t="shared" ca="1" si="5"/>
        <v>8304.1501185262714</v>
      </c>
      <c r="H46" s="721">
        <f t="shared" si="5"/>
        <v>0</v>
      </c>
      <c r="I46" s="721">
        <f t="shared" si="5"/>
        <v>0</v>
      </c>
      <c r="J46" s="721">
        <f t="shared" si="5"/>
        <v>0</v>
      </c>
      <c r="K46" s="721">
        <f t="shared" si="5"/>
        <v>464.79596064391058</v>
      </c>
      <c r="L46" s="721">
        <f t="shared" si="5"/>
        <v>0</v>
      </c>
      <c r="M46" s="721">
        <f t="shared" ca="1" si="5"/>
        <v>0</v>
      </c>
      <c r="N46" s="721">
        <f t="shared" si="5"/>
        <v>0</v>
      </c>
      <c r="O46" s="721">
        <f t="shared" ca="1" si="5"/>
        <v>0</v>
      </c>
      <c r="P46" s="721">
        <f t="shared" si="5"/>
        <v>0</v>
      </c>
      <c r="Q46" s="721">
        <f t="shared" si="5"/>
        <v>0</v>
      </c>
      <c r="R46" s="721">
        <f ca="1">SUM(R39:R45)</f>
        <v>25180.744601894356</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177.85516030468733</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177.85516030468733</v>
      </c>
    </row>
    <row r="50" spans="1:18">
      <c r="A50" s="819" t="s">
        <v>307</v>
      </c>
      <c r="B50" s="829"/>
      <c r="C50" s="1008">
        <f ca="1">transport!B18</f>
        <v>0.21974080492796072</v>
      </c>
      <c r="D50" s="1008">
        <f>transport!C18</f>
        <v>0</v>
      </c>
      <c r="E50" s="1008">
        <f>transport!D18</f>
        <v>0.97246720622713012</v>
      </c>
      <c r="F50" s="1008">
        <f>transport!E18</f>
        <v>69.137714206530461</v>
      </c>
      <c r="G50" s="1008">
        <f>transport!F18</f>
        <v>0</v>
      </c>
      <c r="H50" s="1008">
        <f>transport!G18</f>
        <v>17337.053343746837</v>
      </c>
      <c r="I50" s="1008">
        <f>transport!H18</f>
        <v>2725.6865537346434</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20133.069819699165</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0.21974080492796072</v>
      </c>
      <c r="D52" s="721">
        <f t="shared" ref="D52:Q52" ca="1" si="6">SUM(D48:D51)</f>
        <v>0</v>
      </c>
      <c r="E52" s="721">
        <f t="shared" si="6"/>
        <v>0.97246720622713012</v>
      </c>
      <c r="F52" s="721">
        <f t="shared" si="6"/>
        <v>69.137714206530461</v>
      </c>
      <c r="G52" s="721">
        <f t="shared" si="6"/>
        <v>0</v>
      </c>
      <c r="H52" s="721">
        <f t="shared" si="6"/>
        <v>17514.908504051524</v>
      </c>
      <c r="I52" s="721">
        <f t="shared" si="6"/>
        <v>2725.6865537346434</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20310.924980003852</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150.6663786422036</v>
      </c>
      <c r="D54" s="1008">
        <f ca="1">+landbouw!C12</f>
        <v>3.5543816903383298</v>
      </c>
      <c r="E54" s="1008">
        <f>+landbouw!D12</f>
        <v>18.836803242295918</v>
      </c>
      <c r="F54" s="1008">
        <f>+landbouw!E12</f>
        <v>2.6741823525476258</v>
      </c>
      <c r="G54" s="1008">
        <f>+landbouw!F12</f>
        <v>1089.5718468344594</v>
      </c>
      <c r="H54" s="1008">
        <f>+landbouw!G12</f>
        <v>0</v>
      </c>
      <c r="I54" s="1008">
        <f>+landbouw!H12</f>
        <v>0</v>
      </c>
      <c r="J54" s="1008">
        <f>+landbouw!I12</f>
        <v>0</v>
      </c>
      <c r="K54" s="1008">
        <f>+landbouw!J12</f>
        <v>54.761256874426977</v>
      </c>
      <c r="L54" s="1008">
        <f>+landbouw!K12</f>
        <v>0</v>
      </c>
      <c r="M54" s="1008">
        <f>+landbouw!L12</f>
        <v>0</v>
      </c>
      <c r="N54" s="1008">
        <f>+landbouw!M12</f>
        <v>0</v>
      </c>
      <c r="O54" s="1008">
        <f>+landbouw!N12</f>
        <v>0</v>
      </c>
      <c r="P54" s="1008">
        <f>+landbouw!O12</f>
        <v>0</v>
      </c>
      <c r="Q54" s="1009">
        <f>+landbouw!P12</f>
        <v>0</v>
      </c>
      <c r="R54" s="720">
        <f ca="1">SUM(C54:Q54)</f>
        <v>1320.0648496362719</v>
      </c>
    </row>
    <row r="55" spans="1:18" ht="15" thickBot="1">
      <c r="A55" s="819" t="s">
        <v>912</v>
      </c>
      <c r="B55" s="829"/>
      <c r="C55" s="1008">
        <f ca="1">C25*'EF ele_warmte'!B12</f>
        <v>62.0087948911696</v>
      </c>
      <c r="D55" s="1008"/>
      <c r="E55" s="1008">
        <f>E25*EF_CO2_aardgas</f>
        <v>272.10932013225175</v>
      </c>
      <c r="F55" s="1008"/>
      <c r="G55" s="1008"/>
      <c r="H55" s="1008"/>
      <c r="I55" s="1008"/>
      <c r="J55" s="1008"/>
      <c r="K55" s="1008"/>
      <c r="L55" s="1008"/>
      <c r="M55" s="1008"/>
      <c r="N55" s="1008"/>
      <c r="O55" s="1008"/>
      <c r="P55" s="1008"/>
      <c r="Q55" s="1009"/>
      <c r="R55" s="720">
        <f ca="1">SUM(C55:Q55)</f>
        <v>334.11811502342135</v>
      </c>
    </row>
    <row r="56" spans="1:18" ht="15.75" thickBot="1">
      <c r="A56" s="817" t="s">
        <v>913</v>
      </c>
      <c r="B56" s="830"/>
      <c r="C56" s="721">
        <f ca="1">SUM(C54:C55)</f>
        <v>212.6751735333732</v>
      </c>
      <c r="D56" s="721">
        <f t="shared" ref="D56:Q56" ca="1" si="7">SUM(D54:D55)</f>
        <v>3.5543816903383298</v>
      </c>
      <c r="E56" s="721">
        <f t="shared" si="7"/>
        <v>290.94612337454765</v>
      </c>
      <c r="F56" s="721">
        <f t="shared" si="7"/>
        <v>2.6741823525476258</v>
      </c>
      <c r="G56" s="721">
        <f t="shared" si="7"/>
        <v>1089.5718468344594</v>
      </c>
      <c r="H56" s="721">
        <f t="shared" si="7"/>
        <v>0</v>
      </c>
      <c r="I56" s="721">
        <f t="shared" si="7"/>
        <v>0</v>
      </c>
      <c r="J56" s="721">
        <f t="shared" si="7"/>
        <v>0</v>
      </c>
      <c r="K56" s="721">
        <f t="shared" si="7"/>
        <v>54.761256874426977</v>
      </c>
      <c r="L56" s="721">
        <f t="shared" si="7"/>
        <v>0</v>
      </c>
      <c r="M56" s="721">
        <f t="shared" si="7"/>
        <v>0</v>
      </c>
      <c r="N56" s="721">
        <f t="shared" si="7"/>
        <v>0</v>
      </c>
      <c r="O56" s="721">
        <f t="shared" si="7"/>
        <v>0</v>
      </c>
      <c r="P56" s="721">
        <f t="shared" si="7"/>
        <v>0</v>
      </c>
      <c r="Q56" s="722">
        <f t="shared" si="7"/>
        <v>0</v>
      </c>
      <c r="R56" s="723">
        <f ca="1">SUM(R54:R55)</f>
        <v>1654.1829646596932</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6060.3374854854737</v>
      </c>
      <c r="D61" s="729">
        <f t="shared" ref="D61:Q61" ca="1" si="8">D46+D52+D56</f>
        <v>3.569007629025696</v>
      </c>
      <c r="E61" s="729">
        <f t="shared" ca="1" si="8"/>
        <v>10105.84045587427</v>
      </c>
      <c r="F61" s="729">
        <f t="shared" si="8"/>
        <v>822.23135690389745</v>
      </c>
      <c r="G61" s="729">
        <f t="shared" ca="1" si="8"/>
        <v>9393.7219653607317</v>
      </c>
      <c r="H61" s="729">
        <f t="shared" si="8"/>
        <v>17514.908504051524</v>
      </c>
      <c r="I61" s="729">
        <f t="shared" si="8"/>
        <v>2725.6865537346434</v>
      </c>
      <c r="J61" s="729">
        <f t="shared" si="8"/>
        <v>0</v>
      </c>
      <c r="K61" s="729">
        <f t="shared" si="8"/>
        <v>519.55721751833755</v>
      </c>
      <c r="L61" s="729">
        <f t="shared" si="8"/>
        <v>0</v>
      </c>
      <c r="M61" s="729">
        <f t="shared" ca="1" si="8"/>
        <v>0</v>
      </c>
      <c r="N61" s="729">
        <f t="shared" si="8"/>
        <v>0</v>
      </c>
      <c r="O61" s="729">
        <f t="shared" ca="1" si="8"/>
        <v>0</v>
      </c>
      <c r="P61" s="729">
        <f t="shared" si="8"/>
        <v>0</v>
      </c>
      <c r="Q61" s="729">
        <f t="shared" si="8"/>
        <v>0</v>
      </c>
      <c r="R61" s="729">
        <f ca="1">R46+R52+R56</f>
        <v>47145.852546557908</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0.12048499961120801</v>
      </c>
      <c r="D63" s="773">
        <f t="shared" ca="1" si="9"/>
        <v>6.5004171943850006E-4</v>
      </c>
      <c r="E63" s="1010">
        <f t="shared" ca="1" si="9"/>
        <v>0.20200000000000004</v>
      </c>
      <c r="F63" s="773">
        <f t="shared" si="9"/>
        <v>0.22699999999999995</v>
      </c>
      <c r="G63" s="773">
        <f t="shared" ca="1" si="9"/>
        <v>0.26700000000000007</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14899.208449506163</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4157.1901000223115</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3821.5664145855321</v>
      </c>
      <c r="C76" s="739">
        <f>'lokale energieproductie'!B8*IFERROR(SUM(D76:H76)/SUM(D76:O76),0)</f>
        <v>10.483585414468287</v>
      </c>
      <c r="D76" s="1020">
        <f>'lokale energieproductie'!C8</f>
        <v>12.331645400862893</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4495.2370813402631</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2.4909923709743045</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22877.964964114006</v>
      </c>
      <c r="C78" s="744">
        <f>SUM(C72:C77)</f>
        <v>10.483585414468287</v>
      </c>
      <c r="D78" s="745">
        <f t="shared" ref="D78:H78" si="10">SUM(D76:D77)</f>
        <v>12.331645400862893</v>
      </c>
      <c r="E78" s="745">
        <f t="shared" si="10"/>
        <v>0</v>
      </c>
      <c r="F78" s="745">
        <f t="shared" si="10"/>
        <v>0</v>
      </c>
      <c r="G78" s="745">
        <f t="shared" si="10"/>
        <v>0</v>
      </c>
      <c r="H78" s="745">
        <f t="shared" si="10"/>
        <v>0</v>
      </c>
      <c r="I78" s="745">
        <f>SUM(I76:I77)</f>
        <v>0</v>
      </c>
      <c r="J78" s="745">
        <f>SUM(J76:J77)</f>
        <v>4495.2370813402631</v>
      </c>
      <c r="K78" s="745">
        <f t="shared" ref="K78:L78" si="11">SUM(K76:K77)</f>
        <v>0</v>
      </c>
      <c r="L78" s="745">
        <f t="shared" si="11"/>
        <v>0</v>
      </c>
      <c r="M78" s="745">
        <f>SUM(M76:M77)</f>
        <v>0</v>
      </c>
      <c r="N78" s="745">
        <f>SUM(N76:N77)</f>
        <v>0</v>
      </c>
      <c r="O78" s="854">
        <f>SUM(O76:O77)</f>
        <v>0</v>
      </c>
      <c r="P78" s="746">
        <v>0</v>
      </c>
      <c r="Q78" s="746">
        <f>SUM(Q76:Q77)</f>
        <v>2.4909923709743045</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5475.4080531966574</v>
      </c>
      <c r="C87" s="755">
        <f>'lokale energieproductie'!B17*IFERROR(SUM(D87:H87)/SUM(D87:O87),0)</f>
        <v>15.020518231914645</v>
      </c>
      <c r="D87" s="766">
        <f>'lokale energieproductie'!C17</f>
        <v>17.66835459913711</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6440.62006151688</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3.5690076290256965</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5475.4080531966574</v>
      </c>
      <c r="C90" s="744">
        <f>SUM(C87:C89)</f>
        <v>15.020518231914645</v>
      </c>
      <c r="D90" s="744">
        <f t="shared" ref="D90:H90" si="12">SUM(D87:D89)</f>
        <v>17.66835459913711</v>
      </c>
      <c r="E90" s="744">
        <f t="shared" si="12"/>
        <v>0</v>
      </c>
      <c r="F90" s="744">
        <f t="shared" si="12"/>
        <v>0</v>
      </c>
      <c r="G90" s="744">
        <f t="shared" si="12"/>
        <v>0</v>
      </c>
      <c r="H90" s="744">
        <f t="shared" si="12"/>
        <v>0</v>
      </c>
      <c r="I90" s="744">
        <f>SUM(I87:I89)</f>
        <v>0</v>
      </c>
      <c r="J90" s="744">
        <f>SUM(J87:J89)</f>
        <v>6440.62006151688</v>
      </c>
      <c r="K90" s="744">
        <f t="shared" ref="K90:L90" si="13">SUM(K87:K89)</f>
        <v>0</v>
      </c>
      <c r="L90" s="744">
        <f t="shared" si="13"/>
        <v>0</v>
      </c>
      <c r="M90" s="744">
        <f>SUM(M87:M89)</f>
        <v>0</v>
      </c>
      <c r="N90" s="744">
        <f>SUM(N87:N89)</f>
        <v>0</v>
      </c>
      <c r="O90" s="744">
        <f>SUM(O87:O89)</f>
        <v>0</v>
      </c>
      <c r="P90" s="744">
        <v>0</v>
      </c>
      <c r="Q90" s="744">
        <f>SUM(Q87:Q89)</f>
        <v>3.5690076290256965</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14899.208449506163</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4157.1901000223115</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3832.05</v>
      </c>
      <c r="C8" s="558">
        <f>B101</f>
        <v>12.331645400862893</v>
      </c>
      <c r="D8" s="991"/>
      <c r="E8" s="991">
        <f>E101</f>
        <v>0</v>
      </c>
      <c r="F8" s="992"/>
      <c r="G8" s="559"/>
      <c r="H8" s="991">
        <f>I101</f>
        <v>0</v>
      </c>
      <c r="I8" s="991">
        <f>G101+F101</f>
        <v>0</v>
      </c>
      <c r="J8" s="991">
        <f>H101+D101+C101</f>
        <v>4495.2370813402631</v>
      </c>
      <c r="K8" s="991"/>
      <c r="L8" s="991"/>
      <c r="M8" s="991"/>
      <c r="N8" s="560"/>
      <c r="O8" s="561">
        <f>C8*$C$12+D8*$D$12+E8*$E$12+F8*$F$12+G8*$G$12+H8*$H$12+I8*$I$12+J8*$J$12</f>
        <v>2.4909923709743045</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22888.448549528472</v>
      </c>
      <c r="C10" s="570">
        <f t="shared" ref="C10:L10" si="0">SUM(C8:C9)</f>
        <v>12.331645400862893</v>
      </c>
      <c r="D10" s="570">
        <f t="shared" si="0"/>
        <v>0</v>
      </c>
      <c r="E10" s="570">
        <f t="shared" si="0"/>
        <v>0</v>
      </c>
      <c r="F10" s="570">
        <f t="shared" si="0"/>
        <v>0</v>
      </c>
      <c r="G10" s="570">
        <f t="shared" si="0"/>
        <v>0</v>
      </c>
      <c r="H10" s="570">
        <f t="shared" si="0"/>
        <v>0</v>
      </c>
      <c r="I10" s="570">
        <f t="shared" si="0"/>
        <v>0</v>
      </c>
      <c r="J10" s="570">
        <f t="shared" si="0"/>
        <v>4495.2370813402631</v>
      </c>
      <c r="K10" s="570">
        <f t="shared" si="0"/>
        <v>0</v>
      </c>
      <c r="L10" s="570">
        <f t="shared" si="0"/>
        <v>0</v>
      </c>
      <c r="M10" s="995"/>
      <c r="N10" s="995"/>
      <c r="O10" s="571">
        <f>SUM(O4:O9)</f>
        <v>2.4909923709743045</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5490.4285714285716</v>
      </c>
      <c r="C17" s="582">
        <f>B102</f>
        <v>17.66835459913711</v>
      </c>
      <c r="D17" s="583"/>
      <c r="E17" s="583">
        <f>E102</f>
        <v>0</v>
      </c>
      <c r="F17" s="584"/>
      <c r="G17" s="585"/>
      <c r="H17" s="582">
        <f>I102</f>
        <v>0</v>
      </c>
      <c r="I17" s="583">
        <f>G102+F102</f>
        <v>0</v>
      </c>
      <c r="J17" s="583">
        <f>H102+D102+C102</f>
        <v>6440.62006151688</v>
      </c>
      <c r="K17" s="583"/>
      <c r="L17" s="583"/>
      <c r="M17" s="583"/>
      <c r="N17" s="998"/>
      <c r="O17" s="586">
        <f>C17*$C$22+E17*$E$22+H17*$H$22+I17*$I$22+J17*$J$22+D17*$D$22+F17*$F$22+G17*$G$22+K17*$K$22+L17*$L$22</f>
        <v>3.5690076290256965</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5490.4285714285716</v>
      </c>
      <c r="C20" s="569">
        <f>SUM(C17:C19)</f>
        <v>17.66835459913711</v>
      </c>
      <c r="D20" s="569">
        <f t="shared" ref="D20:L20" si="1">SUM(D17:D19)</f>
        <v>0</v>
      </c>
      <c r="E20" s="569">
        <f t="shared" si="1"/>
        <v>0</v>
      </c>
      <c r="F20" s="569">
        <f t="shared" si="1"/>
        <v>0</v>
      </c>
      <c r="G20" s="569">
        <f t="shared" si="1"/>
        <v>0</v>
      </c>
      <c r="H20" s="569">
        <f t="shared" si="1"/>
        <v>0</v>
      </c>
      <c r="I20" s="569">
        <f t="shared" si="1"/>
        <v>0</v>
      </c>
      <c r="J20" s="569">
        <f t="shared" si="1"/>
        <v>6440.62006151688</v>
      </c>
      <c r="K20" s="569">
        <f t="shared" si="1"/>
        <v>0</v>
      </c>
      <c r="L20" s="569">
        <f t="shared" si="1"/>
        <v>0</v>
      </c>
      <c r="M20" s="569"/>
      <c r="N20" s="569"/>
      <c r="O20" s="590">
        <f>SUM(O17:O19)</f>
        <v>3.5690076290256965</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63.75">
      <c r="A28" s="594"/>
      <c r="B28" s="789">
        <v>13021</v>
      </c>
      <c r="C28" s="789">
        <v>2450</v>
      </c>
      <c r="D28" s="642" t="s">
        <v>948</v>
      </c>
      <c r="E28" s="641" t="s">
        <v>949</v>
      </c>
      <c r="F28" s="641" t="s">
        <v>950</v>
      </c>
      <c r="G28" s="641" t="s">
        <v>951</v>
      </c>
      <c r="H28" s="641" t="s">
        <v>951</v>
      </c>
      <c r="I28" s="641" t="s">
        <v>949</v>
      </c>
      <c r="J28" s="788">
        <v>40567</v>
      </c>
      <c r="K28" s="788">
        <v>40634</v>
      </c>
      <c r="L28" s="641" t="s">
        <v>952</v>
      </c>
      <c r="M28" s="641">
        <v>1</v>
      </c>
      <c r="N28" s="641">
        <v>4.5</v>
      </c>
      <c r="O28" s="641">
        <v>22.5</v>
      </c>
      <c r="P28" s="641">
        <v>30</v>
      </c>
      <c r="Q28" s="641">
        <v>0</v>
      </c>
      <c r="R28" s="641">
        <v>0</v>
      </c>
      <c r="S28" s="641">
        <v>0</v>
      </c>
      <c r="T28" s="641">
        <v>0</v>
      </c>
      <c r="U28" s="641">
        <v>0</v>
      </c>
      <c r="V28" s="641">
        <v>0</v>
      </c>
      <c r="W28" s="641"/>
      <c r="X28" s="641">
        <v>1600</v>
      </c>
      <c r="Y28" s="641" t="s">
        <v>50</v>
      </c>
      <c r="Z28" s="643" t="s">
        <v>156</v>
      </c>
    </row>
    <row r="29" spans="1:26" s="595" customFormat="1" ht="25.5">
      <c r="A29" s="594"/>
      <c r="B29" s="789">
        <v>13021</v>
      </c>
      <c r="C29" s="789">
        <v>2450</v>
      </c>
      <c r="D29" s="642" t="s">
        <v>953</v>
      </c>
      <c r="E29" s="641" t="s">
        <v>954</v>
      </c>
      <c r="F29" s="641" t="s">
        <v>955</v>
      </c>
      <c r="G29" s="641" t="s">
        <v>956</v>
      </c>
      <c r="H29" s="641" t="s">
        <v>957</v>
      </c>
      <c r="I29" s="641" t="s">
        <v>954</v>
      </c>
      <c r="J29" s="788">
        <v>40780</v>
      </c>
      <c r="K29" s="788">
        <v>40780</v>
      </c>
      <c r="L29" s="641" t="s">
        <v>952</v>
      </c>
      <c r="M29" s="641">
        <v>732</v>
      </c>
      <c r="N29" s="641">
        <v>3294</v>
      </c>
      <c r="O29" s="641">
        <v>4705.7142857142862</v>
      </c>
      <c r="P29" s="641">
        <v>0</v>
      </c>
      <c r="Q29" s="641">
        <v>9411.4285714285725</v>
      </c>
      <c r="R29" s="641">
        <v>0</v>
      </c>
      <c r="S29" s="641">
        <v>0</v>
      </c>
      <c r="T29" s="641">
        <v>0</v>
      </c>
      <c r="U29" s="641">
        <v>0</v>
      </c>
      <c r="V29" s="641">
        <v>0</v>
      </c>
      <c r="W29" s="641"/>
      <c r="X29" s="641">
        <v>10</v>
      </c>
      <c r="Y29" s="641" t="s">
        <v>112</v>
      </c>
      <c r="Z29" s="643" t="s">
        <v>112</v>
      </c>
    </row>
    <row r="30" spans="1:26" s="595" customFormat="1" ht="25.5">
      <c r="A30" s="594"/>
      <c r="B30" s="789">
        <v>13021</v>
      </c>
      <c r="C30" s="789">
        <v>2450</v>
      </c>
      <c r="D30" s="642" t="s">
        <v>958</v>
      </c>
      <c r="E30" s="641" t="s">
        <v>959</v>
      </c>
      <c r="F30" s="641" t="s">
        <v>960</v>
      </c>
      <c r="G30" s="641" t="s">
        <v>956</v>
      </c>
      <c r="H30" s="641" t="s">
        <v>957</v>
      </c>
      <c r="I30" s="641" t="s">
        <v>961</v>
      </c>
      <c r="J30" s="788">
        <v>41086</v>
      </c>
      <c r="K30" s="788">
        <v>41275</v>
      </c>
      <c r="L30" s="641" t="s">
        <v>952</v>
      </c>
      <c r="M30" s="641">
        <v>19.399999999999999</v>
      </c>
      <c r="N30" s="641">
        <v>87.299999999999983</v>
      </c>
      <c r="O30" s="641">
        <v>124.71428571428569</v>
      </c>
      <c r="P30" s="641">
        <v>0</v>
      </c>
      <c r="Q30" s="641">
        <v>249.42857142857139</v>
      </c>
      <c r="R30" s="641">
        <v>0</v>
      </c>
      <c r="S30" s="641">
        <v>0</v>
      </c>
      <c r="T30" s="641">
        <v>0</v>
      </c>
      <c r="U30" s="641">
        <v>0</v>
      </c>
      <c r="V30" s="641">
        <v>0</v>
      </c>
      <c r="W30" s="641"/>
      <c r="X30" s="641">
        <v>10</v>
      </c>
      <c r="Y30" s="641" t="s">
        <v>112</v>
      </c>
      <c r="Z30" s="643" t="s">
        <v>112</v>
      </c>
    </row>
    <row r="31" spans="1:26" s="595" customFormat="1" ht="25.5">
      <c r="A31" s="594"/>
      <c r="B31" s="789">
        <v>13021</v>
      </c>
      <c r="C31" s="789">
        <v>2450</v>
      </c>
      <c r="D31" s="642" t="s">
        <v>953</v>
      </c>
      <c r="E31" s="641" t="s">
        <v>954</v>
      </c>
      <c r="F31" s="641" t="s">
        <v>962</v>
      </c>
      <c r="G31" s="641" t="s">
        <v>956</v>
      </c>
      <c r="H31" s="641" t="s">
        <v>957</v>
      </c>
      <c r="I31" s="641" t="s">
        <v>954</v>
      </c>
      <c r="J31" s="788">
        <v>41255</v>
      </c>
      <c r="K31" s="788">
        <v>41255</v>
      </c>
      <c r="L31" s="641" t="s">
        <v>952</v>
      </c>
      <c r="M31" s="641">
        <v>1190</v>
      </c>
      <c r="N31" s="641">
        <v>446.25</v>
      </c>
      <c r="O31" s="641">
        <v>637.5</v>
      </c>
      <c r="P31" s="641">
        <v>0</v>
      </c>
      <c r="Q31" s="641">
        <v>1275</v>
      </c>
      <c r="R31" s="641">
        <v>0</v>
      </c>
      <c r="S31" s="641">
        <v>0</v>
      </c>
      <c r="T31" s="641">
        <v>0</v>
      </c>
      <c r="U31" s="641">
        <v>0</v>
      </c>
      <c r="V31" s="641">
        <v>0</v>
      </c>
      <c r="W31" s="641"/>
      <c r="X31" s="641">
        <v>10</v>
      </c>
      <c r="Y31" s="641" t="s">
        <v>112</v>
      </c>
      <c r="Z31" s="643" t="s">
        <v>112</v>
      </c>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1942.4</v>
      </c>
      <c r="N58" s="599">
        <f>SUM(N28:N57)</f>
        <v>3832.05</v>
      </c>
      <c r="O58" s="599">
        <f t="shared" ref="O58:W58" si="2">SUM(O28:O57)</f>
        <v>5490.4285714285716</v>
      </c>
      <c r="P58" s="599">
        <f t="shared" si="2"/>
        <v>30</v>
      </c>
      <c r="Q58" s="599">
        <f t="shared" si="2"/>
        <v>10935.857142857143</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1</v>
      </c>
      <c r="N60" s="599">
        <f ca="1">SUMIF($Z$28:AD57,"tertiair",N28:N57)</f>
        <v>4.5</v>
      </c>
      <c r="O60" s="599">
        <f ca="1">SUMIF($Z$28:AE57,"tertiair",O28:O57)</f>
        <v>22.5</v>
      </c>
      <c r="P60" s="599">
        <f ca="1">SUMIF($Z$28:AF57,"tertiair",P28:P57)</f>
        <v>30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1941.4</v>
      </c>
      <c r="N61" s="604">
        <f t="shared" si="4"/>
        <v>3827.55</v>
      </c>
      <c r="O61" s="604">
        <f t="shared" si="4"/>
        <v>5467.9285714285716</v>
      </c>
      <c r="P61" s="604">
        <f t="shared" si="4"/>
        <v>0</v>
      </c>
      <c r="Q61" s="604">
        <f t="shared" si="4"/>
        <v>10935.857142857143</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0.58894515330457031</v>
      </c>
      <c r="C98" s="624">
        <f>IF(ISERROR(N58/(O58+N58)),0,N58/(N58+O58))</f>
        <v>0.41105484669542974</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12.331645400862893</v>
      </c>
      <c r="C101" s="633">
        <f t="shared" si="9"/>
        <v>4495.2370813402631</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17.66835459913711</v>
      </c>
      <c r="C102" s="636">
        <f t="shared" si="10"/>
        <v>6440.62006151688</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17538.482308916551</v>
      </c>
      <c r="C4" s="461">
        <f>huishoudens!C8</f>
        <v>0</v>
      </c>
      <c r="D4" s="461">
        <f>huishoudens!D8</f>
        <v>30778.595692404597</v>
      </c>
      <c r="E4" s="461">
        <f>huishoudens!E8</f>
        <v>3159.832441738251</v>
      </c>
      <c r="F4" s="461">
        <f>huishoudens!F8</f>
        <v>26451.444948113691</v>
      </c>
      <c r="G4" s="461">
        <f>huishoudens!G8</f>
        <v>0</v>
      </c>
      <c r="H4" s="461">
        <f>huishoudens!H8</f>
        <v>0</v>
      </c>
      <c r="I4" s="461">
        <f>huishoudens!I8</f>
        <v>0</v>
      </c>
      <c r="J4" s="461">
        <f>huishoudens!J8</f>
        <v>1293.8377716819134</v>
      </c>
      <c r="K4" s="461">
        <f>huishoudens!K8</f>
        <v>0</v>
      </c>
      <c r="L4" s="461">
        <f>huishoudens!L8</f>
        <v>0</v>
      </c>
      <c r="M4" s="461">
        <f>huishoudens!M8</f>
        <v>0</v>
      </c>
      <c r="N4" s="461">
        <f>huishoudens!N8</f>
        <v>17505.235778634335</v>
      </c>
      <c r="O4" s="461">
        <f>huishoudens!O8</f>
        <v>90.673333333333346</v>
      </c>
      <c r="P4" s="462">
        <f>huishoudens!P8</f>
        <v>324.13333333333333</v>
      </c>
      <c r="Q4" s="463">
        <f>SUM(B4:P4)</f>
        <v>97142.235608156014</v>
      </c>
    </row>
    <row r="5" spans="1:17">
      <c r="A5" s="460" t="s">
        <v>156</v>
      </c>
      <c r="B5" s="461">
        <f ca="1">tertiair!B16</f>
        <v>27900.517787073866</v>
      </c>
      <c r="C5" s="461">
        <f ca="1">tertiair!C16</f>
        <v>22.5</v>
      </c>
      <c r="D5" s="461">
        <f ca="1">tertiair!D16</f>
        <v>16455.823815238167</v>
      </c>
      <c r="E5" s="461">
        <f>tertiair!E16</f>
        <v>122.78506742570927</v>
      </c>
      <c r="F5" s="461">
        <f ca="1">tertiair!F16</f>
        <v>3981.4866358798699</v>
      </c>
      <c r="G5" s="461">
        <f>tertiair!G16</f>
        <v>0</v>
      </c>
      <c r="H5" s="461">
        <f>tertiair!H16</f>
        <v>0</v>
      </c>
      <c r="I5" s="461">
        <f>tertiair!I16</f>
        <v>0</v>
      </c>
      <c r="J5" s="461">
        <f>tertiair!J16</f>
        <v>0</v>
      </c>
      <c r="K5" s="461">
        <f>tertiair!K16</f>
        <v>0</v>
      </c>
      <c r="L5" s="461">
        <f ca="1">tertiair!L16</f>
        <v>0</v>
      </c>
      <c r="M5" s="461">
        <f>tertiair!M16</f>
        <v>0</v>
      </c>
      <c r="N5" s="461">
        <f ca="1">tertiair!N16</f>
        <v>613.7729919695779</v>
      </c>
      <c r="O5" s="461">
        <f>tertiair!O16</f>
        <v>0</v>
      </c>
      <c r="P5" s="462">
        <f>tertiair!P16</f>
        <v>0</v>
      </c>
      <c r="Q5" s="460">
        <f t="shared" ref="Q5:Q14" ca="1" si="0">SUM(B5:P5)</f>
        <v>49096.886297587189</v>
      </c>
    </row>
    <row r="6" spans="1:17">
      <c r="A6" s="460" t="s">
        <v>194</v>
      </c>
      <c r="B6" s="461">
        <f>'openbare verlichting'!B8</f>
        <v>419.14400000000001</v>
      </c>
      <c r="C6" s="461"/>
      <c r="D6" s="461"/>
      <c r="E6" s="461"/>
      <c r="F6" s="461"/>
      <c r="G6" s="461"/>
      <c r="H6" s="461"/>
      <c r="I6" s="461"/>
      <c r="J6" s="461"/>
      <c r="K6" s="461"/>
      <c r="L6" s="461"/>
      <c r="M6" s="461"/>
      <c r="N6" s="461"/>
      <c r="O6" s="461"/>
      <c r="P6" s="462"/>
      <c r="Q6" s="460">
        <f t="shared" si="0"/>
        <v>419.14400000000001</v>
      </c>
    </row>
    <row r="7" spans="1:17">
      <c r="A7" s="460" t="s">
        <v>112</v>
      </c>
      <c r="B7" s="461">
        <f>landbouw!B8</f>
        <v>1250.4990590396117</v>
      </c>
      <c r="C7" s="461">
        <f>landbouw!C8</f>
        <v>5467.9285714285716</v>
      </c>
      <c r="D7" s="461">
        <f>landbouw!D8</f>
        <v>93.251501199484736</v>
      </c>
      <c r="E7" s="461">
        <f>landbouw!E8</f>
        <v>11.780538998007161</v>
      </c>
      <c r="F7" s="461">
        <f>landbouw!F8</f>
        <v>4080.7934338369259</v>
      </c>
      <c r="G7" s="461">
        <f>landbouw!G8</f>
        <v>0</v>
      </c>
      <c r="H7" s="461">
        <f>landbouw!H8</f>
        <v>0</v>
      </c>
      <c r="I7" s="461">
        <f>landbouw!I8</f>
        <v>0</v>
      </c>
      <c r="J7" s="461">
        <f>landbouw!J8</f>
        <v>154.69281602945475</v>
      </c>
      <c r="K7" s="461">
        <f>landbouw!K8</f>
        <v>0</v>
      </c>
      <c r="L7" s="461">
        <f>landbouw!L8</f>
        <v>0</v>
      </c>
      <c r="M7" s="461">
        <f>landbouw!M8</f>
        <v>0</v>
      </c>
      <c r="N7" s="461">
        <f>landbouw!N8</f>
        <v>0</v>
      </c>
      <c r="O7" s="461">
        <f>landbouw!O8</f>
        <v>0</v>
      </c>
      <c r="P7" s="462">
        <f>landbouw!P8</f>
        <v>0</v>
      </c>
      <c r="Q7" s="460">
        <f t="shared" si="0"/>
        <v>11058.945920532056</v>
      </c>
    </row>
    <row r="8" spans="1:17">
      <c r="A8" s="460" t="s">
        <v>685</v>
      </c>
      <c r="B8" s="461">
        <f>industrie!B18</f>
        <v>2674.391821478438</v>
      </c>
      <c r="C8" s="461">
        <f>industrie!C18</f>
        <v>0</v>
      </c>
      <c r="D8" s="461">
        <f>industrie!D18</f>
        <v>1349.3521027210611</v>
      </c>
      <c r="E8" s="461">
        <f>industrie!E18</f>
        <v>23.195091474010873</v>
      </c>
      <c r="F8" s="461">
        <f>industrie!F18</f>
        <v>668.75425318348175</v>
      </c>
      <c r="G8" s="461">
        <f>industrie!G18</f>
        <v>0</v>
      </c>
      <c r="H8" s="461">
        <f>industrie!H18</f>
        <v>0</v>
      </c>
      <c r="I8" s="461">
        <f>industrie!I18</f>
        <v>0</v>
      </c>
      <c r="J8" s="461">
        <f>industrie!J18</f>
        <v>19.145167990150473</v>
      </c>
      <c r="K8" s="461">
        <f>industrie!K18</f>
        <v>0</v>
      </c>
      <c r="L8" s="461">
        <f>industrie!L18</f>
        <v>0</v>
      </c>
      <c r="M8" s="461">
        <f>industrie!M18</f>
        <v>0</v>
      </c>
      <c r="N8" s="461">
        <f>industrie!N18</f>
        <v>73.143056089831191</v>
      </c>
      <c r="O8" s="461">
        <f>industrie!O18</f>
        <v>0</v>
      </c>
      <c r="P8" s="462">
        <f>industrie!P18</f>
        <v>0</v>
      </c>
      <c r="Q8" s="460">
        <f t="shared" si="0"/>
        <v>4807.9814929369732</v>
      </c>
    </row>
    <row r="9" spans="1:17" s="466" customFormat="1">
      <c r="A9" s="464" t="s">
        <v>579</v>
      </c>
      <c r="B9" s="465">
        <f>transport!B14</f>
        <v>1.8238021798318496</v>
      </c>
      <c r="C9" s="465">
        <f>transport!C14</f>
        <v>0</v>
      </c>
      <c r="D9" s="465">
        <f>transport!D14</f>
        <v>4.8141940902333173</v>
      </c>
      <c r="E9" s="465">
        <f>transport!E14</f>
        <v>304.57142822260113</v>
      </c>
      <c r="F9" s="465">
        <f>transport!F14</f>
        <v>0</v>
      </c>
      <c r="G9" s="465">
        <f>transport!G14</f>
        <v>64932.784058976911</v>
      </c>
      <c r="H9" s="465">
        <f>transport!H14</f>
        <v>10946.532344315838</v>
      </c>
      <c r="I9" s="465">
        <f>transport!I14</f>
        <v>0</v>
      </c>
      <c r="J9" s="465">
        <f>transport!J14</f>
        <v>0</v>
      </c>
      <c r="K9" s="465">
        <f>transport!K14</f>
        <v>0</v>
      </c>
      <c r="L9" s="465">
        <f>transport!L14</f>
        <v>0</v>
      </c>
      <c r="M9" s="465">
        <f>transport!M14</f>
        <v>3392.2106533435785</v>
      </c>
      <c r="N9" s="465">
        <f>transport!N14</f>
        <v>0</v>
      </c>
      <c r="O9" s="465">
        <f>transport!O14</f>
        <v>0</v>
      </c>
      <c r="P9" s="465">
        <f>transport!P14</f>
        <v>0</v>
      </c>
      <c r="Q9" s="464">
        <f>SUM(B9:P9)</f>
        <v>79582.736481128988</v>
      </c>
    </row>
    <row r="10" spans="1:17">
      <c r="A10" s="460" t="s">
        <v>569</v>
      </c>
      <c r="B10" s="461">
        <f>transport!B54</f>
        <v>0</v>
      </c>
      <c r="C10" s="461">
        <f>transport!C54</f>
        <v>0</v>
      </c>
      <c r="D10" s="461">
        <f>transport!D54</f>
        <v>0</v>
      </c>
      <c r="E10" s="461">
        <f>transport!E54</f>
        <v>0</v>
      </c>
      <c r="F10" s="461">
        <f>transport!F54</f>
        <v>0</v>
      </c>
      <c r="G10" s="461">
        <f>transport!G54</f>
        <v>666.12419589770536</v>
      </c>
      <c r="H10" s="461">
        <f>transport!H54</f>
        <v>0</v>
      </c>
      <c r="I10" s="461">
        <f>transport!I54</f>
        <v>0</v>
      </c>
      <c r="J10" s="461">
        <f>transport!J54</f>
        <v>0</v>
      </c>
      <c r="K10" s="461">
        <f>transport!K54</f>
        <v>0</v>
      </c>
      <c r="L10" s="461">
        <f>transport!L54</f>
        <v>0</v>
      </c>
      <c r="M10" s="461">
        <f>transport!M54</f>
        <v>29.250612282463052</v>
      </c>
      <c r="N10" s="461">
        <f>transport!N54</f>
        <v>0</v>
      </c>
      <c r="O10" s="461">
        <f>transport!O54</f>
        <v>0</v>
      </c>
      <c r="P10" s="462">
        <f>transport!P54</f>
        <v>0</v>
      </c>
      <c r="Q10" s="460">
        <f t="shared" si="0"/>
        <v>695.37480818016843</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514.65987543067797</v>
      </c>
      <c r="C14" s="468"/>
      <c r="D14" s="468">
        <f>'SEAP template'!E25</f>
        <v>1347.0758422388699</v>
      </c>
      <c r="E14" s="468"/>
      <c r="F14" s="468"/>
      <c r="G14" s="468"/>
      <c r="H14" s="468"/>
      <c r="I14" s="468"/>
      <c r="J14" s="468"/>
      <c r="K14" s="468"/>
      <c r="L14" s="468"/>
      <c r="M14" s="468"/>
      <c r="N14" s="468"/>
      <c r="O14" s="468"/>
      <c r="P14" s="469"/>
      <c r="Q14" s="460">
        <f t="shared" si="0"/>
        <v>1861.7357176695477</v>
      </c>
    </row>
    <row r="15" spans="1:17" s="473" customFormat="1">
      <c r="A15" s="470" t="s">
        <v>573</v>
      </c>
      <c r="B15" s="471">
        <f ca="1">SUM(B4:B14)</f>
        <v>50299.518654118969</v>
      </c>
      <c r="C15" s="471">
        <f t="shared" ref="C15:Q15" ca="1" si="1">SUM(C4:C14)</f>
        <v>5490.4285714285716</v>
      </c>
      <c r="D15" s="471">
        <f t="shared" ca="1" si="1"/>
        <v>50028.91314789241</v>
      </c>
      <c r="E15" s="471">
        <f t="shared" si="1"/>
        <v>3622.1645678585796</v>
      </c>
      <c r="F15" s="471">
        <f t="shared" ca="1" si="1"/>
        <v>35182.479271013966</v>
      </c>
      <c r="G15" s="471">
        <f t="shared" si="1"/>
        <v>65598.908254874623</v>
      </c>
      <c r="H15" s="471">
        <f t="shared" si="1"/>
        <v>10946.532344315838</v>
      </c>
      <c r="I15" s="471">
        <f t="shared" si="1"/>
        <v>0</v>
      </c>
      <c r="J15" s="471">
        <f t="shared" si="1"/>
        <v>1467.6757557015185</v>
      </c>
      <c r="K15" s="471">
        <f t="shared" si="1"/>
        <v>0</v>
      </c>
      <c r="L15" s="471">
        <f t="shared" ca="1" si="1"/>
        <v>0</v>
      </c>
      <c r="M15" s="471">
        <f t="shared" si="1"/>
        <v>3421.4612656260415</v>
      </c>
      <c r="N15" s="471">
        <f t="shared" ca="1" si="1"/>
        <v>18192.151826693742</v>
      </c>
      <c r="O15" s="471">
        <f t="shared" si="1"/>
        <v>90.673333333333346</v>
      </c>
      <c r="P15" s="471">
        <f t="shared" si="1"/>
        <v>324.13333333333333</v>
      </c>
      <c r="Q15" s="471">
        <f t="shared" ca="1" si="1"/>
        <v>244665.04032619091</v>
      </c>
    </row>
    <row r="17" spans="1:17">
      <c r="A17" s="474" t="s">
        <v>574</v>
      </c>
      <c r="B17" s="778">
        <f ca="1">huishoudens!B10</f>
        <v>0.12048499961120801</v>
      </c>
      <c r="C17" s="778">
        <f ca="1">huishoudens!C10</f>
        <v>6.5004171943850006E-4</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2113.124034170989</v>
      </c>
      <c r="C22" s="461">
        <f t="shared" ref="C22:C32" ca="1" si="3">C4*$C$17</f>
        <v>0</v>
      </c>
      <c r="D22" s="461">
        <f t="shared" ref="D22:D32" si="4">D4*$D$17</f>
        <v>6217.2763298657292</v>
      </c>
      <c r="E22" s="461">
        <f t="shared" ref="E22:E32" si="5">E4*$E$17</f>
        <v>717.28196427458295</v>
      </c>
      <c r="F22" s="461">
        <f t="shared" ref="F22:F32" si="6">F4*$F$17</f>
        <v>7062.5358011463559</v>
      </c>
      <c r="G22" s="461">
        <f t="shared" ref="G22:G32" si="7">G4*$G$17</f>
        <v>0</v>
      </c>
      <c r="H22" s="461">
        <f t="shared" ref="H22:H32" si="8">H4*$H$17</f>
        <v>0</v>
      </c>
      <c r="I22" s="461">
        <f t="shared" ref="I22:I32" si="9">I4*$I$17</f>
        <v>0</v>
      </c>
      <c r="J22" s="461">
        <f t="shared" ref="J22:J32" si="10">J4*$J$17</f>
        <v>458.01857117539731</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16568.236700633057</v>
      </c>
    </row>
    <row r="23" spans="1:17">
      <c r="A23" s="460" t="s">
        <v>156</v>
      </c>
      <c r="B23" s="461">
        <f t="shared" ca="1" si="2"/>
        <v>3361.593874728097</v>
      </c>
      <c r="C23" s="461">
        <f t="shared" ca="1" si="3"/>
        <v>1.4625938687366251E-2</v>
      </c>
      <c r="D23" s="461">
        <f t="shared" ca="1" si="4"/>
        <v>3324.0764106781098</v>
      </c>
      <c r="E23" s="461">
        <f t="shared" si="5"/>
        <v>27.872210305636006</v>
      </c>
      <c r="F23" s="461">
        <f t="shared" ca="1" si="6"/>
        <v>1063.0569317799254</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7776.6140534304559</v>
      </c>
    </row>
    <row r="24" spans="1:17">
      <c r="A24" s="460" t="s">
        <v>194</v>
      </c>
      <c r="B24" s="461">
        <f t="shared" ca="1" si="2"/>
        <v>50.500564677040174</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50.500564677040174</v>
      </c>
    </row>
    <row r="25" spans="1:17">
      <c r="A25" s="460" t="s">
        <v>112</v>
      </c>
      <c r="B25" s="461">
        <f t="shared" ca="1" si="2"/>
        <v>150.6663786422036</v>
      </c>
      <c r="C25" s="461">
        <f t="shared" ca="1" si="3"/>
        <v>3.5543816903383298</v>
      </c>
      <c r="D25" s="461">
        <f t="shared" si="4"/>
        <v>18.836803242295918</v>
      </c>
      <c r="E25" s="461">
        <f t="shared" si="5"/>
        <v>2.6741823525476258</v>
      </c>
      <c r="F25" s="461">
        <f t="shared" si="6"/>
        <v>1089.5718468344594</v>
      </c>
      <c r="G25" s="461">
        <f t="shared" si="7"/>
        <v>0</v>
      </c>
      <c r="H25" s="461">
        <f t="shared" si="8"/>
        <v>0</v>
      </c>
      <c r="I25" s="461">
        <f t="shared" si="9"/>
        <v>0</v>
      </c>
      <c r="J25" s="461">
        <f t="shared" si="10"/>
        <v>54.761256874426977</v>
      </c>
      <c r="K25" s="461">
        <f t="shared" si="11"/>
        <v>0</v>
      </c>
      <c r="L25" s="461">
        <f t="shared" si="12"/>
        <v>0</v>
      </c>
      <c r="M25" s="461">
        <f t="shared" si="13"/>
        <v>0</v>
      </c>
      <c r="N25" s="461">
        <f t="shared" si="14"/>
        <v>0</v>
      </c>
      <c r="O25" s="461">
        <f t="shared" si="15"/>
        <v>0</v>
      </c>
      <c r="P25" s="462">
        <f t="shared" si="16"/>
        <v>0</v>
      </c>
      <c r="Q25" s="460">
        <f t="shared" ca="1" si="17"/>
        <v>1320.0648496362719</v>
      </c>
    </row>
    <row r="26" spans="1:17">
      <c r="A26" s="460" t="s">
        <v>685</v>
      </c>
      <c r="B26" s="461">
        <f t="shared" ca="1" si="2"/>
        <v>322.22409757104748</v>
      </c>
      <c r="C26" s="461">
        <f t="shared" ca="1" si="3"/>
        <v>0</v>
      </c>
      <c r="D26" s="461">
        <f t="shared" si="4"/>
        <v>272.56912474965435</v>
      </c>
      <c r="E26" s="461">
        <f t="shared" si="5"/>
        <v>5.2652857646004687</v>
      </c>
      <c r="F26" s="461">
        <f t="shared" si="6"/>
        <v>178.55738559998963</v>
      </c>
      <c r="G26" s="461">
        <f t="shared" si="7"/>
        <v>0</v>
      </c>
      <c r="H26" s="461">
        <f t="shared" si="8"/>
        <v>0</v>
      </c>
      <c r="I26" s="461">
        <f t="shared" si="9"/>
        <v>0</v>
      </c>
      <c r="J26" s="461">
        <f t="shared" si="10"/>
        <v>6.7773894685132667</v>
      </c>
      <c r="K26" s="461">
        <f t="shared" si="11"/>
        <v>0</v>
      </c>
      <c r="L26" s="461">
        <f t="shared" si="12"/>
        <v>0</v>
      </c>
      <c r="M26" s="461">
        <f t="shared" si="13"/>
        <v>0</v>
      </c>
      <c r="N26" s="461">
        <f t="shared" si="14"/>
        <v>0</v>
      </c>
      <c r="O26" s="461">
        <f t="shared" si="15"/>
        <v>0</v>
      </c>
      <c r="P26" s="462">
        <f t="shared" si="16"/>
        <v>0</v>
      </c>
      <c r="Q26" s="460">
        <f t="shared" ca="1" si="17"/>
        <v>785.39328315380521</v>
      </c>
    </row>
    <row r="27" spans="1:17" s="466" customFormat="1">
      <c r="A27" s="464" t="s">
        <v>579</v>
      </c>
      <c r="B27" s="772">
        <f t="shared" ca="1" si="2"/>
        <v>0.21974080492796072</v>
      </c>
      <c r="C27" s="465">
        <f t="shared" ca="1" si="3"/>
        <v>0</v>
      </c>
      <c r="D27" s="465">
        <f t="shared" si="4"/>
        <v>0.97246720622713012</v>
      </c>
      <c r="E27" s="465">
        <f t="shared" si="5"/>
        <v>69.137714206530461</v>
      </c>
      <c r="F27" s="465">
        <f t="shared" si="6"/>
        <v>0</v>
      </c>
      <c r="G27" s="465">
        <f t="shared" si="7"/>
        <v>17337.053343746837</v>
      </c>
      <c r="H27" s="465">
        <f t="shared" si="8"/>
        <v>2725.6865537346434</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20133.069819699165</v>
      </c>
    </row>
    <row r="28" spans="1:17">
      <c r="A28" s="460" t="s">
        <v>569</v>
      </c>
      <c r="B28" s="461">
        <f t="shared" ca="1" si="2"/>
        <v>0</v>
      </c>
      <c r="C28" s="461">
        <f t="shared" ca="1" si="3"/>
        <v>0</v>
      </c>
      <c r="D28" s="461">
        <f t="shared" si="4"/>
        <v>0</v>
      </c>
      <c r="E28" s="461">
        <f t="shared" si="5"/>
        <v>0</v>
      </c>
      <c r="F28" s="461">
        <f t="shared" si="6"/>
        <v>0</v>
      </c>
      <c r="G28" s="461">
        <f t="shared" si="7"/>
        <v>177.85516030468733</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177.85516030468733</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62.0087948911696</v>
      </c>
      <c r="C32" s="461">
        <f t="shared" ca="1" si="3"/>
        <v>0</v>
      </c>
      <c r="D32" s="461">
        <f t="shared" si="4"/>
        <v>272.10932013225175</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334.11811502342135</v>
      </c>
    </row>
    <row r="33" spans="1:17" s="473" customFormat="1">
      <c r="A33" s="470" t="s">
        <v>573</v>
      </c>
      <c r="B33" s="471">
        <f ca="1">SUM(B22:B32)</f>
        <v>6060.3374854854746</v>
      </c>
      <c r="C33" s="471">
        <f t="shared" ref="C33:Q33" ca="1" si="18">SUM(C22:C32)</f>
        <v>3.569007629025696</v>
      </c>
      <c r="D33" s="471">
        <f t="shared" ca="1" si="18"/>
        <v>10105.84045587427</v>
      </c>
      <c r="E33" s="471">
        <f t="shared" si="18"/>
        <v>822.23135690389745</v>
      </c>
      <c r="F33" s="471">
        <f t="shared" ca="1" si="18"/>
        <v>9393.7219653607317</v>
      </c>
      <c r="G33" s="471">
        <f t="shared" si="18"/>
        <v>17514.908504051524</v>
      </c>
      <c r="H33" s="471">
        <f t="shared" si="18"/>
        <v>2725.6865537346434</v>
      </c>
      <c r="I33" s="471">
        <f t="shared" si="18"/>
        <v>0</v>
      </c>
      <c r="J33" s="471">
        <f t="shared" si="18"/>
        <v>519.55721751833767</v>
      </c>
      <c r="K33" s="471">
        <f t="shared" si="18"/>
        <v>0</v>
      </c>
      <c r="L33" s="471">
        <f t="shared" ca="1" si="18"/>
        <v>0</v>
      </c>
      <c r="M33" s="471">
        <f t="shared" si="18"/>
        <v>0</v>
      </c>
      <c r="N33" s="471">
        <f t="shared" ca="1" si="18"/>
        <v>0</v>
      </c>
      <c r="O33" s="471">
        <f t="shared" si="18"/>
        <v>0</v>
      </c>
      <c r="P33" s="471">
        <f t="shared" si="18"/>
        <v>0</v>
      </c>
      <c r="Q33" s="471">
        <f t="shared" ca="1" si="18"/>
        <v>47145.8525465579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14899.208449506163</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4157.1901000223115</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3821.5664145855321</v>
      </c>
      <c r="C8" s="1037">
        <f>'SEAP template'!C76</f>
        <v>10.483585414468287</v>
      </c>
      <c r="D8" s="1037">
        <f>'SEAP template'!D76</f>
        <v>12.331645400862893</v>
      </c>
      <c r="E8" s="1037">
        <f>'SEAP template'!E76</f>
        <v>0</v>
      </c>
      <c r="F8" s="1037">
        <f>'SEAP template'!F76</f>
        <v>0</v>
      </c>
      <c r="G8" s="1037">
        <f>'SEAP template'!G76</f>
        <v>0</v>
      </c>
      <c r="H8" s="1037">
        <f>'SEAP template'!H76</f>
        <v>0</v>
      </c>
      <c r="I8" s="1037">
        <f>'SEAP template'!I76</f>
        <v>0</v>
      </c>
      <c r="J8" s="1037">
        <f>'SEAP template'!J76</f>
        <v>4495.2370813402631</v>
      </c>
      <c r="K8" s="1037">
        <f>'SEAP template'!K76</f>
        <v>0</v>
      </c>
      <c r="L8" s="1037">
        <f>'SEAP template'!L76</f>
        <v>0</v>
      </c>
      <c r="M8" s="1037">
        <f>'SEAP template'!M76</f>
        <v>0</v>
      </c>
      <c r="N8" s="1037">
        <f>'SEAP template'!N76</f>
        <v>0</v>
      </c>
      <c r="O8" s="1037">
        <f>'SEAP template'!O76</f>
        <v>0</v>
      </c>
      <c r="P8" s="1038">
        <f>'SEAP template'!Q76</f>
        <v>2.4909923709743045</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22877.964964114006</v>
      </c>
      <c r="C10" s="1041">
        <f>SUM(C4:C9)</f>
        <v>10.483585414468287</v>
      </c>
      <c r="D10" s="1041">
        <f t="shared" ref="D10:H10" si="0">SUM(D8:D9)</f>
        <v>12.331645400862893</v>
      </c>
      <c r="E10" s="1041">
        <f t="shared" si="0"/>
        <v>0</v>
      </c>
      <c r="F10" s="1041">
        <f t="shared" si="0"/>
        <v>0</v>
      </c>
      <c r="G10" s="1041">
        <f t="shared" si="0"/>
        <v>0</v>
      </c>
      <c r="H10" s="1041">
        <f t="shared" si="0"/>
        <v>0</v>
      </c>
      <c r="I10" s="1041">
        <f>SUM(I8:I9)</f>
        <v>0</v>
      </c>
      <c r="J10" s="1041">
        <f>SUM(J8:J9)</f>
        <v>4495.2370813402631</v>
      </c>
      <c r="K10" s="1041">
        <f t="shared" ref="K10:L10" si="1">SUM(K8:K9)</f>
        <v>0</v>
      </c>
      <c r="L10" s="1041">
        <f t="shared" si="1"/>
        <v>0</v>
      </c>
      <c r="M10" s="1041">
        <f>SUM(M8:M9)</f>
        <v>0</v>
      </c>
      <c r="N10" s="1041">
        <f>SUM(N8:N9)</f>
        <v>0</v>
      </c>
      <c r="O10" s="1041">
        <f>SUM(O8:O9)</f>
        <v>0</v>
      </c>
      <c r="P10" s="1041">
        <f>SUM(P8:P9)</f>
        <v>2.4909923709743045</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0.12048499961120801</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5475.4080531966574</v>
      </c>
      <c r="C17" s="1044">
        <f>'SEAP template'!C87</f>
        <v>15.020518231914645</v>
      </c>
      <c r="D17" s="1038">
        <f>'SEAP template'!D87</f>
        <v>17.66835459913711</v>
      </c>
      <c r="E17" s="1038">
        <f>'SEAP template'!E87</f>
        <v>0</v>
      </c>
      <c r="F17" s="1038">
        <f>'SEAP template'!F87</f>
        <v>0</v>
      </c>
      <c r="G17" s="1038">
        <f>'SEAP template'!G87</f>
        <v>0</v>
      </c>
      <c r="H17" s="1038">
        <f>'SEAP template'!H87</f>
        <v>0</v>
      </c>
      <c r="I17" s="1038">
        <f>'SEAP template'!I87</f>
        <v>0</v>
      </c>
      <c r="J17" s="1038">
        <f>'SEAP template'!J87</f>
        <v>6440.62006151688</v>
      </c>
      <c r="K17" s="1038">
        <f>'SEAP template'!K87</f>
        <v>0</v>
      </c>
      <c r="L17" s="1038">
        <f>'SEAP template'!L87</f>
        <v>0</v>
      </c>
      <c r="M17" s="1038">
        <f>'SEAP template'!M87</f>
        <v>0</v>
      </c>
      <c r="N17" s="1038">
        <f>'SEAP template'!N87</f>
        <v>0</v>
      </c>
      <c r="O17" s="1038">
        <f>'SEAP template'!O87</f>
        <v>0</v>
      </c>
      <c r="P17" s="1038">
        <f>'SEAP template'!Q87</f>
        <v>3.5690076290256965</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5475.4080531966574</v>
      </c>
      <c r="C20" s="1041">
        <f>SUM(C17:C19)</f>
        <v>15.020518231914645</v>
      </c>
      <c r="D20" s="1041">
        <f t="shared" ref="D20:H20" si="2">SUM(D17:D19)</f>
        <v>17.66835459913711</v>
      </c>
      <c r="E20" s="1041">
        <f t="shared" si="2"/>
        <v>0</v>
      </c>
      <c r="F20" s="1041">
        <f t="shared" si="2"/>
        <v>0</v>
      </c>
      <c r="G20" s="1041">
        <f t="shared" si="2"/>
        <v>0</v>
      </c>
      <c r="H20" s="1041">
        <f t="shared" si="2"/>
        <v>0</v>
      </c>
      <c r="I20" s="1041">
        <f>SUM(I17:I19)</f>
        <v>0</v>
      </c>
      <c r="J20" s="1041">
        <f>SUM(J17:J19)</f>
        <v>6440.62006151688</v>
      </c>
      <c r="K20" s="1041">
        <f t="shared" ref="K20:L20" si="3">SUM(K17:K19)</f>
        <v>0</v>
      </c>
      <c r="L20" s="1041">
        <f t="shared" si="3"/>
        <v>0</v>
      </c>
      <c r="M20" s="1041">
        <f>SUM(M17:M19)</f>
        <v>0</v>
      </c>
      <c r="N20" s="1041">
        <f>SUM(N17:N19)</f>
        <v>0</v>
      </c>
      <c r="O20" s="1041">
        <f>SUM(O17:O19)</f>
        <v>0</v>
      </c>
      <c r="P20" s="1041">
        <f>SUM(P17:P19)</f>
        <v>3.5690076290256965</v>
      </c>
    </row>
    <row r="22" spans="1:16">
      <c r="A22" s="474" t="s">
        <v>932</v>
      </c>
      <c r="B22" s="778" t="s">
        <v>926</v>
      </c>
      <c r="C22" s="778">
        <f ca="1">'EF ele_warmte'!B22</f>
        <v>6.5004171943850006E-4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0.12048499961120801</v>
      </c>
      <c r="C17" s="510">
        <f ca="1">'EF ele_warmte'!B22</f>
        <v>6.5004171943850006E-4</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2019-08-12T07:53:00Z</dcterms:modified>
</cp:coreProperties>
</file>