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<sst xmlns="http://schemas.openxmlformats.org/spreadsheetml/2006/main" count="2495" uniqueCount="954">
  <si>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</si>
  <si>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</si>
  <si>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</si>
  <si>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</si>
  <si>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</si>
  <si>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</si>
  <si>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</si>
  <si>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</si>
  <si>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</si>
  <si>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</si>
  <si>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</si>
  <si>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</si>
  <si>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</si>
  <si>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</si>
  <si>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</si>
  <si>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</si>
  <si>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</si>
  <si>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</si>
  <si>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</si>
  <si>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</si>
  <si>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</si>
  <si>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</si>
  <si>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</si>
  <si>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</si>
  <si>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</si>
  <si>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</si>
  <si>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</si>
  <si>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</si>
  <si>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</si>
  <si>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</si>
  <si>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</si>
  <si>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</si>
  <si>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</si>
  <si>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</si>
  <si>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</si>
  <si>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</si>
  <si>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</si>
  <si>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</si>
  <si>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</si>
  <si>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</si>
  <si>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</si>
  <si>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</si>
  <si>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</si>
  <si>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</si>
  <si>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</si>
  <si>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</si>
  <si>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</si>
  <si>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</si>
  <si>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</si>
  <si>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</si>
  <si>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</si>
  <si>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</si>
  <si>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</si>
  <si>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</si>
  <si>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</si>
  <si>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</si>
  <si>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</si>
  <si>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</si>
  <si>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</si>
  <si>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</si>
  <si>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</si>
  <si>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</si>
  <si>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</si>
  <si>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</si>
  <si>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</si>
  <si>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</si>
  <si>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</si>
  <si>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</si>
  <si>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</si>
  <si>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</si>
  <si>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</si>
  <si>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</si>
  <si>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</si>
  <si>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</si>
  <si>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</si>
  <si>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</si>
  <si>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</si>
  <si>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</si>
  <si>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</si>
  <si>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</si>
  <si>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</si>
  <si>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</si>
  <si>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</si>
  <si>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</si>
  <si>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</si>
  <si>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</si>
  <si>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</si>
  <si>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</si>
  <si>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</si>
  <si>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</si>
  <si>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</si>
  <si>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</si>
  <si>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</si>
  <si>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</si>
  <si>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</si>
  <si>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</si>
  <si>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</si>
  <si>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</si>
  <si>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</si>
  <si>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</si>
  <si>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</si>
  <si>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</si>
  <si>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</si>
  <si>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</si>
  <si>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</si>
  <si>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</si>
  <si>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</si>
  <si>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</si>
  <si>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</si>
  <si>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</si>
  <si>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</si>
  <si>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</si>
  <si>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</si>
  <si>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</si>
  <si>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</si>
  <si>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</si>
  <si>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</si>
  <si>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</si>
  <si>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</si>
  <si>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</si>
  <si>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</si>
  <si>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</si>
  <si>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</si>
  <si>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</si>
  <si>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</si>
  <si>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</si>
  <si>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</si>
  <si>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</si>
  <si>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</si>
  <si>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</si>
  <si>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</si>
  <si>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</si>
  <si>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</si>
  <si>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</si>
  <si>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</si>
  <si>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</si>
  <si>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</si>
  <si>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</si>
  <si>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</si>
  <si>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</si>
  <si>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</si>
  <si>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</si>
  <si>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</si>
  <si>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</si>
  <si>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</si>
  <si>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</si>
  <si>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</si>
  <si>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</si>
  <si>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</si>
  <si>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</si>
  <si>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</si>
  <si>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</si>
  <si>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</si>
  <si>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</si>
  <si>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</si>
  <si>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</si>
  <si>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</si>
  <si>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</si>
  <si>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</si>
  <si>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</si>
  <si>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</si>
  <si>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</si>
  <si>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</si>
  <si>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</si>
  <si>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</si>
  <si>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</si>
  <si>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</si>
  <si>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</si>
  <si>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</si>
  <si>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</si>
  <si>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</si>
  <si>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</si>
  <si>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</si>
  <si>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</si>
  <si>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</si>
  <si>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</si>
  <si>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</si>
  <si>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</si>
  <si>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</si>
  <si>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</si>
  <si>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</si>
  <si>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</si>
  <si>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</si>
  <si>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</si>
  <si>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</si>
  <si>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</si>
  <si>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</si>
  <si>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</si>
  <si>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</si>
  <si>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</si>
  <si>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</si>
  <si>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</si>
  <si>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</si>
  <si>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</si>
  <si>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</si>
  <si>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</si>
  <si>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</si>
  <si>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</si>
  <si>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</si>
  <si>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</si>
  <si>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</si>
  <si>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</si>
  <si>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</si>
  <si>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</si>
  <si>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</si>
  <si>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</si>
  <si>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</si>
  <si>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</si>
  <si>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</si>
  <si>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</si>
  <si>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</si>
  <si>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</si>
  <si>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</si>
  <si>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</si>
  <si>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</si>
  <si>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</si>
  <si>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</si>
  <si>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</si>
  <si>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</si>
  <si>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</si>
  <si>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</si>
  <si>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</si>
  <si>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</si>
  <si>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</si>
  <si>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</si>
  <si>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</si>
  <si>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</si>
  <si>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</si>
  <si>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</si>
  <si>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</si>
  <si>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</si>
  <si>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</si>
  <si>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</si>
  <si>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</si>
  <si>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</si>
  <si>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</si>
  <si>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</si>
  <si>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</si>
  <si>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</si>
  <si>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</si>
  <si>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</si>
  <si>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</si>
  <si>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</si>
  <si>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</si>
  <si>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</si>
  <si>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</si>
  <si>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</si>
  <si>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</si>
  <si>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</si>
  <si>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</si>
  <si>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</si>
  <si>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</si>
  <si>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</si>
  <si>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</si>
  <si>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</si>
  <si>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</si>
  <si>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</si>
  <si>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</si>
  <si>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</si>
  <si>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</si>
  <si>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</si>
  <si>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</si>
  <si>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</si>
  <si>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</si>
  <si>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</si>
  <si>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</si>
  <si>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</si>
  <si>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</si>
  <si>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</si>
  <si>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</si>
  <si>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</si>
  <si>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</si>
  <si>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</si>
  <si>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</si>
  <si>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</si>
  <si>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</si>
  <si>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</si>
  <si>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</si>
  <si>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</si>
  <si>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</si>
  <si>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</si>
  <si>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</si>
  <si>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</si>
  <si>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</si>
  <si>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</si>
  <si>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</si>
  <si>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</si>
  <si>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</si>
  <si>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</si>
  <si>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</si>
  <si>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</si>
  <si>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</si>
  <si>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</si>
  <si>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</si>
  <si>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</si>
  <si>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</si>
  <si>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</si>
  <si>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</si>
  <si>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</si>
  <si>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</si>
  <si>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</si>
  <si>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</si>
  <si>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</si>
  <si>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</si>
  <si>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</si>
  <si>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</si>
  <si>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</si>
  <si>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</si>
  <si>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</si>
  <si>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</si>
  <si>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</si>
  <si>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</si>
  <si>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</si>
  <si>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</si>
  <si>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</si>
  <si>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</si>
  <si>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</si>
  <si>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</si>
  <si>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</si>
  <si>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</si>
  <si>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</si>
  <si>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</si>
  <si>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</si>
  <si>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</si>
  <si>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</si>
  <si>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</si>
  <si>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</si>
  <si>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</si>
  <si>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</si>
  <si>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</si>
  <si>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</si>
  <si>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</si>
  <si>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</si>
  <si>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</si>
  <si>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</si>
  <si>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</si>
  <si>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</si>
  <si>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</si>
  <si>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</si>
  <si>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</si>
  <si>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</si>
  <si>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</si>
  <si>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</si>
  <si>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</si>
  <si>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</si>
  <si>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</si>
  <si>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</si>
  <si>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</si>
  <si>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</si>
  <si>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</si>
  <si>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</si>
  <si>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</si>
  <si>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</si>
  <si>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</si>
  <si>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</si>
  <si>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</si>
  <si>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</si>
  <si>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</si>
  <si>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</si>
  <si>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</si>
  <si>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</si>
  <si>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</si>
  <si>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</si>
  <si>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</si>
  <si>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</si>
  <si>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</si>
  <si>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</si>
  <si>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</si>
  <si>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</si>
  <si>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</si>
  <si>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</si>
  <si>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</si>
  <si>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</si>
  <si>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</si>
  <si>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</si>
  <si>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</si>
  <si>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</si>
  <si>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</si>
  <si>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</si>
  <si>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</si>
  <si>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</si>
  <si>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</si>
  <si>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</si>
  <si>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</si>
  <si>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</si>
  <si>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</si>
  <si>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</si>
  <si>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</si>
  <si>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</si>
  <si>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</si>
  <si>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</si>
  <si>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</si>
  <si>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</si>
  <si>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</si>
  <si>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</si>
  <si>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</si>
  <si>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</si>
  <si>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</si>
  <si>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</si>
  <si>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</si>
  <si>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</si>
  <si>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</si>
  <si>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</si>
  <si>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</si>
  <si>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</si>
  <si>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</si>
  <si>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</si>
  <si>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</si>
  <si>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</si>
  <si>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</si>
  <si>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</si>
  <si>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</si>
  <si>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</si>
  <si>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</si>
  <si>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</si>
  <si>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</si>
  <si>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</si>
  <si>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</si>
  <si>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</si>
  <si>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</si>
  <si>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</si>
  <si>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</si>
  <si>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</si>
  <si>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</si>
  <si>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</si>
  <si>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</si>
  <si>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</si>
  <si>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</si>
  <si>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</si>
  <si>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</si>
  <si>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</si>
  <si>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</si>
  <si>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</si>
  <si>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</si>
  <si>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</si>
  <si>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</si>
  <si>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</si>
  <si>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</si>
  <si>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</si>
  <si>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</si>
  <si>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</si>
  <si>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</si>
  <si>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</si>
  <si>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</si>
  <si>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</si>
  <si>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</si>
  <si>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</si>
  <si>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</si>
  <si>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</si>
  <si>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</si>
  <si>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</si>
  <si>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</si>
  <si>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</si>
  <si>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</si>
  <si>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</si>
  <si>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</si>
  <si>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</si>
  <si>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</si>
  <si>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</si>
  <si>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</si>
  <si>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</si>
  <si>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</si>
  <si>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</si>
  <si>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</si>
  <si>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</si>
  <si>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</si>
  <si>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</si>
  <si>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</si>
  <si>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</si>
  <si>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</si>
  <si>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</si>
  <si>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</si>
  <si>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</si>
  <si>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</si>
  <si>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</si>
  <si>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</si>
  <si>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</si>
  <si>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</si>
  <si>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</si>
  <si>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</si>
  <si>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</si>
  <si>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</si>
  <si>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</si>
  <si>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</si>
  <si>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</si>
  <si>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</si>
  <si>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</si>
  <si>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</si>
  <si>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</si>
  <si>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</si>
  <si>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</si>
  <si>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</si>
  <si>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</si>
  <si>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</si>
  <si>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</si>
  <si>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</si>
  <si>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</si>
  <si>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</si>
  <si>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</si>
  <si>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</si>
  <si>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</si>
  <si>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</si>
  <si>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</si>
  <si>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</si>
  <si>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</si>
  <si>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</si>
  <si>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</si>
  <si>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</si>
  <si>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</si>
  <si>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</si>
  <si>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</si>
  <si>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</si>
  <si>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</si>
  <si>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</si>
  <si>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</si>
  <si>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</si>
  <si>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</si>
  <si>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</si>
  <si>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</si>
  <si>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</si>
  <si>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</si>
  <si>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</si>
  <si>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</si>
  <si>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</si>
  <si>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</si>
  <si>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</si>
  <si>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</si>
  <si>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</si>
  <si>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</si>
  <si>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</si>
  <si>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</si>
  <si>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</si>
  <si>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</si>
  <si>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</si>
  <si>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</si>
  <si>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</si>
  <si>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</si>
  <si>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</si>
  <si>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</si>
  <si>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</si>
  <si>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</si>
  <si>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</si>
  <si>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</si>
  <si>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</si>
  <si>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</si>
  <si>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</si>
  <si>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</si>
  <si>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</si>
  <si>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</si>
  <si>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</si>
  <si>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</si>
  <si>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</si>
  <si>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</si>
  <si>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</si>
  <si>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</si>
  <si>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</si>
  <si>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</si>
  <si>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</si>
  <si>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</si>
  <si>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</si>
  <si>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</si>
  <si>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</si>
  <si>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</si>
  <si>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</si>
  <si>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</si>
  <si>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</si>
  <si>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</si>
  <si>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</si>
  <si>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</si>
  <si>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</si>
  <si>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</si>
  <si>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</si>
  <si>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</si>
  <si>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</si>
  <si>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</si>
  <si>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</si>
  <si>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</si>
  <si>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</si>
  <si>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</si>
  <si>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</si>
  <si>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</si>
  <si>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</si>
  <si>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</si>
  <si>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</si>
  <si>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</si>
  <si>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</si>
  <si>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</si>
  <si>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</si>
  <si>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</si>
  <si>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</si>
  <si>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</si>
  <si>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</si>
  <si>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</si>
  <si>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</si>
  <si>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</si>
  <si>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</si>
  <si>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</si>
  <si>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</si>
  <si>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</si>
  <si>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</si>
  <si>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</si>
  <si>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</si>
  <si>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</si>
  <si>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</si>
  <si>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</si>
  <si>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</si>
  <si>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</si>
  <si>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</si>
  <si>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</si>
  <si>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</si>
  <si>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</si>
  <si>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</si>
  <si>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</si>
  <si>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</si>
  <si>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</si>
  <si>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</si>
  <si>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</si>
  <si>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</si>
  <si>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</si>
  <si>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</si>
  <si>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</si>
  <si>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</si>
  <si>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</si>
  <si>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</si>
  <si>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</si>
  <si>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</si>
  <si>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</si>
  <si>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</si>
  <si>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</si>
  <si>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</si>
  <si>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</si>
  <si>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</si>
  <si>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</si>
  <si>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</si>
  <si>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</si>
  <si>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</si>
  <si>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</si>
  <si>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</si>
  <si>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</si>
  <si>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</si>
  <si>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</si>
  <si>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</si>
  <si>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</si>
  <si>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</si>
  <si>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</si>
  <si>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</si>
  <si>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</si>
  <si>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</si>
  <si>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</si>
  <si>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</si>
  <si>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</si>
  <si>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</si>
  <si>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</si>
  <si>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</si>
  <si>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</si>
  <si>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</si>
  <si>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</si>
  <si>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</si>
  <si>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</si>
  <si>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</si>
  <si>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</si>
  <si>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</si>
  <si>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</si>
  <si>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</si>
  <si>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</si>
  <si>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</si>
  <si>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</si>
  <si>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</si>
  <si>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</si>
  <si>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</si>
  <si>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</si>
  <si>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</si>
  <si>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</si>
  <si>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</si>
  <si>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</si>
  <si>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</si>
  <si>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</si>
  <si>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</si>
  <si>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</si>
  <si>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</si>
  <si>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</si>
  <si>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</si>
  <si>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</si>
  <si>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</si>
  <si>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</si>
  <si>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</si>
  <si>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</si>
  <si>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</si>
  <si>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</si>
  <si>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</si>
  <si>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</si>
  <si>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</si>
  <si>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</si>
  <si>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</si>
  <si>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</si>
  <si>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</si>
  <si>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</si>
  <si>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</si>
  <si>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</si>
  <si>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</si>
  <si>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</si>
  <si>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</si>
  <si>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</si>
  <si>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</si>
  <si>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</si>
  <si>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</si>
  <si>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</si>
  <si>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</si>
  <si>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</si>
  <si>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</si>
  <si>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</si>
  <si>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</si>
  <si>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</si>
  <si>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</si>
  <si>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</si>
  <si>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</si>
  <si>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</si>
  <si>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</si>
  <si>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</si>
  <si>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</si>
  <si>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</si>
  <si>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</si>
  <si>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</si>
  <si>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</si>
  <si>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</si>
  <si>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</si>
  <si>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</si>
  <si>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</si>
  <si>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</si>
  <si>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</si>
  <si>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</si>
  <si>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</si>
  <si>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</si>
  <si>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</si>
  <si>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</si>
  <si>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</si>
  <si>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</si>
  <si>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</si>
  <si>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</si>
  <si>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</si>
  <si>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</si>
  <si>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</si>
  <si>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</si>
  <si>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</si>
  <si>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</si>
  <si>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</si>
  <si>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</si>
  <si>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</si>
  <si>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</si>
  <si>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</si>
  <si>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</si>
  <si>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</si>
  <si>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</si>
  <si>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</si>
  <si>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</si>
  <si>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</si>
  <si>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</si>
  <si>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</si>
  <si>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</si>
  <si>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</si>
  <si>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</si>
  <si>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</si>
  <si>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</si>
  <si>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</si>
  <si>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</si>
  <si>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</si>
  <si>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</si>
  <si>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</si>
  <si>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</si>
  <si>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</si>
  <si>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</si>
  <si>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</si>
  <si>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</si>
  <si>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</si>
  <si>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</si>
  <si>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</si>
  <si>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</si>
  <si>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</si>
  <si>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</si>
  <si>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</si>
  <si>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</si>
  <si>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</si>
  <si>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</si>
  <si>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</si>
  <si>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</si>
  <si>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</si>
  <si>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</si>
  <si>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</si>
  <si>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</si>
  <si>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</si>
  <si>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</si>
  <si>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</si>
  <si>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</si>
  <si>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</si>
  <si>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</si>
  <si>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</si>
  <si>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</si>
  <si>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</si>
  <si>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</si>
  <si>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</si>
  <si>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</si>
  <si>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</si>
  <si>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</si>
  <si>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</si>
  <si>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</si>
  <si>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</si>
  <si>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</si>
  <si>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</si>
  <si>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</si>
  <si>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</si>
  <si>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</si>
  <si>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</si>
  <si>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</si>
  <si>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</si>
  <si>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</si>
  <si>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</si>
  <si>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</si>
  <si>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</si>
  <si>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</si>
  <si>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</si>
  <si>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</si>
  <si>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</si>
  <si>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</si>
  <si>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</si>
  <si>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</si>
  <si>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</si>
  <si>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</si>
  <si>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</si>
  <si>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</si>
  <si>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</si>
  <si>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</si>
  <si>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</si>
  <si>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</si>
  <si>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</si>
  <si>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</si>
  <si>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</si>
  <si>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</si>
  <si>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</si>
  <si>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</si>
  <si>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</si>
  <si>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</si>
  <si>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</si>
  <si>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</si>
  <si>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</si>
  <si>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</si>
  <si>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</si>
  <si>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</si>
  <si>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</si>
  <si>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</si>
  <si>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</si>
  <si>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</si>
  <si>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</si>
  <si>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</si>
  <si>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</si>
  <si>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</si>
  <si>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</si>
  <si>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</si>
  <si>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</si>
  <si>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</si>
  <si>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</si>
  <si>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</si>
  <si>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</si>
  <si>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</si>
  <si>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</si>
  <si>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</si>
  <si>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</si>
  <si>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</si>
  <si>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</si>
  <si>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</si>
  <si>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</si>
  <si>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</si>
  <si>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</si>
  <si>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</si>
  <si>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</si>
  <si>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</si>
  <si>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</si>
  <si>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</si>
  <si>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</si>
  <si>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</si>
  <si>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</si>
  <si>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</si>
  <si>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</si>
  <si>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</si>
  <si>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</si>
  <si>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</si>
  <si>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</si>
  <si>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</si>
  <si>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</si>
  <si>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</si>
  <si>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</si>
  <si>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</si>
  <si>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</si>
  <si>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</si>
  <si>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</si>
  <si>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</si>
  <si>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</si>
  <si>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</si>
  <si>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</si>
  <si>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</si>
  <si>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</si>
  <si>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</si>
  <si>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</si>
  <si>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</si>
  <si>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</si>
  <si>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</si>
  <si>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</si>
  <si>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</si>
  <si>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</si>
  <si>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</si>
  <si>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</si>
  <si>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</si>
  <si>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</si>
  <si>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</si>
  <si>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</si>
  <si>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</si>
  <si>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</si>
  <si>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</si>
  <si>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</si>
  <si>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</si>
  <si>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</si>
  <si>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</si>
  <si>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</si>
  <si>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</si>
  <si>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</si>
  <si>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</si>
  <si>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</si>
  <si>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</si>
  <si>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</si>
  <si>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</si>
  <si>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</si>
  <si>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</si>
  <si>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</si>
  <si>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</si>
  <si>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</si>
  <si>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</si>
  <si>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</si>
  <si>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</si>
  <si>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</si>
  <si>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</si>
  <si>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</si>
  <si>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</si>
  <si>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</si>
  <si>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13008</t>
  </si>
  <si>
    <t>GEEL</t>
  </si>
  <si>
    <t>Paarden&amp;pony's 200 - 600 kg</t>
  </si>
  <si>
    <t>Paarden&amp;pony's &lt; 200 kg</t>
  </si>
  <si>
    <t>op basis van VEA (maart 2018) en Inventaris Hernieuwbare Energiebronnen (juni 2018)</t>
  </si>
  <si>
    <t>VEA (juni 2018)</t>
  </si>
  <si>
    <t>Agrogas bvba</t>
  </si>
  <si>
    <t>Rendersvensedijk 12 , 2440 Geel</t>
  </si>
  <si>
    <t>WKK-0432 Agrogas</t>
  </si>
  <si>
    <t>interne verbrandingsmotor</t>
  </si>
  <si>
    <t>WKK interne verbrandinsgmotor (gas)</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</si>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</sst>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13008</v>
      </c>
      <c r="B6" s="397"/>
      <c r="C6" s="398"/>
    </row>
    <row r="7" spans="1:7" s="395" customFormat="1" ht="15.75" customHeight="1">
      <c r="A7" s="399" t="str">
        <f>txtMunicipality</f>
        <v>GEEL</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0.20561699557962179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0.20561699557962179</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13008</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15820</v>
      </c>
      <c r="C9" s="338">
        <v>16933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5330</v>
      </c>
    </row>
    <row r="15" spans="1:6">
      <c r="A15" s="1286" t="s">
        <v>184</v>
      </c>
      <c r="B15" s="335">
        <v>10181</v>
      </c>
    </row>
    <row r="16" spans="1:6">
      <c r="A16" s="1286" t="s">
        <v>6</v>
      </c>
      <c r="B16" s="335">
        <v>3227</v>
      </c>
    </row>
    <row r="17" spans="1:6">
      <c r="A17" s="1286" t="s">
        <v>7</v>
      </c>
      <c r="B17" s="335">
        <v>644</v>
      </c>
    </row>
    <row r="18" spans="1:6">
      <c r="A18" s="1286" t="s">
        <v>8</v>
      </c>
      <c r="B18" s="335">
        <v>2238</v>
      </c>
    </row>
    <row r="19" spans="1:6">
      <c r="A19" s="1286" t="s">
        <v>9</v>
      </c>
      <c r="B19" s="335">
        <v>2134</v>
      </c>
    </row>
    <row r="20" spans="1:6">
      <c r="A20" s="1286" t="s">
        <v>10</v>
      </c>
      <c r="B20" s="335">
        <v>1357</v>
      </c>
    </row>
    <row r="21" spans="1:6">
      <c r="A21" s="1286" t="s">
        <v>11</v>
      </c>
      <c r="B21" s="335">
        <v>5063</v>
      </c>
    </row>
    <row r="22" spans="1:6">
      <c r="A22" s="1286" t="s">
        <v>12</v>
      </c>
      <c r="B22" s="335">
        <v>11673</v>
      </c>
    </row>
    <row r="23" spans="1:6">
      <c r="A23" s="1286" t="s">
        <v>13</v>
      </c>
      <c r="B23" s="335">
        <v>302</v>
      </c>
    </row>
    <row r="24" spans="1:6">
      <c r="A24" s="1286" t="s">
        <v>14</v>
      </c>
      <c r="B24" s="335">
        <v>16</v>
      </c>
    </row>
    <row r="25" spans="1:6">
      <c r="A25" s="1286" t="s">
        <v>15</v>
      </c>
      <c r="B25" s="335">
        <v>1609</v>
      </c>
    </row>
    <row r="26" spans="1:6">
      <c r="A26" s="1286" t="s">
        <v>16</v>
      </c>
      <c r="B26" s="335">
        <v>98</v>
      </c>
    </row>
    <row r="27" spans="1:6">
      <c r="A27" s="1286" t="s">
        <v>17</v>
      </c>
      <c r="B27" s="335">
        <v>16</v>
      </c>
    </row>
    <row r="28" spans="1:6" s="341" customFormat="1">
      <c r="A28" s="1287" t="s">
        <v>18</v>
      </c>
      <c r="B28" s="1287">
        <v>397849</v>
      </c>
    </row>
    <row r="29" spans="1:6">
      <c r="A29" s="1287" t="s">
        <v>944</v>
      </c>
      <c r="B29" s="1287">
        <v>443</v>
      </c>
      <c r="C29" s="341"/>
      <c r="D29" s="341"/>
      <c r="E29" s="341"/>
      <c r="F29" s="341"/>
    </row>
    <row r="30" spans="1:6">
      <c r="A30" s="1282" t="s">
        <v>945</v>
      </c>
      <c r="B30" s="1282">
        <v>89</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3</v>
      </c>
      <c r="F36" s="335">
        <v>15808.409528295801</v>
      </c>
    </row>
    <row r="37" spans="1:6">
      <c r="A37" s="1286" t="s">
        <v>25</v>
      </c>
      <c r="B37" s="1286" t="s">
        <v>28</v>
      </c>
      <c r="C37" s="335">
        <v>0</v>
      </c>
      <c r="D37" s="335">
        <v>0</v>
      </c>
      <c r="E37" s="335">
        <v>0</v>
      </c>
      <c r="F37" s="335">
        <v>0</v>
      </c>
    </row>
    <row r="38" spans="1:6">
      <c r="A38" s="1286" t="s">
        <v>25</v>
      </c>
      <c r="B38" s="1286" t="s">
        <v>29</v>
      </c>
      <c r="C38" s="335">
        <v>1</v>
      </c>
      <c r="D38" s="335">
        <v>13144.5837458923</v>
      </c>
      <c r="E38" s="335">
        <v>4</v>
      </c>
      <c r="F38" s="335">
        <v>42300.247850174703</v>
      </c>
    </row>
    <row r="39" spans="1:6">
      <c r="A39" s="1286" t="s">
        <v>30</v>
      </c>
      <c r="B39" s="1286" t="s">
        <v>31</v>
      </c>
      <c r="C39" s="335">
        <v>9946</v>
      </c>
      <c r="D39" s="335">
        <v>179993605.98349699</v>
      </c>
      <c r="E39" s="335">
        <v>15656</v>
      </c>
      <c r="F39" s="335">
        <v>59387987.145776197</v>
      </c>
    </row>
    <row r="40" spans="1:6">
      <c r="A40" s="1286" t="s">
        <v>30</v>
      </c>
      <c r="B40" s="1286" t="s">
        <v>29</v>
      </c>
      <c r="C40" s="335">
        <v>0</v>
      </c>
      <c r="D40" s="335">
        <v>0</v>
      </c>
      <c r="E40" s="335">
        <v>0</v>
      </c>
      <c r="F40" s="335">
        <v>0</v>
      </c>
    </row>
    <row r="41" spans="1:6">
      <c r="A41" s="1286" t="s">
        <v>32</v>
      </c>
      <c r="B41" s="1286" t="s">
        <v>33</v>
      </c>
      <c r="C41" s="335">
        <v>125</v>
      </c>
      <c r="D41" s="335">
        <v>3926552.9972174801</v>
      </c>
      <c r="E41" s="335">
        <v>292</v>
      </c>
      <c r="F41" s="335">
        <v>5450425.8181837797</v>
      </c>
    </row>
    <row r="42" spans="1:6">
      <c r="A42" s="1286" t="s">
        <v>32</v>
      </c>
      <c r="B42" s="1286" t="s">
        <v>34</v>
      </c>
      <c r="C42" s="335">
        <v>5</v>
      </c>
      <c r="D42" s="335">
        <v>85100226.676101893</v>
      </c>
      <c r="E42" s="335">
        <v>6</v>
      </c>
      <c r="F42" s="335">
        <v>60708040.635077998</v>
      </c>
    </row>
    <row r="43" spans="1:6">
      <c r="A43" s="1286" t="s">
        <v>32</v>
      </c>
      <c r="B43" s="1286" t="s">
        <v>35</v>
      </c>
      <c r="C43" s="335">
        <v>3</v>
      </c>
      <c r="D43" s="335">
        <v>5466936.80905273</v>
      </c>
      <c r="E43" s="335">
        <v>0</v>
      </c>
      <c r="F43" s="335">
        <v>0</v>
      </c>
    </row>
    <row r="44" spans="1:6">
      <c r="A44" s="1286" t="s">
        <v>32</v>
      </c>
      <c r="B44" s="1286" t="s">
        <v>36</v>
      </c>
      <c r="C44" s="335">
        <v>3</v>
      </c>
      <c r="D44" s="335">
        <v>62359.419612040903</v>
      </c>
      <c r="E44" s="335">
        <v>19</v>
      </c>
      <c r="F44" s="335">
        <v>1900969.7866471801</v>
      </c>
    </row>
    <row r="45" spans="1:6">
      <c r="A45" s="1286" t="s">
        <v>32</v>
      </c>
      <c r="B45" s="1286" t="s">
        <v>37</v>
      </c>
      <c r="C45" s="335">
        <v>0</v>
      </c>
      <c r="D45" s="335">
        <v>0</v>
      </c>
      <c r="E45" s="335">
        <v>3</v>
      </c>
      <c r="F45" s="335">
        <v>271528.53360307001</v>
      </c>
    </row>
    <row r="46" spans="1:6">
      <c r="A46" s="1286" t="s">
        <v>32</v>
      </c>
      <c r="B46" s="1286" t="s">
        <v>38</v>
      </c>
      <c r="C46" s="335">
        <v>0</v>
      </c>
      <c r="D46" s="335">
        <v>0</v>
      </c>
      <c r="E46" s="335">
        <v>0</v>
      </c>
      <c r="F46" s="335">
        <v>0</v>
      </c>
    </row>
    <row r="47" spans="1:6">
      <c r="A47" s="1286" t="s">
        <v>32</v>
      </c>
      <c r="B47" s="1286" t="s">
        <v>39</v>
      </c>
      <c r="C47" s="335">
        <v>5</v>
      </c>
      <c r="D47" s="335">
        <v>299454.66644533898</v>
      </c>
      <c r="E47" s="335">
        <v>5</v>
      </c>
      <c r="F47" s="335">
        <v>116700.735558145</v>
      </c>
    </row>
    <row r="48" spans="1:6">
      <c r="A48" s="1286" t="s">
        <v>32</v>
      </c>
      <c r="B48" s="1286" t="s">
        <v>29</v>
      </c>
      <c r="C48" s="335">
        <v>42</v>
      </c>
      <c r="D48" s="335">
        <v>39431094.669157296</v>
      </c>
      <c r="E48" s="335">
        <v>58</v>
      </c>
      <c r="F48" s="335">
        <v>32733185.606858101</v>
      </c>
    </row>
    <row r="49" spans="1:6">
      <c r="A49" s="1286" t="s">
        <v>32</v>
      </c>
      <c r="B49" s="1286" t="s">
        <v>40</v>
      </c>
      <c r="C49" s="335">
        <v>0</v>
      </c>
      <c r="D49" s="335">
        <v>0</v>
      </c>
      <c r="E49" s="335">
        <v>0</v>
      </c>
      <c r="F49" s="335">
        <v>0</v>
      </c>
    </row>
    <row r="50" spans="1:6">
      <c r="A50" s="1286" t="s">
        <v>32</v>
      </c>
      <c r="B50" s="1286" t="s">
        <v>41</v>
      </c>
      <c r="C50" s="335">
        <v>9</v>
      </c>
      <c r="D50" s="335">
        <v>765214.62787433399</v>
      </c>
      <c r="E50" s="335">
        <v>16</v>
      </c>
      <c r="F50" s="335">
        <v>609607.70815878699</v>
      </c>
    </row>
    <row r="51" spans="1:6">
      <c r="A51" s="1286" t="s">
        <v>42</v>
      </c>
      <c r="B51" s="1286" t="s">
        <v>43</v>
      </c>
      <c r="C51" s="335">
        <v>7</v>
      </c>
      <c r="D51" s="335">
        <v>138865.885188749</v>
      </c>
      <c r="E51" s="335">
        <v>165</v>
      </c>
      <c r="F51" s="335">
        <v>4625507.0180820199</v>
      </c>
    </row>
    <row r="52" spans="1:6">
      <c r="A52" s="1286" t="s">
        <v>42</v>
      </c>
      <c r="B52" s="1286" t="s">
        <v>29</v>
      </c>
      <c r="C52" s="335">
        <v>9</v>
      </c>
      <c r="D52" s="335">
        <v>402423.60943098401</v>
      </c>
      <c r="E52" s="335">
        <v>8</v>
      </c>
      <c r="F52" s="335">
        <v>29488.6153783519</v>
      </c>
    </row>
    <row r="53" spans="1:6">
      <c r="A53" s="1286" t="s">
        <v>44</v>
      </c>
      <c r="B53" s="1286" t="s">
        <v>45</v>
      </c>
      <c r="C53" s="335">
        <v>255</v>
      </c>
      <c r="D53" s="335">
        <v>18507753.005861901</v>
      </c>
      <c r="E53" s="335">
        <v>574</v>
      </c>
      <c r="F53" s="335">
        <v>12373885.1095178</v>
      </c>
    </row>
    <row r="54" spans="1:6">
      <c r="A54" s="1286" t="s">
        <v>46</v>
      </c>
      <c r="B54" s="1286" t="s">
        <v>47</v>
      </c>
      <c r="C54" s="335">
        <v>0</v>
      </c>
      <c r="D54" s="335">
        <v>0</v>
      </c>
      <c r="E54" s="335">
        <v>1</v>
      </c>
      <c r="F54" s="335">
        <v>1693087</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75</v>
      </c>
      <c r="D57" s="335">
        <v>4217855.8708749805</v>
      </c>
      <c r="E57" s="335">
        <v>302</v>
      </c>
      <c r="F57" s="335">
        <v>7223450.8213565098</v>
      </c>
    </row>
    <row r="58" spans="1:6">
      <c r="A58" s="1286" t="s">
        <v>49</v>
      </c>
      <c r="B58" s="1286" t="s">
        <v>51</v>
      </c>
      <c r="C58" s="335">
        <v>63</v>
      </c>
      <c r="D58" s="335">
        <v>14347272.9095536</v>
      </c>
      <c r="E58" s="335">
        <v>107</v>
      </c>
      <c r="F58" s="335">
        <v>6654281.9668745399</v>
      </c>
    </row>
    <row r="59" spans="1:6">
      <c r="A59" s="1286" t="s">
        <v>49</v>
      </c>
      <c r="B59" s="1286" t="s">
        <v>52</v>
      </c>
      <c r="C59" s="335">
        <v>323</v>
      </c>
      <c r="D59" s="335">
        <v>23881725.513561901</v>
      </c>
      <c r="E59" s="335">
        <v>569</v>
      </c>
      <c r="F59" s="335">
        <v>20671818.413243599</v>
      </c>
    </row>
    <row r="60" spans="1:6">
      <c r="A60" s="1286" t="s">
        <v>49</v>
      </c>
      <c r="B60" s="1286" t="s">
        <v>53</v>
      </c>
      <c r="C60" s="335">
        <v>145</v>
      </c>
      <c r="D60" s="335">
        <v>8188127.1810840704</v>
      </c>
      <c r="E60" s="335">
        <v>224</v>
      </c>
      <c r="F60" s="335">
        <v>5449069.4725860599</v>
      </c>
    </row>
    <row r="61" spans="1:6">
      <c r="A61" s="1286" t="s">
        <v>49</v>
      </c>
      <c r="B61" s="1286" t="s">
        <v>54</v>
      </c>
      <c r="C61" s="335">
        <v>436</v>
      </c>
      <c r="D61" s="335">
        <v>26623148.590032801</v>
      </c>
      <c r="E61" s="335">
        <v>710</v>
      </c>
      <c r="F61" s="335">
        <v>28883491.504939001</v>
      </c>
    </row>
    <row r="62" spans="1:6">
      <c r="A62" s="1286" t="s">
        <v>49</v>
      </c>
      <c r="B62" s="1286" t="s">
        <v>55</v>
      </c>
      <c r="C62" s="335">
        <v>37</v>
      </c>
      <c r="D62" s="335">
        <v>5189181.8581680199</v>
      </c>
      <c r="E62" s="335">
        <v>43</v>
      </c>
      <c r="F62" s="335">
        <v>2497675.3352522198</v>
      </c>
    </row>
    <row r="63" spans="1:6">
      <c r="A63" s="1286" t="s">
        <v>49</v>
      </c>
      <c r="B63" s="1286" t="s">
        <v>29</v>
      </c>
      <c r="C63" s="335">
        <v>99</v>
      </c>
      <c r="D63" s="335">
        <v>11065964.896701699</v>
      </c>
      <c r="E63" s="335">
        <v>113</v>
      </c>
      <c r="F63" s="335">
        <v>11790366.4209681</v>
      </c>
    </row>
    <row r="64" spans="1:6">
      <c r="A64" s="1286" t="s">
        <v>56</v>
      </c>
      <c r="B64" s="1286" t="s">
        <v>57</v>
      </c>
      <c r="C64" s="335">
        <v>0</v>
      </c>
      <c r="D64" s="335">
        <v>0</v>
      </c>
      <c r="E64" s="335">
        <v>0</v>
      </c>
      <c r="F64" s="335">
        <v>0</v>
      </c>
    </row>
    <row r="65" spans="1:6">
      <c r="A65" s="1286" t="s">
        <v>56</v>
      </c>
      <c r="B65" s="1286" t="s">
        <v>29</v>
      </c>
      <c r="C65" s="335">
        <v>1</v>
      </c>
      <c r="D65" s="335">
        <v>44882.689410252002</v>
      </c>
      <c r="E65" s="335">
        <v>4</v>
      </c>
      <c r="F65" s="335">
        <v>56004.155253902602</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5</v>
      </c>
      <c r="D68" s="335">
        <v>349109.476653383</v>
      </c>
      <c r="E68" s="335">
        <v>23</v>
      </c>
      <c r="F68" s="335">
        <v>559123.71711607103</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264574498</v>
      </c>
      <c r="E73" s="335">
        <v>281393687.3900882</v>
      </c>
    </row>
    <row r="74" spans="1:6">
      <c r="A74" s="1286" t="s">
        <v>64</v>
      </c>
      <c r="B74" s="1286" t="s">
        <v>772</v>
      </c>
      <c r="C74" s="1297" t="s">
        <v>766</v>
      </c>
      <c r="D74" s="335">
        <v>22872336.948673923</v>
      </c>
      <c r="E74" s="335">
        <v>26119228.271645259</v>
      </c>
    </row>
    <row r="75" spans="1:6">
      <c r="A75" s="1286" t="s">
        <v>65</v>
      </c>
      <c r="B75" s="1286" t="s">
        <v>771</v>
      </c>
      <c r="C75" s="1297" t="s">
        <v>767</v>
      </c>
      <c r="D75" s="335">
        <v>55431376</v>
      </c>
      <c r="E75" s="335">
        <v>58417157.115649074</v>
      </c>
    </row>
    <row r="76" spans="1:6">
      <c r="A76" s="1286" t="s">
        <v>65</v>
      </c>
      <c r="B76" s="1286" t="s">
        <v>772</v>
      </c>
      <c r="C76" s="1297" t="s">
        <v>768</v>
      </c>
      <c r="D76" s="335">
        <v>870218.94867392292</v>
      </c>
      <c r="E76" s="335">
        <v>1142233.0175830713</v>
      </c>
    </row>
    <row r="77" spans="1:6">
      <c r="A77" s="1286" t="s">
        <v>66</v>
      </c>
      <c r="B77" s="1286" t="s">
        <v>771</v>
      </c>
      <c r="C77" s="1297" t="s">
        <v>769</v>
      </c>
      <c r="D77" s="335">
        <v>73391799</v>
      </c>
      <c r="E77" s="335">
        <v>86233484.924706101</v>
      </c>
    </row>
    <row r="78" spans="1:6">
      <c r="A78" s="1282" t="s">
        <v>66</v>
      </c>
      <c r="B78" s="1282" t="s">
        <v>772</v>
      </c>
      <c r="C78" s="1282" t="s">
        <v>770</v>
      </c>
      <c r="D78" s="1282">
        <v>17016905</v>
      </c>
      <c r="E78" s="1282">
        <v>18636056.923486974</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1057490.1026521542</v>
      </c>
      <c r="C83" s="335">
        <v>995459.28161202092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8727.0418155483057</v>
      </c>
    </row>
    <row r="92" spans="1:6">
      <c r="A92" s="1282" t="s">
        <v>69</v>
      </c>
      <c r="B92" s="338">
        <v>9075.6251729899268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5739</v>
      </c>
    </row>
    <row r="98" spans="1:6">
      <c r="A98" s="1286" t="s">
        <v>72</v>
      </c>
      <c r="B98" s="335">
        <v>29</v>
      </c>
    </row>
    <row r="99" spans="1:6">
      <c r="A99" s="1286" t="s">
        <v>73</v>
      </c>
      <c r="B99" s="335">
        <v>146</v>
      </c>
    </row>
    <row r="100" spans="1:6">
      <c r="A100" s="1286" t="s">
        <v>74</v>
      </c>
      <c r="B100" s="335">
        <v>564</v>
      </c>
    </row>
    <row r="101" spans="1:6">
      <c r="A101" s="1286" t="s">
        <v>75</v>
      </c>
      <c r="B101" s="335">
        <v>165</v>
      </c>
    </row>
    <row r="102" spans="1:6">
      <c r="A102" s="1286" t="s">
        <v>76</v>
      </c>
      <c r="B102" s="335">
        <v>199</v>
      </c>
    </row>
    <row r="103" spans="1:6">
      <c r="A103" s="1286" t="s">
        <v>77</v>
      </c>
      <c r="B103" s="335">
        <v>307</v>
      </c>
    </row>
    <row r="104" spans="1:6">
      <c r="A104" s="1286" t="s">
        <v>78</v>
      </c>
      <c r="B104" s="335">
        <v>6048</v>
      </c>
    </row>
    <row r="105" spans="1:6">
      <c r="A105" s="1282" t="s">
        <v>79</v>
      </c>
      <c r="B105" s="1282">
        <v>15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42</v>
      </c>
      <c r="C123" s="335">
        <v>26</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171</v>
      </c>
    </row>
    <row r="130" spans="1:6">
      <c r="A130" s="1286" t="s">
        <v>295</v>
      </c>
      <c r="B130" s="335">
        <v>0</v>
      </c>
    </row>
    <row r="131" spans="1:6">
      <c r="A131" s="1286" t="s">
        <v>296</v>
      </c>
      <c r="B131" s="335">
        <v>0</v>
      </c>
    </row>
    <row r="132" spans="1:6">
      <c r="A132" s="1282" t="s">
        <v>297</v>
      </c>
      <c r="B132" s="338">
        <v>39</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271805.88656192768</v>
      </c>
      <c r="C3" s="44" t="s">
        <v>170</v>
      </c>
      <c r="D3" s="44"/>
      <c r="E3" s="157"/>
      <c r="F3" s="44"/>
      <c r="G3" s="44"/>
      <c r="H3" s="44"/>
      <c r="I3" s="44"/>
      <c r="J3" s="44"/>
      <c r="K3" s="97"/>
    </row>
    <row r="4" spans="1:11">
      <c r="A4" s="365" t="s">
        <v>171</v>
      </c>
      <c r="B4" s="50">
        <f>IF(ISERROR('SEAP template'!B78+'SEAP template'!C78),0,'SEAP template'!B78+'SEAP template'!C78)</f>
        <v>18919.416988538233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0.20561699557962179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1595.3571428571429</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1693.087</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1693.087</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0.20561699557962179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348.1274621949151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59387.987145776198</v>
      </c>
      <c r="C5" s="18">
        <f>IF(ISERROR('Eigen informatie GS &amp; warmtenet'!B57),0,'Eigen informatie GS &amp; warmtenet'!B57)</f>
        <v>0</v>
      </c>
      <c r="D5" s="31">
        <f>(SUM(HH_hh_gas_kWh,HH_rest_gas_kWh)/1000)*0.902</f>
        <v>162354.23259711429</v>
      </c>
      <c r="E5" s="18">
        <f>B46*B57</f>
        <v>12984.363212499888</v>
      </c>
      <c r="F5" s="18">
        <f>B51*B62</f>
        <v>44645.696297872186</v>
      </c>
      <c r="G5" s="19"/>
      <c r="H5" s="18"/>
      <c r="I5" s="18"/>
      <c r="J5" s="18">
        <f>B50*B61+C50*C61</f>
        <v>0</v>
      </c>
      <c r="K5" s="18"/>
      <c r="L5" s="18"/>
      <c r="M5" s="18"/>
      <c r="N5" s="18">
        <f>B48*B59+C48*C59</f>
        <v>47654.792017433749</v>
      </c>
      <c r="O5" s="18">
        <f>B69*B70*B71</f>
        <v>307.97666666666669</v>
      </c>
      <c r="P5" s="18">
        <f>B77*B78*B79/1000-B77*B78*B79/1000/B80</f>
        <v>1544.4</v>
      </c>
    </row>
    <row r="6" spans="1:16">
      <c r="A6" s="17" t="s">
        <v>639</v>
      </c>
      <c r="B6" s="780">
        <f>kWh_PV_kleiner_dan_10kW</f>
        <v>8727.0418155483057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68115.028961324511</v>
      </c>
      <c r="C8" s="22">
        <f>C5</f>
        <v>0</v>
      </c>
      <c r="D8" s="22">
        <f>D5</f>
        <v>162354.23259711429</v>
      </c>
      <c r="E8" s="22">
        <f>E5</f>
        <v>12984.363212499888</v>
      </c>
      <c r="F8" s="22">
        <f>F5</f>
        <v>44645.696297872186</v>
      </c>
      <c r="G8" s="22"/>
      <c r="H8" s="22"/>
      <c r="I8" s="22"/>
      <c r="J8" s="22">
        <f>J5</f>
        <v>0</v>
      </c>
      <c r="K8" s="22"/>
      <c r="L8" s="22">
        <f>L5</f>
        <v>0</v>
      </c>
      <c r="M8" s="22">
        <f>M5</f>
        <v>0</v>
      </c>
      <c r="N8" s="22">
        <f>N5</f>
        <v>47654.792017433749</v>
      </c>
      <c r="O8" s="22">
        <f>O5</f>
        <v>307.97666666666669</v>
      </c>
      <c r="P8" s="22">
        <f>P5</f>
        <v>1544.4</v>
      </c>
    </row>
    <row r="9" spans="1:16">
      <c r="B9" s="20"/>
      <c r="C9" s="20"/>
      <c r="D9" s="262"/>
      <c r="E9" s="20"/>
      <c r="F9" s="20"/>
      <c r="G9" s="20"/>
      <c r="H9" s="20"/>
      <c r="I9" s="20"/>
      <c r="J9" s="20"/>
      <c r="K9" s="20"/>
      <c r="L9" s="20"/>
      <c r="M9" s="20"/>
      <c r="N9" s="20"/>
      <c r="O9" s="20"/>
      <c r="P9" s="20"/>
    </row>
    <row r="10" spans="1:16">
      <c r="A10" s="25" t="s">
        <v>214</v>
      </c>
      <c r="B10" s="26">
        <f ca="1">'EF ele_warmte'!B12</f>
        <v>0.20561699557962179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14005.607608846472</v>
      </c>
      <c r="C12" s="24">
        <f ca="1">C10*C8</f>
        <v>0</v>
      </c>
      <c r="D12" s="24">
        <f>D8*D10</f>
        <v>32795.554984617091</v>
      </c>
      <c r="E12" s="24">
        <f>E10*E8</f>
        <v>2947.4504492374745</v>
      </c>
      <c r="F12" s="24">
        <f>F10*F8</f>
        <v>11920.400911531875</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5739</v>
      </c>
      <c r="C18" s="169" t="s">
        <v>111</v>
      </c>
      <c r="D18" s="231"/>
      <c r="E18" s="16"/>
    </row>
    <row r="19" spans="1:7">
      <c r="A19" s="174" t="s">
        <v>72</v>
      </c>
      <c r="B19" s="38">
        <f>aantalw2001_ander</f>
        <v>29</v>
      </c>
      <c r="C19" s="169" t="s">
        <v>111</v>
      </c>
      <c r="D19" s="232"/>
      <c r="E19" s="16"/>
    </row>
    <row r="20" spans="1:7">
      <c r="A20" s="174" t="s">
        <v>73</v>
      </c>
      <c r="B20" s="38">
        <f>aantalw2001_propaan</f>
        <v>146</v>
      </c>
      <c r="C20" s="170">
        <f>IF(ISERROR(B20/SUM($B$20,$B$21,$B$22)*100),0,B20/SUM($B$20,$B$21,$B$22)*100)</f>
        <v>16.685714285714287</v>
      </c>
      <c r="D20" s="232"/>
      <c r="E20" s="16"/>
    </row>
    <row r="21" spans="1:7">
      <c r="A21" s="174" t="s">
        <v>74</v>
      </c>
      <c r="B21" s="38">
        <f>aantalw2001_elektriciteit</f>
        <v>564</v>
      </c>
      <c r="C21" s="170">
        <f>IF(ISERROR(B21/SUM($B$20,$B$21,$B$22)*100),0,B21/SUM($B$20,$B$21,$B$22)*100)</f>
        <v>64.457142857142856</v>
      </c>
      <c r="D21" s="232"/>
      <c r="E21" s="16"/>
    </row>
    <row r="22" spans="1:7">
      <c r="A22" s="174" t="s">
        <v>75</v>
      </c>
      <c r="B22" s="38">
        <f>aantalw2001_hout</f>
        <v>165</v>
      </c>
      <c r="C22" s="170">
        <f>IF(ISERROR(B22/SUM($B$20,$B$21,$B$22)*100),0,B22/SUM($B$20,$B$21,$B$22)*100)</f>
        <v>18.857142857142858</v>
      </c>
      <c r="D22" s="232"/>
      <c r="E22" s="16"/>
    </row>
    <row r="23" spans="1:7">
      <c r="A23" s="174" t="s">
        <v>76</v>
      </c>
      <c r="B23" s="38">
        <f>aantalw2001_niet_gespec</f>
        <v>199</v>
      </c>
      <c r="C23" s="169" t="s">
        <v>111</v>
      </c>
      <c r="D23" s="231"/>
      <c r="E23" s="16"/>
    </row>
    <row r="24" spans="1:7">
      <c r="A24" s="174" t="s">
        <v>77</v>
      </c>
      <c r="B24" s="38">
        <f>aantalw2001_steenkool</f>
        <v>307</v>
      </c>
      <c r="C24" s="169" t="s">
        <v>111</v>
      </c>
      <c r="D24" s="232"/>
      <c r="E24" s="16"/>
    </row>
    <row r="25" spans="1:7">
      <c r="A25" s="174" t="s">
        <v>78</v>
      </c>
      <c r="B25" s="38">
        <f>aantalw2001_stookolie</f>
        <v>6048</v>
      </c>
      <c r="C25" s="169" t="s">
        <v>111</v>
      </c>
      <c r="D25" s="231"/>
      <c r="E25" s="53"/>
    </row>
    <row r="26" spans="1:7">
      <c r="A26" s="174" t="s">
        <v>79</v>
      </c>
      <c r="B26" s="38">
        <f>aantalw2001_WP</f>
        <v>15</v>
      </c>
      <c r="C26" s="169" t="s">
        <v>111</v>
      </c>
      <c r="D26" s="231"/>
      <c r="E26" s="16"/>
    </row>
    <row r="27" spans="1:7" s="16" customFormat="1">
      <c r="A27" s="174"/>
      <c r="B27" s="30"/>
      <c r="C27" s="37"/>
      <c r="D27" s="231"/>
    </row>
    <row r="28" spans="1:7" s="16" customFormat="1">
      <c r="A28" s="233" t="s">
        <v>665</v>
      </c>
      <c r="B28" s="38">
        <f>aantalHuishoudens2011</f>
        <v>15820</v>
      </c>
      <c r="C28" s="37"/>
      <c r="D28" s="231"/>
    </row>
    <row r="29" spans="1:7" s="16" customFormat="1">
      <c r="A29" s="233" t="s">
        <v>666</v>
      </c>
      <c r="B29" s="38">
        <f>SUM(HH_hh_gas_aantal,HH_rest_gas_aantal)</f>
        <v>9946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9946</v>
      </c>
      <c r="C32" s="170">
        <f>IF(ISERROR(B32/SUM($B$32,$B$34,$B$35,$B$36,$B$38,$B$39)*100),0,B32/SUM($B$32,$B$34,$B$35,$B$36,$B$38,$B$39)*100)</f>
        <v>63.193341381282167</v>
      </c>
      <c r="D32" s="236"/>
      <c r="G32" s="16"/>
    </row>
    <row r="33" spans="1:7">
      <c r="A33" s="174" t="s">
        <v>72</v>
      </c>
      <c r="B33" s="35" t="s">
        <v>111</v>
      </c>
      <c r="C33" s="170"/>
      <c r="D33" s="236"/>
      <c r="G33" s="16"/>
    </row>
    <row r="34" spans="1:7">
      <c r="A34" s="174" t="s">
        <v>73</v>
      </c>
      <c r="B34" s="34">
        <f>IF((($B$28-$B$32-$B$39-$B$77-$B$38)*C20/100)&lt;0,0,($B$28-$B$32-$B$39-$B$77-$B$38)*C20/100)</f>
        <v>589.22262857142869</v>
      </c>
      <c r="C34" s="170">
        <f>IF(ISERROR(B34/SUM($B$32,$B$34,$B$35,$B$36,$B$38,$B$39)*100),0,B34/SUM($B$32,$B$34,$B$35,$B$36,$B$38,$B$39)*100)</f>
        <v>3.743710709520482</v>
      </c>
      <c r="D34" s="236"/>
      <c r="G34" s="16"/>
    </row>
    <row r="35" spans="1:7">
      <c r="A35" s="174" t="s">
        <v>74</v>
      </c>
      <c r="B35" s="34">
        <f>IF((($B$28-$B$32-$B$39-$B$77-$B$38)*C21/100)&lt;0,0,($B$28-$B$32-$B$39-$B$77-$B$38)*C21/100)</f>
        <v>2276.1750857142856</v>
      </c>
      <c r="C35" s="170">
        <f>IF(ISERROR(B35/SUM($B$32,$B$34,$B$35,$B$36,$B$38,$B$39)*100),0,B35/SUM($B$32,$B$34,$B$35,$B$36,$B$38,$B$39)*100)</f>
        <v>14.462005754585968</v>
      </c>
      <c r="D35" s="236"/>
      <c r="G35" s="16"/>
    </row>
    <row r="36" spans="1:7">
      <c r="A36" s="174" t="s">
        <v>75</v>
      </c>
      <c r="B36" s="34">
        <f>IF((($B$28-$B$32-$B$39-$B$77-$B$38)*C22/100)&lt;0,0,($B$28-$B$32-$B$39-$B$77-$B$38)*C22/100)</f>
        <v>665.90228571428588</v>
      </c>
      <c r="C36" s="170">
        <f>IF(ISERROR(B36/SUM($B$32,$B$34,$B$35,$B$36,$B$38,$B$39)*100),0,B36/SUM($B$32,$B$34,$B$35,$B$36,$B$38,$B$39)*100)</f>
        <v>4.2309059388416417</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2261.6999999999998</v>
      </c>
      <c r="C39" s="170">
        <f>IF(ISERROR(B39/SUM($B$32,$B$34,$B$35,$B$36,$B$38,$B$39)*100),0,B39/SUM($B$32,$B$34,$B$35,$B$36,$B$38,$B$39)*100)</f>
        <v>14.370036215769744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9946</v>
      </c>
      <c r="C44" s="35" t="s">
        <v>111</v>
      </c>
      <c r="D44" s="177"/>
    </row>
    <row r="45" spans="1:7">
      <c r="A45" s="174" t="s">
        <v>72</v>
      </c>
      <c r="B45" s="34" t="str">
        <f t="shared" si="0"/>
        <v>-</v>
      </c>
      <c r="C45" s="35" t="s">
        <v>111</v>
      </c>
      <c r="D45" s="177"/>
    </row>
    <row r="46" spans="1:7">
      <c r="A46" s="174" t="s">
        <v>73</v>
      </c>
      <c r="B46" s="34">
        <f t="shared" si="0"/>
        <v>589.22262857142869</v>
      </c>
      <c r="C46" s="35" t="s">
        <v>111</v>
      </c>
      <c r="D46" s="177"/>
    </row>
    <row r="47" spans="1:7">
      <c r="A47" s="174" t="s">
        <v>74</v>
      </c>
      <c r="B47" s="34">
        <f t="shared" si="0"/>
        <v>2276.1750857142856</v>
      </c>
      <c r="C47" s="35" t="s">
        <v>111</v>
      </c>
      <c r="D47" s="177"/>
    </row>
    <row r="48" spans="1:7">
      <c r="A48" s="174" t="s">
        <v>75</v>
      </c>
      <c r="B48" s="34">
        <f t="shared" si="0"/>
        <v>665.90228571428588</v>
      </c>
      <c r="C48" s="34">
        <f>B48*10</f>
        <v>6659.0228571428588</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2261.6999999999998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197</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81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83170.153935220034</v>
      </c>
      <c r="C5" s="18">
        <f>IF(ISERROR('Eigen informatie GS &amp; warmtenet'!B58),0,'Eigen informatie GS &amp; warmtenet'!B58)</f>
        <v>0</v>
      </c>
      <c r="D5" s="31">
        <f>SUM(D6:D12)</f>
        <v>84348.975691619329</v>
      </c>
      <c r="E5" s="18">
        <f>SUM(E6:E12)</f>
        <v>610.59298183786268</v>
      </c>
      <c r="F5" s="18">
        <f>SUM(F6:F12)</f>
        <v>16598.584491613252</v>
      </c>
      <c r="G5" s="19"/>
      <c r="H5" s="18"/>
      <c r="I5" s="18"/>
      <c r="J5" s="18">
        <f>SUM(J6:J12)</f>
        <v>0</v>
      </c>
      <c r="K5" s="18"/>
      <c r="L5" s="18"/>
      <c r="M5" s="18"/>
      <c r="N5" s="18">
        <f>SUM(N6:N12)</f>
        <v>5117.1348722620151</v>
      </c>
      <c r="O5" s="18">
        <f>B38*B39*B40</f>
        <v>0</v>
      </c>
      <c r="P5" s="18">
        <f>B46*B47*B48/1000-B46*B47*B48/1000/B49</f>
        <v>0</v>
      </c>
      <c r="R5" s="33"/>
    </row>
    <row r="6" spans="1:18">
      <c r="A6" s="33" t="s">
        <v>54</v>
      </c>
      <c r="B6" s="38">
        <f>B26</f>
        <v>28883.491504939</v>
      </c>
      <c r="C6" s="34"/>
      <c r="D6" s="38">
        <f>IF(ISERROR(TER_kantoor_gas_kWh/1000),0,TER_kantoor_gas_kWh/1000)*0.902</f>
        <v>24014.080028209588</v>
      </c>
      <c r="E6" s="34">
        <f>$C$26*'E Balans VL '!I12/100/3.6*1000000</f>
        <v>47.403663545767145</v>
      </c>
      <c r="F6" s="34">
        <f>$C$26*('E Balans VL '!L12+'E Balans VL '!N12)/100/3.6*1000000</f>
        <v>3404.6840567821114</v>
      </c>
      <c r="G6" s="35"/>
      <c r="H6" s="34"/>
      <c r="I6" s="34"/>
      <c r="J6" s="34">
        <f>$C$26*('E Balans VL '!D12+'E Balans VL '!E12)/100/3.6*1000000</f>
        <v>0</v>
      </c>
      <c r="K6" s="34"/>
      <c r="L6" s="34"/>
      <c r="M6" s="34"/>
      <c r="N6" s="34">
        <f>$C$26*'E Balans VL '!Y12/100/3.6*1000000</f>
        <v>5.835772684043274</v>
      </c>
      <c r="O6" s="34"/>
      <c r="P6" s="34"/>
      <c r="R6" s="33"/>
    </row>
    <row r="7" spans="1:18">
      <c r="A7" s="33" t="s">
        <v>53</v>
      </c>
      <c r="B7" s="38">
        <f t="shared" ref="B7:B12" si="0">B27</f>
        <v>5449.0694725860603</v>
      </c>
      <c r="C7" s="34"/>
      <c r="D7" s="38">
        <f>IF(ISERROR(TER_horeca_gas_kWh/1000),0,TER_horeca_gas_kWh/1000)*0.902</f>
        <v>7385.6907173378322</v>
      </c>
      <c r="E7" s="34">
        <f>$C$27*'E Balans VL '!I9/100/3.6*1000000</f>
        <v>282.76727531673566</v>
      </c>
      <c r="F7" s="34">
        <f>$C$27*('E Balans VL '!L9+'E Balans VL '!N9)/100/3.6*1000000</f>
        <v>1243.4816075085446</v>
      </c>
      <c r="G7" s="35"/>
      <c r="H7" s="34"/>
      <c r="I7" s="34"/>
      <c r="J7" s="34">
        <f>$C$27*('E Balans VL '!D9+'E Balans VL '!E9)/100/3.6*1000000</f>
        <v>0</v>
      </c>
      <c r="K7" s="34"/>
      <c r="L7" s="34"/>
      <c r="M7" s="34"/>
      <c r="N7" s="34">
        <f>$C$27*'E Balans VL '!Y9/100/3.6*1000000</f>
        <v>0.57541923916005822</v>
      </c>
      <c r="O7" s="34"/>
      <c r="P7" s="34"/>
      <c r="R7" s="33"/>
    </row>
    <row r="8" spans="1:18">
      <c r="A8" s="6" t="s">
        <v>52</v>
      </c>
      <c r="B8" s="38">
        <f t="shared" si="0"/>
        <v>20671.8184132436</v>
      </c>
      <c r="C8" s="34"/>
      <c r="D8" s="38">
        <f>IF(ISERROR(TER_handel_gas_kWh/1000),0,TER_handel_gas_kWh/1000)*0.902</f>
        <v>21541.316413232835</v>
      </c>
      <c r="E8" s="34">
        <f>$C$28*'E Balans VL '!I13/100/3.6*1000000</f>
        <v>111.32028238417604</v>
      </c>
      <c r="F8" s="34">
        <f>$C$28*('E Balans VL '!L13+'E Balans VL '!N13)/100/3.6*1000000</f>
        <v>4215.5980855745966</v>
      </c>
      <c r="G8" s="35"/>
      <c r="H8" s="34"/>
      <c r="I8" s="34"/>
      <c r="J8" s="34">
        <f>$C$28*('E Balans VL '!D13+'E Balans VL '!E13)/100/3.6*1000000</f>
        <v>0</v>
      </c>
      <c r="K8" s="34"/>
      <c r="L8" s="34"/>
      <c r="M8" s="34"/>
      <c r="N8" s="34">
        <f>$C$28*'E Balans VL '!Y13/100/3.6*1000000</f>
        <v>102.79003649451971</v>
      </c>
      <c r="O8" s="34"/>
      <c r="P8" s="34"/>
      <c r="R8" s="33"/>
    </row>
    <row r="9" spans="1:18">
      <c r="A9" s="33" t="s">
        <v>51</v>
      </c>
      <c r="B9" s="38">
        <f t="shared" si="0"/>
        <v>6654.2819668745396</v>
      </c>
      <c r="C9" s="34"/>
      <c r="D9" s="38">
        <f>IF(ISERROR(TER_gezond_gas_kWh/1000),0,TER_gezond_gas_kWh/1000)*0.902</f>
        <v>12941.240164417348</v>
      </c>
      <c r="E9" s="34">
        <f>$C$29*'E Balans VL '!I10/100/3.6*1000000</f>
        <v>6.5944691013540178</v>
      </c>
      <c r="F9" s="34">
        <f>$C$29*('E Balans VL '!L10+'E Balans VL '!N10)/100/3.6*1000000</f>
        <v>2308.8440401861426</v>
      </c>
      <c r="G9" s="35"/>
      <c r="H9" s="34"/>
      <c r="I9" s="34"/>
      <c r="J9" s="34">
        <f>$C$29*('E Balans VL '!D10+'E Balans VL '!E10)/100/3.6*1000000</f>
        <v>0</v>
      </c>
      <c r="K9" s="34"/>
      <c r="L9" s="34"/>
      <c r="M9" s="34"/>
      <c r="N9" s="34">
        <f>$C$29*'E Balans VL '!Y10/100/3.6*1000000</f>
        <v>57.339371250874827</v>
      </c>
      <c r="O9" s="34"/>
      <c r="P9" s="34"/>
      <c r="R9" s="33"/>
    </row>
    <row r="10" spans="1:18">
      <c r="A10" s="33" t="s">
        <v>50</v>
      </c>
      <c r="B10" s="38">
        <f t="shared" si="0"/>
        <v>7223.4508213565096</v>
      </c>
      <c r="C10" s="34"/>
      <c r="D10" s="38">
        <f>IF(ISERROR(TER_ander_gas_kWh/1000),0,TER_ander_gas_kWh/1000)*0.902</f>
        <v>3804.5059955292327</v>
      </c>
      <c r="E10" s="34">
        <f>$C$30*'E Balans VL '!I14/100/3.6*1000000</f>
        <v>59.095047043647469</v>
      </c>
      <c r="F10" s="34">
        <f>$C$30*('E Balans VL '!L14+'E Balans VL '!N14)/100/3.6*1000000</f>
        <v>2111.8429413019885</v>
      </c>
      <c r="G10" s="35"/>
      <c r="H10" s="34"/>
      <c r="I10" s="34"/>
      <c r="J10" s="34">
        <f>$C$30*('E Balans VL '!D14+'E Balans VL '!E14)/100/3.6*1000000</f>
        <v>0</v>
      </c>
      <c r="K10" s="34"/>
      <c r="L10" s="34"/>
      <c r="M10" s="34"/>
      <c r="N10" s="34">
        <f>$C$30*'E Balans VL '!Y14/100/3.6*1000000</f>
        <v>4166.9833270913914</v>
      </c>
      <c r="O10" s="34"/>
      <c r="P10" s="34"/>
      <c r="R10" s="33"/>
    </row>
    <row r="11" spans="1:18">
      <c r="A11" s="33" t="s">
        <v>55</v>
      </c>
      <c r="B11" s="38">
        <f t="shared" si="0"/>
        <v>2497.6753352522196</v>
      </c>
      <c r="C11" s="34"/>
      <c r="D11" s="38">
        <f>IF(ISERROR(TER_onderwijs_gas_kWh/1000),0,TER_onderwijs_gas_kWh/1000)*0.902</f>
        <v>4680.6420360675538</v>
      </c>
      <c r="E11" s="34">
        <f>$C$31*'E Balans VL '!I11/100/3.6*1000000</f>
        <v>1.5394616892640225</v>
      </c>
      <c r="F11" s="34">
        <f>$C$31*('E Balans VL '!L11+'E Balans VL '!N11)/100/3.6*1000000</f>
        <v>965.64173363461805</v>
      </c>
      <c r="G11" s="35"/>
      <c r="H11" s="34"/>
      <c r="I11" s="34"/>
      <c r="J11" s="34">
        <f>$C$31*('E Balans VL '!D11+'E Balans VL '!E11)/100/3.6*1000000</f>
        <v>0</v>
      </c>
      <c r="K11" s="34"/>
      <c r="L11" s="34"/>
      <c r="M11" s="34"/>
      <c r="N11" s="34">
        <f>$C$31*'E Balans VL '!Y11/100/3.6*1000000</f>
        <v>8.1244026251792807</v>
      </c>
      <c r="O11" s="34"/>
      <c r="P11" s="34"/>
      <c r="R11" s="33"/>
    </row>
    <row r="12" spans="1:18">
      <c r="A12" s="33" t="s">
        <v>260</v>
      </c>
      <c r="B12" s="38">
        <f t="shared" si="0"/>
        <v>11790.366420968101</v>
      </c>
      <c r="C12" s="34"/>
      <c r="D12" s="38">
        <f>IF(ISERROR(TER_rest_gas_kWh/1000),0,TER_rest_gas_kWh/1000)*0.902</f>
        <v>9981.5003368249327</v>
      </c>
      <c r="E12" s="34">
        <f>$C$32*'E Balans VL '!I8/100/3.6*1000000</f>
        <v>101.87278275691827</v>
      </c>
      <c r="F12" s="34">
        <f>$C$32*('E Balans VL '!L8+'E Balans VL '!N8)/100/3.6*1000000</f>
        <v>2348.4920266252502</v>
      </c>
      <c r="G12" s="35"/>
      <c r="H12" s="34"/>
      <c r="I12" s="34"/>
      <c r="J12" s="34">
        <f>$C$32*('E Balans VL '!D8+'E Balans VL '!E8)/100/3.6*1000000</f>
        <v>0</v>
      </c>
      <c r="K12" s="34"/>
      <c r="L12" s="34"/>
      <c r="M12" s="34"/>
      <c r="N12" s="34">
        <f>$C$32*'E Balans VL '!Y8/100/3.6*1000000</f>
        <v>775.48654287684701</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83170.153935220034</v>
      </c>
      <c r="C16" s="22">
        <f t="shared" ca="1" si="1"/>
        <v>0</v>
      </c>
      <c r="D16" s="22">
        <f t="shared" ca="1" si="1"/>
        <v>84348.975691619329</v>
      </c>
      <c r="E16" s="22">
        <f t="shared" si="1"/>
        <v>610.59298183786268</v>
      </c>
      <c r="F16" s="22">
        <f t="shared" ca="1" si="1"/>
        <v>16598.584491613252</v>
      </c>
      <c r="G16" s="22">
        <f t="shared" si="1"/>
        <v>0</v>
      </c>
      <c r="H16" s="22">
        <f t="shared" si="1"/>
        <v>0</v>
      </c>
      <c r="I16" s="22">
        <f t="shared" si="1"/>
        <v>0</v>
      </c>
      <c r="J16" s="22">
        <f t="shared" si="1"/>
        <v>0</v>
      </c>
      <c r="K16" s="22">
        <f t="shared" si="1"/>
        <v>0</v>
      </c>
      <c r="L16" s="22">
        <f t="shared" ca="1" si="1"/>
        <v>0</v>
      </c>
      <c r="M16" s="22">
        <f t="shared" si="1"/>
        <v>0</v>
      </c>
      <c r="N16" s="22">
        <f t="shared" ca="1" si="1"/>
        <v>5117.1348722620151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0.20561699557962179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17101.197174054603</v>
      </c>
      <c r="C20" s="24">
        <f t="shared" ref="C20:P20" ca="1" si="2">C16*C18</f>
        <v>0</v>
      </c>
      <c r="D20" s="24">
        <f t="shared" ca="1" si="2"/>
        <v>17038.493089707106</v>
      </c>
      <c r="E20" s="24">
        <f t="shared" si="2"/>
        <v>138.60460687719484</v>
      </c>
      <c r="F20" s="24">
        <f t="shared" ca="1" si="2"/>
        <v>4431.8220592607386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28883.491504939</v>
      </c>
      <c r="C26" s="40">
        <f>IF(ISERROR(B26*3.6/1000000/'E Balans VL '!Z12*100),0,B26*3.6/1000000/'E Balans VL '!Z12*100)</f>
        <v>0.61375348123154505</v>
      </c>
      <c r="D26" s="240" t="s">
        <v>707</v>
      </c>
      <c r="F26" s="6"/>
    </row>
    <row r="27" spans="1:18">
      <c r="A27" s="234" t="s">
        <v>53</v>
      </c>
      <c r="B27" s="34">
        <f>IF(ISERROR(TER_horeca_ele_kWh/1000),0,TER_horeca_ele_kWh/1000)</f>
        <v>5449.0694725860603</v>
      </c>
      <c r="C27" s="40">
        <f>IF(ISERROR(B27*3.6/1000000/'E Balans VL '!Z9*100),0,B27*3.6/1000000/'E Balans VL '!Z9*100)</f>
        <v>0.42888390496401863</v>
      </c>
      <c r="D27" s="240" t="s">
        <v>707</v>
      </c>
      <c r="F27" s="6"/>
    </row>
    <row r="28" spans="1:18">
      <c r="A28" s="174" t="s">
        <v>52</v>
      </c>
      <c r="B28" s="34">
        <f>IF(ISERROR(TER_handel_ele_kWh/1000),0,TER_handel_ele_kWh/1000)</f>
        <v>20671.8184132436</v>
      </c>
      <c r="C28" s="40">
        <f>IF(ISERROR(B28*3.6/1000000/'E Balans VL '!Z13*100),0,B28*3.6/1000000/'E Balans VL '!Z13*100)</f>
        <v>0.57902869687539915</v>
      </c>
      <c r="D28" s="240" t="s">
        <v>707</v>
      </c>
      <c r="F28" s="6"/>
    </row>
    <row r="29" spans="1:18">
      <c r="A29" s="234" t="s">
        <v>51</v>
      </c>
      <c r="B29" s="34">
        <f>IF(ISERROR(TER_gezond_ele_kWh/1000),0,TER_gezond_ele_kWh/1000)</f>
        <v>6654.2819668745396</v>
      </c>
      <c r="C29" s="40">
        <f>IF(ISERROR(B29*3.6/1000000/'E Balans VL '!Z10*100),0,B29*3.6/1000000/'E Balans VL '!Z10*100)</f>
        <v>0.85128388094602414</v>
      </c>
      <c r="D29" s="240" t="s">
        <v>707</v>
      </c>
      <c r="F29" s="6"/>
    </row>
    <row r="30" spans="1:18">
      <c r="A30" s="234" t="s">
        <v>50</v>
      </c>
      <c r="B30" s="34">
        <f>IF(ISERROR(TER_ander_ele_kWh/1000),0,TER_ander_ele_kWh/1000)</f>
        <v>7223.4508213565096</v>
      </c>
      <c r="C30" s="40">
        <f>IF(ISERROR(B30*3.6/1000000/'E Balans VL '!Z14*100),0,B30*3.6/1000000/'E Balans VL '!Z14*100)</f>
        <v>0.54025325557758641</v>
      </c>
      <c r="D30" s="240" t="s">
        <v>707</v>
      </c>
      <c r="F30" s="6"/>
    </row>
    <row r="31" spans="1:18">
      <c r="A31" s="234" t="s">
        <v>55</v>
      </c>
      <c r="B31" s="34">
        <f>IF(ISERROR(TER_onderwijs_ele_kWh/1000),0,TER_onderwijs_ele_kWh/1000)</f>
        <v>2497.6753352522196</v>
      </c>
      <c r="C31" s="40">
        <f>IF(ISERROR(B31*3.6/1000000/'E Balans VL '!Z11*100),0,B31*3.6/1000000/'E Balans VL '!Z11*100)</f>
        <v>0.5273873823550328</v>
      </c>
      <c r="D31" s="240" t="s">
        <v>707</v>
      </c>
    </row>
    <row r="32" spans="1:18">
      <c r="A32" s="234" t="s">
        <v>260</v>
      </c>
      <c r="B32" s="34">
        <f>IF(ISERROR(TER_rest_ele_kWh/1000),0,TER_rest_ele_kWh/1000)</f>
        <v>11790.366420968101</v>
      </c>
      <c r="C32" s="40">
        <f>IF(ISERROR(B32*3.6/1000000/'E Balans VL '!Z8*100),0,B32*3.6/1000000/'E Balans VL '!Z8*100)</f>
        <v>9.7128237602576231E-2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101790.45882408705</v>
      </c>
      <c r="C5" s="18">
        <f>IF(ISERROR('Eigen informatie GS &amp; warmtenet'!B59),0,'Eigen informatie GS &amp; warmtenet'!B59)</f>
        <v>0</v>
      </c>
      <c r="D5" s="31">
        <f>SUM(D6:D15)</f>
        <v>121816.75955864592</v>
      </c>
      <c r="E5" s="18">
        <f>SUM(E6:E15)</f>
        <v>818.78436910226151</v>
      </c>
      <c r="F5" s="18">
        <f>SUM(F6:F15)</f>
        <v>12318.0143952939</v>
      </c>
      <c r="G5" s="19"/>
      <c r="H5" s="18"/>
      <c r="I5" s="18"/>
      <c r="J5" s="18">
        <f>SUM(J6:J15)</f>
        <v>198.09200085276854</v>
      </c>
      <c r="K5" s="18"/>
      <c r="L5" s="18"/>
      <c r="M5" s="18"/>
      <c r="N5" s="18">
        <f>SUM(N6:N15)</f>
        <v>1493.8810440813563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4931.1770017655626</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1900.9697866471802</v>
      </c>
      <c r="C8" s="34"/>
      <c r="D8" s="38">
        <f>IF( ISERROR(IND_metaal_Gas_kWH/1000),0,IND_metaal_Gas_kWH/1000)*0.902</f>
        <v>56.248196490060899</v>
      </c>
      <c r="E8" s="34">
        <f>C30*'E Balans VL '!I18/100/3.6*1000000</f>
        <v>17.311789268754911</v>
      </c>
      <c r="F8" s="34">
        <f>C30*'E Balans VL '!L18/100/3.6*1000000+C30*'E Balans VL '!N18/100/3.6*1000000</f>
        <v>250.72347864625348</v>
      </c>
      <c r="G8" s="35"/>
      <c r="H8" s="34"/>
      <c r="I8" s="34"/>
      <c r="J8" s="41">
        <f>C30*'E Balans VL '!D18/100/3.6*1000000+C30*'E Balans VL '!E18/100/3.6*1000000</f>
        <v>31.173144392272086</v>
      </c>
      <c r="K8" s="34"/>
      <c r="L8" s="34"/>
      <c r="M8" s="34"/>
      <c r="N8" s="34">
        <f>C30*'E Balans VL '!Y18/100/3.6*1000000</f>
        <v>6.5328779983957395</v>
      </c>
      <c r="O8" s="34"/>
      <c r="P8" s="34"/>
      <c r="R8" s="33"/>
    </row>
    <row r="9" spans="1:18">
      <c r="A9" s="6" t="s">
        <v>33</v>
      </c>
      <c r="B9" s="38">
        <f t="shared" si="0"/>
        <v>5450.4258181837795</v>
      </c>
      <c r="C9" s="34"/>
      <c r="D9" s="38">
        <f>IF( ISERROR(IND_andere_gas_kWh/1000),0,IND_andere_gas_kWh/1000)*0.902</f>
        <v>3541.7508034901671</v>
      </c>
      <c r="E9" s="34">
        <f>C31*'E Balans VL '!I19/100/3.6*1000000</f>
        <v>31.504275727871146</v>
      </c>
      <c r="F9" s="34">
        <f>C31*'E Balans VL '!L19/100/3.6*1000000+C31*'E Balans VL '!N19/100/3.6*1000000</f>
        <v>4336.0760024773945</v>
      </c>
      <c r="G9" s="35"/>
      <c r="H9" s="34"/>
      <c r="I9" s="34"/>
      <c r="J9" s="41">
        <f>C31*'E Balans VL '!D19/100/3.6*1000000+C31*'E Balans VL '!E19/100/3.6*1000000</f>
        <v>0.51554974078496552</v>
      </c>
      <c r="K9" s="34"/>
      <c r="L9" s="34"/>
      <c r="M9" s="34"/>
      <c r="N9" s="34">
        <f>C31*'E Balans VL '!Y19/100/3.6*1000000</f>
        <v>412.95223869597385</v>
      </c>
      <c r="O9" s="34"/>
      <c r="P9" s="34"/>
      <c r="R9" s="33"/>
    </row>
    <row r="10" spans="1:18">
      <c r="A10" s="6" t="s">
        <v>41</v>
      </c>
      <c r="B10" s="38">
        <f t="shared" si="0"/>
        <v>609.60770815878698</v>
      </c>
      <c r="C10" s="34"/>
      <c r="D10" s="38">
        <f>IF( ISERROR(IND_voed_gas_kWh/1000),0,IND_voed_gas_kWh/1000)*0.902</f>
        <v>690.22359434264933</v>
      </c>
      <c r="E10" s="34">
        <f>C32*'E Balans VL '!I20/100/3.6*1000000</f>
        <v>5.9940385972080312</v>
      </c>
      <c r="F10" s="34">
        <f>C32*'E Balans VL '!L20/100/3.6*1000000+C32*'E Balans VL '!N20/100/3.6*1000000</f>
        <v>67.704892983666241</v>
      </c>
      <c r="G10" s="35"/>
      <c r="H10" s="34"/>
      <c r="I10" s="34"/>
      <c r="J10" s="41">
        <f>C32*'E Balans VL '!D20/100/3.6*1000000+C32*'E Balans VL '!E20/100/3.6*1000000</f>
        <v>2.4027407231008843E-3</v>
      </c>
      <c r="K10" s="34"/>
      <c r="L10" s="34"/>
      <c r="M10" s="34"/>
      <c r="N10" s="34">
        <f>C32*'E Balans VL '!Y20/100/3.6*1000000</f>
        <v>9.0268562093527951</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271.52853360307</v>
      </c>
      <c r="C12" s="34"/>
      <c r="D12" s="38">
        <f>IF( ISERROR(IND_min_gas_kWh/1000),0,IND_min_gas_kWh/1000)*0.902</f>
        <v>0</v>
      </c>
      <c r="E12" s="34">
        <f>C34*'E Balans VL '!I22/100/3.6*1000000</f>
        <v>6.8837315105268733</v>
      </c>
      <c r="F12" s="34">
        <f>C34*'E Balans VL '!L22/100/3.6*1000000+C34*'E Balans VL '!N22/100/3.6*1000000</f>
        <v>75.132891685186038</v>
      </c>
      <c r="G12" s="35"/>
      <c r="H12" s="34"/>
      <c r="I12" s="34"/>
      <c r="J12" s="41">
        <f>C34*'E Balans VL '!D22/100/3.6*1000000+C34*'E Balans VL '!E22/100/3.6*1000000</f>
        <v>1.7932289998254354</v>
      </c>
      <c r="K12" s="34"/>
      <c r="L12" s="34"/>
      <c r="M12" s="34"/>
      <c r="N12" s="34">
        <f>C34*'E Balans VL '!Y22/100/3.6*1000000</f>
        <v>0</v>
      </c>
      <c r="O12" s="34"/>
      <c r="P12" s="34"/>
      <c r="R12" s="33"/>
    </row>
    <row r="13" spans="1:18">
      <c r="A13" s="6" t="s">
        <v>39</v>
      </c>
      <c r="B13" s="38">
        <f t="shared" si="0"/>
        <v>116.700735558145</v>
      </c>
      <c r="C13" s="34"/>
      <c r="D13" s="38">
        <f>IF( ISERROR(IND_papier_gas_kWh/1000),0,IND_papier_gas_kWh/1000)*0.902</f>
        <v>270.10810913369579</v>
      </c>
      <c r="E13" s="34">
        <f>C35*'E Balans VL '!I23/100/3.6*1000000</f>
        <v>3.9749962582374425</v>
      </c>
      <c r="F13" s="34">
        <f>C35*'E Balans VL '!L23/100/3.6*1000000+C35*'E Balans VL '!N23/100/3.6*1000000</f>
        <v>19.276222606898543</v>
      </c>
      <c r="G13" s="35"/>
      <c r="H13" s="34"/>
      <c r="I13" s="34"/>
      <c r="J13" s="41">
        <f>C35*'E Balans VL '!D23/100/3.6*1000000+C35*'E Balans VL '!E23/100/3.6*1000000</f>
        <v>0</v>
      </c>
      <c r="K13" s="34"/>
      <c r="L13" s="34"/>
      <c r="M13" s="34"/>
      <c r="N13" s="34">
        <f>C35*'E Balans VL '!Y23/100/3.6*1000000</f>
        <v>42.942741014281957</v>
      </c>
      <c r="O13" s="34"/>
      <c r="P13" s="34"/>
      <c r="R13" s="33"/>
    </row>
    <row r="14" spans="1:18">
      <c r="A14" s="6" t="s">
        <v>34</v>
      </c>
      <c r="B14" s="38">
        <f t="shared" si="0"/>
        <v>60708.040635077996</v>
      </c>
      <c r="C14" s="34"/>
      <c r="D14" s="38">
        <f>IF( ISERROR(IND_chemie_gas_kWh/1000),0,IND_chemie_gas_kWh/1000)*0.902</f>
        <v>76760.404461843907</v>
      </c>
      <c r="E14" s="34">
        <f>C36*'E Balans VL '!I24/100/3.6*1000000</f>
        <v>458.98524820620293</v>
      </c>
      <c r="F14" s="34">
        <f>C36*'E Balans VL '!L24/100/3.6*1000000+C36*'E Balans VL '!N24/100/3.6*1000000</f>
        <v>1123.2665981745256</v>
      </c>
      <c r="G14" s="35"/>
      <c r="H14" s="34"/>
      <c r="I14" s="34"/>
      <c r="J14" s="41">
        <f>C36*'E Balans VL '!D24/100/3.6*1000000+C36*'E Balans VL '!E24/100/3.6*1000000</f>
        <v>0</v>
      </c>
      <c r="K14" s="34"/>
      <c r="L14" s="34"/>
      <c r="M14" s="34"/>
      <c r="N14" s="34">
        <f>C36*'E Balans VL '!Y24/100/3.6*1000000</f>
        <v>17.603766358230761</v>
      </c>
      <c r="O14" s="34"/>
      <c r="P14" s="34"/>
      <c r="R14" s="33"/>
    </row>
    <row r="15" spans="1:18">
      <c r="A15" s="6" t="s">
        <v>270</v>
      </c>
      <c r="B15" s="38">
        <f t="shared" si="0"/>
        <v>32733.1856068581</v>
      </c>
      <c r="C15" s="34"/>
      <c r="D15" s="38">
        <f>IF( ISERROR(IND_rest_gas_kWh/1000),0,IND_rest_gas_kWh/1000)*0.902</f>
        <v>35566.847391579882</v>
      </c>
      <c r="E15" s="34">
        <f>C37*'E Balans VL '!I15/100/3.6*1000000</f>
        <v>294.1302895334602</v>
      </c>
      <c r="F15" s="34">
        <f>C37*'E Balans VL '!L15/100/3.6*1000000+C37*'E Balans VL '!N15/100/3.6*1000000</f>
        <v>6445.8343087199755</v>
      </c>
      <c r="G15" s="35"/>
      <c r="H15" s="34"/>
      <c r="I15" s="34"/>
      <c r="J15" s="41">
        <f>C37*'E Balans VL '!D15/100/3.6*1000000+C37*'E Balans VL '!E15/100/3.6*1000000</f>
        <v>164.60767497916294</v>
      </c>
      <c r="K15" s="34"/>
      <c r="L15" s="34"/>
      <c r="M15" s="34"/>
      <c r="N15" s="34">
        <f>C37*'E Balans VL '!Y15/100/3.6*1000000</f>
        <v>1004.8225638051211</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101790.45882408705</v>
      </c>
      <c r="C18" s="22">
        <f>C5+C16</f>
        <v>0</v>
      </c>
      <c r="D18" s="22">
        <f>MAX((D5+D16),0)</f>
        <v>121816.75955864592</v>
      </c>
      <c r="E18" s="22">
        <f>MAX((E5+E16),0)</f>
        <v>818.78436910226151</v>
      </c>
      <c r="F18" s="22">
        <f>MAX((F5+F16),0)</f>
        <v>12318.0143952939</v>
      </c>
      <c r="G18" s="22"/>
      <c r="H18" s="22"/>
      <c r="I18" s="22"/>
      <c r="J18" s="22">
        <f>MAX((J5+J16),0)</f>
        <v>198.09200085276854</v>
      </c>
      <c r="K18" s="22"/>
      <c r="L18" s="22">
        <f>MAX((L5+L16),0)</f>
        <v>0</v>
      </c>
      <c r="M18" s="22"/>
      <c r="N18" s="22">
        <f>MAX((N5+N16),0)</f>
        <v>1493.8810440813563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0.20561699557962179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20929.848322079983</v>
      </c>
      <c r="C22" s="24">
        <f ca="1">C18*C20</f>
        <v>0</v>
      </c>
      <c r="D22" s="24">
        <f>D18*D20</f>
        <v>24606.985430846478</v>
      </c>
      <c r="E22" s="24">
        <f>E18*E20</f>
        <v>185.86405178621337</v>
      </c>
      <c r="F22" s="24">
        <f>F18*F20</f>
        <v>3288.9098435434712</v>
      </c>
      <c r="G22" s="24"/>
      <c r="H22" s="24"/>
      <c r="I22" s="24"/>
      <c r="J22" s="24">
        <f>J18*J20</f>
        <v>70.124568301880061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1900.9697866471802</v>
      </c>
      <c r="C30" s="40">
        <f>IF(ISERROR(B30*3.6/1000000/'E Balans VL '!Z18*100),0,B30*3.6/1000000/'E Balans VL '!Z18*100)</f>
        <v>0.10577625695101514</v>
      </c>
      <c r="D30" s="240" t="s">
        <v>707</v>
      </c>
    </row>
    <row r="31" spans="1:18">
      <c r="A31" s="6" t="s">
        <v>33</v>
      </c>
      <c r="B31" s="38">
        <f>IF( ISERROR(IND_ander_ele_kWh/1000),0,IND_ander_ele_kWh/1000)</f>
        <v>5450.4258181837795</v>
      </c>
      <c r="C31" s="40">
        <f>IF(ISERROR(B31*3.6/1000000/'E Balans VL '!Z19*100),0,B31*3.6/1000000/'E Balans VL '!Z19*100)</f>
        <v>0.25337598181923227</v>
      </c>
      <c r="D31" s="240" t="s">
        <v>707</v>
      </c>
    </row>
    <row r="32" spans="1:18">
      <c r="A32" s="174" t="s">
        <v>41</v>
      </c>
      <c r="B32" s="38">
        <f>IF( ISERROR(IND_voed_ele_kWh/1000),0,IND_voed_ele_kWh/1000)</f>
        <v>609.60770815878698</v>
      </c>
      <c r="C32" s="40">
        <f>IF(ISERROR(B32*3.6/1000000/'E Balans VL '!Z20*100),0,B32*3.6/1000000/'E Balans VL '!Z20*100)</f>
        <v>2.154840132850654E-2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271.52853360307</v>
      </c>
      <c r="C34" s="40">
        <f>IF(ISERROR(B34*3.6/1000000/'E Balans VL '!Z22*100),0,B34*3.6/1000000/'E Balans VL '!Z22*100)</f>
        <v>5.4569578408249123E-2</v>
      </c>
      <c r="D34" s="240" t="s">
        <v>707</v>
      </c>
    </row>
    <row r="35" spans="1:5">
      <c r="A35" s="174" t="s">
        <v>39</v>
      </c>
      <c r="B35" s="38">
        <f>IF( ISERROR(IND_papier_ele_kWh/1000),0,IND_papier_ele_kWh/1000)</f>
        <v>116.700735558145</v>
      </c>
      <c r="C35" s="40">
        <f>IF(ISERROR(B35*3.6/1000000/'E Balans VL '!Z22*100),0,B35*3.6/1000000/'E Balans VL '!Z22*100)</f>
        <v>2.3453556997622797E-2</v>
      </c>
      <c r="D35" s="240" t="s">
        <v>707</v>
      </c>
    </row>
    <row r="36" spans="1:5">
      <c r="A36" s="174" t="s">
        <v>34</v>
      </c>
      <c r="B36" s="38">
        <f>IF( ISERROR(IND_chemie_ele_kWh/1000),0,IND_chemie_ele_kWh/1000)</f>
        <v>60708.040635077996</v>
      </c>
      <c r="C36" s="40">
        <f>IF(ISERROR(B36*3.6/1000000/'E Balans VL '!Z24*100),0,B36*3.6/1000000/'E Balans VL '!Z24*100)</f>
        <v>1.4949490894186177</v>
      </c>
      <c r="D36" s="240" t="s">
        <v>707</v>
      </c>
    </row>
    <row r="37" spans="1:5">
      <c r="A37" s="174" t="s">
        <v>270</v>
      </c>
      <c r="B37" s="38">
        <f>IF( ISERROR(IND_rest_ele_kWh/1000),0,IND_rest_ele_kWh/1000)</f>
        <v>32733.1856068581</v>
      </c>
      <c r="C37" s="40">
        <f>IF(ISERROR(B37*3.6/1000000/'E Balans VL '!Z15*100),0,B37*3.6/1000000/'E Balans VL '!Z15*100)</f>
        <v>0.24718390555880285</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4654.9956334603721</v>
      </c>
      <c r="C5" s="18">
        <f>'Eigen informatie GS &amp; warmtenet'!B60</f>
        <v>0</v>
      </c>
      <c r="D5" s="31">
        <f>IF(ISERROR(SUM(LB_lb_gas_kWh,LB_rest_gas_kWh)/1000),0,SUM(LB_lb_gas_kWh,LB_rest_gas_kWh)/1000)*0.902</f>
        <v>488.24312414699915</v>
      </c>
      <c r="E5" s="18">
        <f>B17*'E Balans VL '!I25/3.6*1000000/100</f>
        <v>43.853177816582317</v>
      </c>
      <c r="F5" s="18">
        <f>B17*('E Balans VL '!L25/3.6*1000000+'E Balans VL '!N25/3.6*1000000)/100</f>
        <v>15190.795609357519</v>
      </c>
      <c r="G5" s="19"/>
      <c r="H5" s="18"/>
      <c r="I5" s="18"/>
      <c r="J5" s="18">
        <f>('E Balans VL '!D25+'E Balans VL '!E25)/3.6*1000000*landbouw!B17/100</f>
        <v>575.84560175345973</v>
      </c>
      <c r="K5" s="18"/>
      <c r="L5" s="18">
        <f>L6*(-1)</f>
        <v>0</v>
      </c>
      <c r="M5" s="18"/>
      <c r="N5" s="18">
        <f>N6*(-1)</f>
        <v>3190.7142857142858</v>
      </c>
      <c r="O5" s="18"/>
      <c r="P5" s="18"/>
      <c r="R5" s="33"/>
    </row>
    <row r="6" spans="1:18">
      <c r="A6" s="17" t="s">
        <v>502</v>
      </c>
      <c r="B6" s="18" t="s">
        <v>211</v>
      </c>
      <c r="C6" s="18">
        <f>'lokale energieproductie'!O92+'lokale energieproductie'!O61</f>
        <v>1595.3571428571429</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-3190.7142857142858</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4654.9956334603721</v>
      </c>
      <c r="C8" s="22">
        <f>C5+C6</f>
        <v>1595.3571428571429</v>
      </c>
      <c r="D8" s="22">
        <f>MAX((D5+D6),0)</f>
        <v>488.24312414699915</v>
      </c>
      <c r="E8" s="22">
        <f>MAX((E5+E6),0)</f>
        <v>43.853177816582317</v>
      </c>
      <c r="F8" s="22">
        <f>MAX((F5+F6),0)</f>
        <v>15190.795609357519</v>
      </c>
      <c r="G8" s="22"/>
      <c r="H8" s="22"/>
      <c r="I8" s="22"/>
      <c r="J8" s="22">
        <f>MAX((J5+J6),0)</f>
        <v>575.84560175345973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0.20561699557962179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957.14621658838007</v>
      </c>
      <c r="C12" s="24">
        <f ca="1">C8*C10</f>
        <v>0</v>
      </c>
      <c r="D12" s="24">
        <f>D8*D10</f>
        <v>98.62511107769383</v>
      </c>
      <c r="E12" s="24">
        <f>E8*E10</f>
        <v>9.9546713643641862</v>
      </c>
      <c r="F12" s="24">
        <f>F8*F10</f>
        <v>4055.9424276984578</v>
      </c>
      <c r="G12" s="24"/>
      <c r="H12" s="24"/>
      <c r="I12" s="24"/>
      <c r="J12" s="24">
        <f>J8*J10</f>
        <v>203.84934302072475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0.63021202431815704</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840.64254627141997</v>
      </c>
      <c r="C26" s="250">
        <f>B26*'GWP N2O_CH4'!B5</f>
        <v>17653.493471699818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287.60317665747425</v>
      </c>
      <c r="C27" s="250">
        <f>B27*'GWP N2O_CH4'!B5</f>
        <v>6039.6667098069593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19.13354955776575</v>
      </c>
      <c r="C28" s="250">
        <f>B28*'GWP N2O_CH4'!B4</f>
        <v>5931.4003629073823</v>
      </c>
      <c r="D28" s="51"/>
    </row>
    <row r="29" spans="1:4">
      <c r="A29" s="42" t="s">
        <v>277</v>
      </c>
      <c r="B29" s="250">
        <f>B34*'ha_N2O bodem landbouw'!B4</f>
        <v>29.396894672568688</v>
      </c>
      <c r="C29" s="250">
        <f>B29*'GWP N2O_CH4'!B4</f>
        <v>9113.0373484962929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7.9362361395050353E-3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2.9797553944535603E-5</v>
      </c>
      <c r="C5" s="447" t="s">
        <v>211</v>
      </c>
      <c r="D5" s="432">
        <f>SUM(D6:D11)</f>
        <v>8.1383005366902266E-5</v>
      </c>
      <c r="E5" s="432">
        <f>SUM(E6:E11)</f>
        <v>4.9431416892416211E-3</v>
      </c>
      <c r="F5" s="445" t="s">
        <v>211</v>
      </c>
      <c r="G5" s="432">
        <f>SUM(G6:G11)</f>
        <v>1.0705859044724706</v>
      </c>
      <c r="H5" s="432">
        <f>SUM(H6:H11)</f>
        <v>0.18294246726657037</v>
      </c>
      <c r="I5" s="447" t="s">
        <v>211</v>
      </c>
      <c r="J5" s="447" t="s">
        <v>211</v>
      </c>
      <c r="K5" s="447" t="s">
        <v>211</v>
      </c>
      <c r="L5" s="447" t="s">
        <v>211</v>
      </c>
      <c r="M5" s="432">
        <f>SUM(M6:M11)</f>
        <v>5.6041953268018453E-2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2.0039958082068846E-5</v>
      </c>
      <c r="C6" s="433"/>
      <c r="D6" s="433">
        <f>vkm_2011_GW_PW*SUMIFS(TableVerdeelsleutelVkm[CNG],TableVerdeelsleutelVkm[Voertuigtype],"Lichte voertuigen")*SUMIFS(TableECFTransport[EnergieConsumptieFactor (PJ per km)],TableECFTransport[Index],CONCATENATE($A6,"_CNG_CNG"))</f>
        <v>4.8937913247723337E-5</v>
      </c>
      <c r="E6" s="435">
        <f>vkm_2011_GW_PW*SUMIFS(TableVerdeelsleutelVkm[LPG],TableVerdeelsleutelVkm[Voertuigtype],"Lichte voertuigen")*SUMIFS(TableECFTransport[EnergieConsumptieFactor (PJ per km)],TableECFTransport[Index],CONCATENATE($A6,"_LPG_LPG"))</f>
        <v>2.900786592990662E-3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0.41934282535139217</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0.10989770702839485</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2.3700365696186828E-2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0.21265647806628174</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8.5798598120539229E-5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9.4737803023992369E-3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4.1985998645697028E-6</v>
      </c>
      <c r="C8" s="433"/>
      <c r="D8" s="435">
        <f>vkm_2011_NGW_PW*SUMIFS(TableVerdeelsleutelVkm[CNG],TableVerdeelsleutelVkm[Voertuigtype],"Lichte voertuigen")*SUMIFS(TableECFTransport[EnergieConsumptieFactor (PJ per km)],TableECFTransport[Index],CONCATENATE($A8,"_CNG_CNG"))</f>
        <v>1.8395715828138283E-5</v>
      </c>
      <c r="E8" s="435">
        <f>vkm_2011_NGW_PW*SUMIFS(TableVerdeelsleutelVkm[LPG],TableVerdeelsleutelVkm[Voertuigtype],"Lichte voertuigen")*SUMIFS(TableECFTransport[EnergieConsumptieFactor (PJ per km)],TableECFTransport[Index],CONCATENATE($A8,"_LPG_LPG"))</f>
        <v>1.0003353769293788E-3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0.13661112433159711</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3.9558765133107056E-2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7.8928046203306165E-3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1.121711801475501E-2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3.9404807709946353E-6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4.9969237157836111E-4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5.5589959978970547E-6</v>
      </c>
      <c r="C10" s="433"/>
      <c r="D10" s="435">
        <f>vkm_2011_SW_PW*SUMIFS(TableVerdeelsleutelVkm[CNG],TableVerdeelsleutelVkm[Voertuigtype],"Lichte voertuigen")*SUMIFS(TableECFTransport[EnergieConsumptieFactor (PJ per km)],TableECFTransport[Index],CONCATENATE($A10,"_CNG_CNG"))</f>
        <v>1.4049376291040638E-5</v>
      </c>
      <c r="E10" s="435">
        <f>vkm_2011_SW_PW*SUMIFS(TableVerdeelsleutelVkm[LPG],TableVerdeelsleutelVkm[Voertuigtype],"Lichte voertuigen")*SUMIFS(TableECFTransport[EnergieConsumptieFactor (PJ per km)],TableECFTransport[Index],CONCATENATE($A10,"_LPG_LPG"))</f>
        <v>1.0420197193215807E-3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0.13728026996952794</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3.3330559516243891E-2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7.6377362905754274E-3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0.15347808873891669</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6.5696509933034223E-5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6.8375739869479882E-3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8.2770983179265567</v>
      </c>
      <c r="C14" s="22"/>
      <c r="D14" s="22">
        <f t="shared" ref="D14:M14" si="0">((D5)*10^9/3600)+D12</f>
        <v>22.606390379695071</v>
      </c>
      <c r="E14" s="22">
        <f t="shared" si="0"/>
        <v>1373.0949136782281</v>
      </c>
      <c r="F14" s="22"/>
      <c r="G14" s="22">
        <f t="shared" si="0"/>
        <v>297384.97346457519</v>
      </c>
      <c r="H14" s="22">
        <f t="shared" si="0"/>
        <v>50817.352018491772</v>
      </c>
      <c r="I14" s="22"/>
      <c r="J14" s="22"/>
      <c r="K14" s="22"/>
      <c r="L14" s="22"/>
      <c r="M14" s="22">
        <f t="shared" si="0"/>
        <v>15567.209241116238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0.20561699557962179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1.7019120882491998</v>
      </c>
      <c r="C18" s="24"/>
      <c r="D18" s="24">
        <f t="shared" ref="D18:M18" si="1">D14*D16</f>
        <v>4.5664908566984046</v>
      </c>
      <c r="E18" s="24">
        <f t="shared" si="1"/>
        <v>311.6925454049578</v>
      </c>
      <c r="F18" s="24"/>
      <c r="G18" s="24">
        <f t="shared" si="1"/>
        <v>79401.787915041583</v>
      </c>
      <c r="H18" s="24">
        <f t="shared" si="1"/>
        <v>12653.520652604451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1.3860806595697481E-2</v>
      </c>
      <c r="H50" s="323">
        <f t="shared" si="2"/>
        <v>0</v>
      </c>
      <c r="I50" s="323">
        <f t="shared" si="2"/>
        <v>0</v>
      </c>
      <c r="J50" s="323">
        <f t="shared" si="2"/>
        <v>0</v>
      </c>
      <c r="K50" s="323">
        <f t="shared" si="2"/>
        <v>0</v>
      </c>
      <c r="L50" s="323">
        <f t="shared" si="2"/>
        <v>0</v>
      </c>
      <c r="M50" s="323">
        <f t="shared" si="2"/>
        <v>6.0865088244777617E-4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1.3860806595697481E-2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6.0865088244777617E-4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3850.2240543604116</v>
      </c>
      <c r="H54" s="22">
        <f t="shared" si="3"/>
        <v>0</v>
      </c>
      <c r="I54" s="22">
        <f t="shared" si="3"/>
        <v>0</v>
      </c>
      <c r="J54" s="22">
        <f t="shared" si="3"/>
        <v>0</v>
      </c>
      <c r="K54" s="22">
        <f t="shared" si="3"/>
        <v>0</v>
      </c>
      <c r="L54" s="22">
        <f t="shared" si="3"/>
        <v>0</v>
      </c>
      <c r="M54" s="22">
        <f t="shared" si="3"/>
        <v>169.0696895688267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0.20561699557962179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1028.0098225142299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84863.240935220034</v>
      </c>
      <c r="D10" s="688">
        <f ca="1">tertiair!C16</f>
        <v>0</v>
      </c>
      <c r="E10" s="688">
        <f ca="1">tertiair!D16</f>
        <v>84348.975691619329</v>
      </c>
      <c r="F10" s="688">
        <f>tertiair!E16</f>
        <v>610.59298183786268</v>
      </c>
      <c r="G10" s="688">
        <f ca="1">tertiair!F16</f>
        <v>16598.584491613252</v>
      </c>
      <c r="H10" s="688">
        <f>tertiair!G16</f>
        <v>0</v>
      </c>
      <c r="I10" s="688">
        <f>tertiair!H16</f>
        <v>0</v>
      </c>
      <c r="J10" s="688">
        <f>tertiair!I16</f>
        <v>0</v>
      </c>
      <c r="K10" s="688">
        <f>tertiair!J16</f>
        <v>0</v>
      </c>
      <c r="L10" s="688">
        <f>tertiair!K16</f>
        <v>0</v>
      </c>
      <c r="M10" s="688">
        <f ca="1">tertiair!L16</f>
        <v>0</v>
      </c>
      <c r="N10" s="688">
        <f>tertiair!M16</f>
        <v>0</v>
      </c>
      <c r="O10" s="688">
        <f ca="1">tertiair!N16</f>
        <v>5117.1348722620151</v>
      </c>
      <c r="P10" s="688">
        <f>tertiair!O16</f>
        <v>0</v>
      </c>
      <c r="Q10" s="689">
        <f>tertiair!P16</f>
        <v>0</v>
      </c>
      <c r="R10" s="691">
        <f ca="1">SUM(C10:Q10)</f>
        <v>191538.52897255251</v>
      </c>
      <c r="S10" s="68"/>
    </row>
    <row r="11" spans="1:19" s="457" customFormat="1">
      <c r="A11" s="803" t="s">
        <v>225</v>
      </c>
      <c r="B11" s="808"/>
      <c r="C11" s="688">
        <f>huishoudens!B8</f>
        <v>68115.028961324511</v>
      </c>
      <c r="D11" s="688">
        <f>huishoudens!C8</f>
        <v>0</v>
      </c>
      <c r="E11" s="688">
        <f>huishoudens!D8</f>
        <v>162354.23259711429</v>
      </c>
      <c r="F11" s="688">
        <f>huishoudens!E8</f>
        <v>12984.363212499888</v>
      </c>
      <c r="G11" s="688">
        <f>huishoudens!F8</f>
        <v>44645.696297872186</v>
      </c>
      <c r="H11" s="688">
        <f>huishoudens!G8</f>
        <v>0</v>
      </c>
      <c r="I11" s="688">
        <f>huishoudens!H8</f>
        <v>0</v>
      </c>
      <c r="J11" s="688">
        <f>huishoudens!I8</f>
        <v>0</v>
      </c>
      <c r="K11" s="688">
        <f>huishoudens!J8</f>
        <v>0</v>
      </c>
      <c r="L11" s="688">
        <f>huishoudens!K8</f>
        <v>0</v>
      </c>
      <c r="M11" s="688">
        <f>huishoudens!L8</f>
        <v>0</v>
      </c>
      <c r="N11" s="688">
        <f>huishoudens!M8</f>
        <v>0</v>
      </c>
      <c r="O11" s="688">
        <f>huishoudens!N8</f>
        <v>47654.792017433749</v>
      </c>
      <c r="P11" s="688">
        <f>huishoudens!O8</f>
        <v>307.97666666666669</v>
      </c>
      <c r="Q11" s="689">
        <f>huishoudens!P8</f>
        <v>1544.4</v>
      </c>
      <c r="R11" s="691">
        <f>SUM(C11:Q11)</f>
        <v>337606.48975291132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101790.45882408705</v>
      </c>
      <c r="D13" s="688">
        <f>industrie!C18</f>
        <v>0</v>
      </c>
      <c r="E13" s="688">
        <f>industrie!D18</f>
        <v>121816.75955864592</v>
      </c>
      <c r="F13" s="688">
        <f>industrie!E18</f>
        <v>818.78436910226151</v>
      </c>
      <c r="G13" s="688">
        <f>industrie!F18</f>
        <v>12318.0143952939</v>
      </c>
      <c r="H13" s="688">
        <f>industrie!G18</f>
        <v>0</v>
      </c>
      <c r="I13" s="688">
        <f>industrie!H18</f>
        <v>0</v>
      </c>
      <c r="J13" s="688">
        <f>industrie!I18</f>
        <v>0</v>
      </c>
      <c r="K13" s="688">
        <f>industrie!J18</f>
        <v>198.09200085276854</v>
      </c>
      <c r="L13" s="688">
        <f>industrie!K18</f>
        <v>0</v>
      </c>
      <c r="M13" s="688">
        <f>industrie!L18</f>
        <v>0</v>
      </c>
      <c r="N13" s="688">
        <f>industrie!M18</f>
        <v>0</v>
      </c>
      <c r="O13" s="688">
        <f>industrie!N18</f>
        <v>1493.8810440813563</v>
      </c>
      <c r="P13" s="688">
        <f>industrie!O18</f>
        <v>0</v>
      </c>
      <c r="Q13" s="689">
        <f>industrie!P18</f>
        <v>0</v>
      </c>
      <c r="R13" s="691">
        <f>SUM(C13:Q13)</f>
        <v>238435.99019206327</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254768.7287206316</v>
      </c>
      <c r="D16" s="721">
        <f t="shared" ref="D16:R16" ca="1" si="0">SUM(D9:D15)</f>
        <v>0</v>
      </c>
      <c r="E16" s="721">
        <f t="shared" ca="1" si="0"/>
        <v>368519.96784737951</v>
      </c>
      <c r="F16" s="721">
        <f t="shared" si="0"/>
        <v>14413.740563440011</v>
      </c>
      <c r="G16" s="721">
        <f t="shared" ca="1" si="0"/>
        <v>73562.29518477933</v>
      </c>
      <c r="H16" s="721">
        <f t="shared" si="0"/>
        <v>0</v>
      </c>
      <c r="I16" s="721">
        <f t="shared" si="0"/>
        <v>0</v>
      </c>
      <c r="J16" s="721">
        <f t="shared" si="0"/>
        <v>0</v>
      </c>
      <c r="K16" s="721">
        <f t="shared" si="0"/>
        <v>198.09200085276854</v>
      </c>
      <c r="L16" s="721">
        <f t="shared" si="0"/>
        <v>0</v>
      </c>
      <c r="M16" s="721">
        <f t="shared" ca="1" si="0"/>
        <v>0</v>
      </c>
      <c r="N16" s="721">
        <f t="shared" si="0"/>
        <v>0</v>
      </c>
      <c r="O16" s="721">
        <f t="shared" ca="1" si="0"/>
        <v>54265.80793377712</v>
      </c>
      <c r="P16" s="721">
        <f t="shared" si="0"/>
        <v>307.97666666666669</v>
      </c>
      <c r="Q16" s="721">
        <f t="shared" si="0"/>
        <v>1544.4</v>
      </c>
      <c r="R16" s="721">
        <f t="shared" ca="1" si="0"/>
        <v>767581.00891752716</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3850.2240543604116</v>
      </c>
      <c r="I19" s="688">
        <f>transport!H54</f>
        <v>0</v>
      </c>
      <c r="J19" s="688">
        <f>transport!I54</f>
        <v>0</v>
      </c>
      <c r="K19" s="688">
        <f>transport!J54</f>
        <v>0</v>
      </c>
      <c r="L19" s="688">
        <f>transport!K54</f>
        <v>0</v>
      </c>
      <c r="M19" s="688">
        <f>transport!L54</f>
        <v>0</v>
      </c>
      <c r="N19" s="688">
        <f>transport!M54</f>
        <v>169.0696895688267</v>
      </c>
      <c r="O19" s="688">
        <f>transport!N54</f>
        <v>0</v>
      </c>
      <c r="P19" s="688">
        <f>transport!O54</f>
        <v>0</v>
      </c>
      <c r="Q19" s="689">
        <f>transport!P54</f>
        <v>0</v>
      </c>
      <c r="R19" s="691">
        <f>SUM(C19:Q19)</f>
        <v>4019.2937439292382</v>
      </c>
      <c r="S19" s="68"/>
    </row>
    <row r="20" spans="1:19" s="457" customFormat="1">
      <c r="A20" s="803" t="s">
        <v>307</v>
      </c>
      <c r="B20" s="808"/>
      <c r="C20" s="688">
        <f>transport!B14</f>
        <v>8.2770983179265567</v>
      </c>
      <c r="D20" s="688">
        <f>transport!C14</f>
        <v>0</v>
      </c>
      <c r="E20" s="688">
        <f>transport!D14</f>
        <v>22.606390379695071</v>
      </c>
      <c r="F20" s="688">
        <f>transport!E14</f>
        <v>1373.0949136782281</v>
      </c>
      <c r="G20" s="688">
        <f>transport!F14</f>
        <v>0</v>
      </c>
      <c r="H20" s="688">
        <f>transport!G14</f>
        <v>297384.97346457519</v>
      </c>
      <c r="I20" s="688">
        <f>transport!H14</f>
        <v>50817.352018491772</v>
      </c>
      <c r="J20" s="688">
        <f>transport!I14</f>
        <v>0</v>
      </c>
      <c r="K20" s="688">
        <f>transport!J14</f>
        <v>0</v>
      </c>
      <c r="L20" s="688">
        <f>transport!K14</f>
        <v>0</v>
      </c>
      <c r="M20" s="688">
        <f>transport!L14</f>
        <v>0</v>
      </c>
      <c r="N20" s="688">
        <f>transport!M14</f>
        <v>15567.209241116238</v>
      </c>
      <c r="O20" s="688">
        <f>transport!N14</f>
        <v>0</v>
      </c>
      <c r="P20" s="688">
        <f>transport!O14</f>
        <v>0</v>
      </c>
      <c r="Q20" s="689">
        <f>transport!P14</f>
        <v>0</v>
      </c>
      <c r="R20" s="691">
        <f>SUM(C20:Q20)</f>
        <v>365173.51312655903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8.2770983179265567</v>
      </c>
      <c r="D22" s="806">
        <f t="shared" ref="D22:R22" si="1">SUM(D18:D21)</f>
        <v>0</v>
      </c>
      <c r="E22" s="806">
        <f t="shared" si="1"/>
        <v>22.606390379695071</v>
      </c>
      <c r="F22" s="806">
        <f t="shared" si="1"/>
        <v>1373.0949136782281</v>
      </c>
      <c r="G22" s="806">
        <f t="shared" si="1"/>
        <v>0</v>
      </c>
      <c r="H22" s="806">
        <f t="shared" si="1"/>
        <v>301235.1975189356</v>
      </c>
      <c r="I22" s="806">
        <f t="shared" si="1"/>
        <v>50817.352018491772</v>
      </c>
      <c r="J22" s="806">
        <f t="shared" si="1"/>
        <v>0</v>
      </c>
      <c r="K22" s="806">
        <f t="shared" si="1"/>
        <v>0</v>
      </c>
      <c r="L22" s="806">
        <f t="shared" si="1"/>
        <v>0</v>
      </c>
      <c r="M22" s="806">
        <f t="shared" si="1"/>
        <v>0</v>
      </c>
      <c r="N22" s="806">
        <f t="shared" si="1"/>
        <v>15736.278930685065</v>
      </c>
      <c r="O22" s="806">
        <f t="shared" si="1"/>
        <v>0</v>
      </c>
      <c r="P22" s="806">
        <f t="shared" si="1"/>
        <v>0</v>
      </c>
      <c r="Q22" s="806">
        <f t="shared" si="1"/>
        <v>0</v>
      </c>
      <c r="R22" s="806">
        <f t="shared" si="1"/>
        <v>369192.80687048828</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4654.9956334603721</v>
      </c>
      <c r="D24" s="688">
        <f>+landbouw!C8</f>
        <v>1595.3571428571429</v>
      </c>
      <c r="E24" s="688">
        <f>+landbouw!D8</f>
        <v>488.24312414699915</v>
      </c>
      <c r="F24" s="688">
        <f>+landbouw!E8</f>
        <v>43.853177816582317</v>
      </c>
      <c r="G24" s="688">
        <f>+landbouw!F8</f>
        <v>15190.795609357519</v>
      </c>
      <c r="H24" s="688">
        <f>+landbouw!G8</f>
        <v>0</v>
      </c>
      <c r="I24" s="688">
        <f>+landbouw!H8</f>
        <v>0</v>
      </c>
      <c r="J24" s="688">
        <f>+landbouw!I8</f>
        <v>0</v>
      </c>
      <c r="K24" s="688">
        <f>+landbouw!J8</f>
        <v>575.84560175345973</v>
      </c>
      <c r="L24" s="688">
        <f>+landbouw!K8</f>
        <v>0</v>
      </c>
      <c r="M24" s="688">
        <f>+landbouw!L8</f>
        <v>0</v>
      </c>
      <c r="N24" s="688">
        <f>+landbouw!M8</f>
        <v>0</v>
      </c>
      <c r="O24" s="688">
        <f>+landbouw!N8</f>
        <v>0</v>
      </c>
      <c r="P24" s="688">
        <f>+landbouw!O8</f>
        <v>0</v>
      </c>
      <c r="Q24" s="689">
        <f>+landbouw!P8</f>
        <v>0</v>
      </c>
      <c r="R24" s="691">
        <f>SUM(C24:Q24)</f>
        <v>22549.090289392076</v>
      </c>
      <c r="S24" s="68"/>
    </row>
    <row r="25" spans="1:19" s="457" customFormat="1" ht="15" thickBot="1">
      <c r="A25" s="825" t="s">
        <v>912</v>
      </c>
      <c r="B25" s="1001"/>
      <c r="C25" s="1002">
        <f>IF(Onbekend_ele_kWh="---",0,Onbekend_ele_kWh)/1000+IF(REST_rest_ele_kWh="---",0,REST_rest_ele_kWh)/1000</f>
        <v>12373.8851095178</v>
      </c>
      <c r="D25" s="1002"/>
      <c r="E25" s="1002">
        <f>IF(onbekend_gas_kWh="---",0,onbekend_gas_kWh)/1000+IF(REST_rest_gas_kWh="---",0,REST_rest_gas_kWh)/1000</f>
        <v>18507.753005861901</v>
      </c>
      <c r="F25" s="1002"/>
      <c r="G25" s="1002"/>
      <c r="H25" s="1002"/>
      <c r="I25" s="1002"/>
      <c r="J25" s="1002"/>
      <c r="K25" s="1002"/>
      <c r="L25" s="1002"/>
      <c r="M25" s="1002"/>
      <c r="N25" s="1002"/>
      <c r="O25" s="1002"/>
      <c r="P25" s="1002"/>
      <c r="Q25" s="1003"/>
      <c r="R25" s="691">
        <f>SUM(C25:Q25)</f>
        <v>30881.638115379701</v>
      </c>
      <c r="S25" s="68"/>
    </row>
    <row r="26" spans="1:19" s="457" customFormat="1" ht="15.75" thickBot="1">
      <c r="A26" s="694" t="s">
        <v>913</v>
      </c>
      <c r="B26" s="811"/>
      <c r="C26" s="806">
        <f>SUM(C24:C25)</f>
        <v>17028.880742978174</v>
      </c>
      <c r="D26" s="806">
        <f t="shared" ref="D26:R26" si="2">SUM(D24:D25)</f>
        <v>1595.3571428571429</v>
      </c>
      <c r="E26" s="806">
        <f t="shared" si="2"/>
        <v>18995.996130008902</v>
      </c>
      <c r="F26" s="806">
        <f t="shared" si="2"/>
        <v>43.853177816582317</v>
      </c>
      <c r="G26" s="806">
        <f t="shared" si="2"/>
        <v>15190.795609357519</v>
      </c>
      <c r="H26" s="806">
        <f t="shared" si="2"/>
        <v>0</v>
      </c>
      <c r="I26" s="806">
        <f t="shared" si="2"/>
        <v>0</v>
      </c>
      <c r="J26" s="806">
        <f t="shared" si="2"/>
        <v>0</v>
      </c>
      <c r="K26" s="806">
        <f t="shared" si="2"/>
        <v>575.84560175345973</v>
      </c>
      <c r="L26" s="806">
        <f t="shared" si="2"/>
        <v>0</v>
      </c>
      <c r="M26" s="806">
        <f t="shared" si="2"/>
        <v>0</v>
      </c>
      <c r="N26" s="806">
        <f t="shared" si="2"/>
        <v>0</v>
      </c>
      <c r="O26" s="806">
        <f t="shared" si="2"/>
        <v>0</v>
      </c>
      <c r="P26" s="806">
        <f t="shared" si="2"/>
        <v>0</v>
      </c>
      <c r="Q26" s="806">
        <f t="shared" si="2"/>
        <v>0</v>
      </c>
      <c r="R26" s="806">
        <f t="shared" si="2"/>
        <v>53430.728404771777</v>
      </c>
      <c r="S26" s="68"/>
    </row>
    <row r="27" spans="1:19" s="457" customFormat="1" ht="17.25" thickTop="1" thickBot="1">
      <c r="A27" s="695" t="s">
        <v>116</v>
      </c>
      <c r="B27" s="798"/>
      <c r="C27" s="696">
        <f ca="1">C22+C16+C26</f>
        <v>271805.88656192768</v>
      </c>
      <c r="D27" s="696">
        <f t="shared" ref="D27:R27" ca="1" si="3">D22+D16+D26</f>
        <v>1595.3571428571429</v>
      </c>
      <c r="E27" s="696">
        <f t="shared" ca="1" si="3"/>
        <v>387538.57036776812</v>
      </c>
      <c r="F27" s="696">
        <f t="shared" si="3"/>
        <v>15830.68865493482</v>
      </c>
      <c r="G27" s="696">
        <f t="shared" ca="1" si="3"/>
        <v>88753.09079413685</v>
      </c>
      <c r="H27" s="696">
        <f t="shared" si="3"/>
        <v>301235.1975189356</v>
      </c>
      <c r="I27" s="696">
        <f t="shared" si="3"/>
        <v>50817.352018491772</v>
      </c>
      <c r="J27" s="696">
        <f t="shared" si="3"/>
        <v>0</v>
      </c>
      <c r="K27" s="696">
        <f t="shared" si="3"/>
        <v>773.93760260622821</v>
      </c>
      <c r="L27" s="696">
        <f t="shared" si="3"/>
        <v>0</v>
      </c>
      <c r="M27" s="696">
        <f t="shared" ca="1" si="3"/>
        <v>0</v>
      </c>
      <c r="N27" s="696">
        <f t="shared" si="3"/>
        <v>15736.278930685065</v>
      </c>
      <c r="O27" s="696">
        <f t="shared" ca="1" si="3"/>
        <v>54265.80793377712</v>
      </c>
      <c r="P27" s="696">
        <f t="shared" si="3"/>
        <v>307.97666666666669</v>
      </c>
      <c r="Q27" s="696">
        <f t="shared" si="3"/>
        <v>1544.4</v>
      </c>
      <c r="R27" s="696">
        <f t="shared" ca="1" si="3"/>
        <v>1190204.5441927873</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17449.324636249519</v>
      </c>
      <c r="D40" s="688">
        <f ca="1">tertiair!C20</f>
        <v>0</v>
      </c>
      <c r="E40" s="688">
        <f ca="1">tertiair!D20</f>
        <v>17038.493089707106</v>
      </c>
      <c r="F40" s="688">
        <f>tertiair!E20</f>
        <v>138.60460687719484</v>
      </c>
      <c r="G40" s="688">
        <f ca="1">tertiair!F20</f>
        <v>4431.8220592607386</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39058.244392094566</v>
      </c>
    </row>
    <row r="41" spans="1:18">
      <c r="A41" s="816" t="s">
        <v>225</v>
      </c>
      <c r="B41" s="823"/>
      <c r="C41" s="688">
        <f ca="1">huishoudens!B12</f>
        <v>14005.607608846472</v>
      </c>
      <c r="D41" s="688">
        <f ca="1">huishoudens!C12</f>
        <v>0</v>
      </c>
      <c r="E41" s="688">
        <f>huishoudens!D12</f>
        <v>32795.554984617091</v>
      </c>
      <c r="F41" s="688">
        <f>huishoudens!E12</f>
        <v>2947.4504492374745</v>
      </c>
      <c r="G41" s="688">
        <f>huishoudens!F12</f>
        <v>11920.400911531875</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61669.01395423292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20929.848322079983</v>
      </c>
      <c r="D43" s="688">
        <f ca="1">industrie!C22</f>
        <v>0</v>
      </c>
      <c r="E43" s="688">
        <f>industrie!D22</f>
        <v>24606.985430846478</v>
      </c>
      <c r="F43" s="688">
        <f>industrie!E22</f>
        <v>185.86405178621337</v>
      </c>
      <c r="G43" s="688">
        <f>industrie!F22</f>
        <v>3288.9098435434712</v>
      </c>
      <c r="H43" s="688">
        <f>industrie!G22</f>
        <v>0</v>
      </c>
      <c r="I43" s="688">
        <f>industrie!H22</f>
        <v>0</v>
      </c>
      <c r="J43" s="688">
        <f>industrie!I22</f>
        <v>0</v>
      </c>
      <c r="K43" s="688">
        <f>industrie!J22</f>
        <v>70.124568301880061</v>
      </c>
      <c r="L43" s="688">
        <f>industrie!K22</f>
        <v>0</v>
      </c>
      <c r="M43" s="688">
        <f>industrie!L22</f>
        <v>0</v>
      </c>
      <c r="N43" s="688">
        <f>industrie!M22</f>
        <v>0</v>
      </c>
      <c r="O43" s="688">
        <f>industrie!N22</f>
        <v>0</v>
      </c>
      <c r="P43" s="688">
        <f>industrie!O22</f>
        <v>0</v>
      </c>
      <c r="Q43" s="763">
        <f>industrie!P22</f>
        <v>0</v>
      </c>
      <c r="R43" s="843">
        <f t="shared" ca="1" si="4"/>
        <v>49081.732216558026</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52384.780567175971</v>
      </c>
      <c r="D46" s="721">
        <f t="shared" ref="D46:Q46" ca="1" si="5">SUM(D39:D45)</f>
        <v>0</v>
      </c>
      <c r="E46" s="721">
        <f t="shared" ca="1" si="5"/>
        <v>74441.033505170664</v>
      </c>
      <c r="F46" s="721">
        <f t="shared" si="5"/>
        <v>3271.9191079008824</v>
      </c>
      <c r="G46" s="721">
        <f t="shared" ca="1" si="5"/>
        <v>19641.132814336084</v>
      </c>
      <c r="H46" s="721">
        <f t="shared" si="5"/>
        <v>0</v>
      </c>
      <c r="I46" s="721">
        <f t="shared" si="5"/>
        <v>0</v>
      </c>
      <c r="J46" s="721">
        <f t="shared" si="5"/>
        <v>0</v>
      </c>
      <c r="K46" s="721">
        <f t="shared" si="5"/>
        <v>70.124568301880061</v>
      </c>
      <c r="L46" s="721">
        <f t="shared" si="5"/>
        <v>0</v>
      </c>
      <c r="M46" s="721">
        <f t="shared" ca="1" si="5"/>
        <v>0</v>
      </c>
      <c r="N46" s="721">
        <f t="shared" si="5"/>
        <v>0</v>
      </c>
      <c r="O46" s="721">
        <f t="shared" ca="1" si="5"/>
        <v>0</v>
      </c>
      <c r="P46" s="721">
        <f t="shared" si="5"/>
        <v>0</v>
      </c>
      <c r="Q46" s="721">
        <f t="shared" si="5"/>
        <v>0</v>
      </c>
      <c r="R46" s="721">
        <f ca="1">SUM(R39:R45)</f>
        <v>149808.99056288553</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1028.0098225142299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1028.0098225142299</v>
      </c>
    </row>
    <row r="50" spans="1:18">
      <c r="A50" s="819" t="s">
        <v>307</v>
      </c>
      <c r="B50" s="829"/>
      <c r="C50" s="1008">
        <f ca="1">transport!B18</f>
        <v>1.7019120882491998</v>
      </c>
      <c r="D50" s="1008">
        <f>transport!C18</f>
        <v>0</v>
      </c>
      <c r="E50" s="1008">
        <f>transport!D18</f>
        <v>4.5664908566984046</v>
      </c>
      <c r="F50" s="1008">
        <f>transport!E18</f>
        <v>311.6925454049578</v>
      </c>
      <c r="G50" s="1008">
        <f>transport!F18</f>
        <v>0</v>
      </c>
      <c r="H50" s="1008">
        <f>transport!G18</f>
        <v>79401.787915041583</v>
      </c>
      <c r="I50" s="1008">
        <f>transport!H18</f>
        <v>12653.520652604451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92373.26951599594</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1.7019120882491998</v>
      </c>
      <c r="D52" s="721">
        <f t="shared" ref="D52:Q52" ca="1" si="6">SUM(D48:D51)</f>
        <v>0</v>
      </c>
      <c r="E52" s="721">
        <f t="shared" si="6"/>
        <v>4.5664908566984046</v>
      </c>
      <c r="F52" s="721">
        <f t="shared" si="6"/>
        <v>311.6925454049578</v>
      </c>
      <c r="G52" s="721">
        <f t="shared" si="6"/>
        <v>0</v>
      </c>
      <c r="H52" s="721">
        <f t="shared" si="6"/>
        <v>80429.797737555811</v>
      </c>
      <c r="I52" s="721">
        <f t="shared" si="6"/>
        <v>12653.520652604451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93401.279338510169</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957.14621658838007</v>
      </c>
      <c r="D54" s="1008">
        <f ca="1">+landbouw!C12</f>
        <v>0</v>
      </c>
      <c r="E54" s="1008">
        <f>+landbouw!D12</f>
        <v>98.62511107769383</v>
      </c>
      <c r="F54" s="1008">
        <f>+landbouw!E12</f>
        <v>9.9546713643641862</v>
      </c>
      <c r="G54" s="1008">
        <f>+landbouw!F12</f>
        <v>4055.9424276984578</v>
      </c>
      <c r="H54" s="1008">
        <f>+landbouw!G12</f>
        <v>0</v>
      </c>
      <c r="I54" s="1008">
        <f>+landbouw!H12</f>
        <v>0</v>
      </c>
      <c r="J54" s="1008">
        <f>+landbouw!I12</f>
        <v>0</v>
      </c>
      <c r="K54" s="1008">
        <f>+landbouw!J12</f>
        <v>203.84934302072475</v>
      </c>
      <c r="L54" s="1008">
        <f>+landbouw!K12</f>
        <v>0</v>
      </c>
      <c r="M54" s="1008">
        <f>+landbouw!L12</f>
        <v>0</v>
      </c>
      <c r="N54" s="1008">
        <f>+landbouw!M12</f>
        <v>0</v>
      </c>
      <c r="O54" s="1008">
        <f>+landbouw!N12</f>
        <v>0</v>
      </c>
      <c r="P54" s="1008">
        <f>+landbouw!O12</f>
        <v>0</v>
      </c>
      <c r="Q54" s="1009">
        <f>+landbouw!P12</f>
        <v>0</v>
      </c>
      <c r="R54" s="720">
        <f ca="1">SUM(C54:Q54)</f>
        <v>5325.5177697496201</v>
      </c>
    </row>
    <row r="55" spans="1:18" ht="15" thickBot="1">
      <c r="A55" s="819" t="s">
        <v>912</v>
      </c>
      <c r="B55" s="829"/>
      <c r="C55" s="1008">
        <f ca="1">C25*'EF ele_warmte'!B12</f>
        <v>2544.2810798664696</v>
      </c>
      <c r="D55" s="1008"/>
      <c r="E55" s="1008">
        <f>E25*EF_CO2_aardgas</f>
        <v>3738.5661071841041</v>
      </c>
      <c r="F55" s="1008"/>
      <c r="G55" s="1008"/>
      <c r="H55" s="1008"/>
      <c r="I55" s="1008"/>
      <c r="J55" s="1008"/>
      <c r="K55" s="1008"/>
      <c r="L55" s="1008"/>
      <c r="M55" s="1008"/>
      <c r="N55" s="1008"/>
      <c r="O55" s="1008"/>
      <c r="P55" s="1008"/>
      <c r="Q55" s="1009"/>
      <c r="R55" s="720">
        <f ca="1">SUM(C55:Q55)</f>
        <v>6282.8471870505737</v>
      </c>
    </row>
    <row r="56" spans="1:18" ht="15.75" thickBot="1">
      <c r="A56" s="817" t="s">
        <v>913</v>
      </c>
      <c r="B56" s="830"/>
      <c r="C56" s="721">
        <f ca="1">SUM(C54:C55)</f>
        <v>3501.4272964548495</v>
      </c>
      <c r="D56" s="721">
        <f t="shared" ref="D56:Q56" ca="1" si="7">SUM(D54:D55)</f>
        <v>0</v>
      </c>
      <c r="E56" s="721">
        <f t="shared" si="7"/>
        <v>3837.191218261798</v>
      </c>
      <c r="F56" s="721">
        <f t="shared" si="7"/>
        <v>9.9546713643641862</v>
      </c>
      <c r="G56" s="721">
        <f t="shared" si="7"/>
        <v>4055.9424276984578</v>
      </c>
      <c r="H56" s="721">
        <f t="shared" si="7"/>
        <v>0</v>
      </c>
      <c r="I56" s="721">
        <f t="shared" si="7"/>
        <v>0</v>
      </c>
      <c r="J56" s="721">
        <f t="shared" si="7"/>
        <v>0</v>
      </c>
      <c r="K56" s="721">
        <f t="shared" si="7"/>
        <v>203.84934302072475</v>
      </c>
      <c r="L56" s="721">
        <f t="shared" si="7"/>
        <v>0</v>
      </c>
      <c r="M56" s="721">
        <f t="shared" si="7"/>
        <v>0</v>
      </c>
      <c r="N56" s="721">
        <f t="shared" si="7"/>
        <v>0</v>
      </c>
      <c r="O56" s="721">
        <f t="shared" si="7"/>
        <v>0</v>
      </c>
      <c r="P56" s="721">
        <f t="shared" si="7"/>
        <v>0</v>
      </c>
      <c r="Q56" s="722">
        <f t="shared" si="7"/>
        <v>0</v>
      </c>
      <c r="R56" s="723">
        <f ca="1">SUM(R54:R55)</f>
        <v>11608.364956800193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55887.909775719068</v>
      </c>
      <c r="D61" s="729">
        <f t="shared" ref="D61:Q61" ca="1" si="8">D46+D52+D56</f>
        <v>0</v>
      </c>
      <c r="E61" s="729">
        <f t="shared" ca="1" si="8"/>
        <v>78282.791214289158</v>
      </c>
      <c r="F61" s="729">
        <f t="shared" si="8"/>
        <v>3593.5663246702043</v>
      </c>
      <c r="G61" s="729">
        <f t="shared" ca="1" si="8"/>
        <v>23697.075242034542</v>
      </c>
      <c r="H61" s="729">
        <f t="shared" si="8"/>
        <v>80429.797737555811</v>
      </c>
      <c r="I61" s="729">
        <f t="shared" si="8"/>
        <v>12653.520652604451</v>
      </c>
      <c r="J61" s="729">
        <f t="shared" si="8"/>
        <v>0</v>
      </c>
      <c r="K61" s="729">
        <f t="shared" si="8"/>
        <v>273.97391132260481</v>
      </c>
      <c r="L61" s="729">
        <f t="shared" si="8"/>
        <v>0</v>
      </c>
      <c r="M61" s="729">
        <f t="shared" ca="1" si="8"/>
        <v>0</v>
      </c>
      <c r="N61" s="729">
        <f t="shared" si="8"/>
        <v>0</v>
      </c>
      <c r="O61" s="729">
        <f t="shared" ca="1" si="8"/>
        <v>0</v>
      </c>
      <c r="P61" s="729">
        <f t="shared" si="8"/>
        <v>0</v>
      </c>
      <c r="Q61" s="729">
        <f t="shared" si="8"/>
        <v>0</v>
      </c>
      <c r="R61" s="729">
        <f ca="1">R46+R52+R56</f>
        <v>254818.6348581959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0.20561699557962179</v>
      </c>
      <c r="D63" s="773">
        <f t="shared" ca="1" si="9"/>
        <v>0</v>
      </c>
      <c r="E63" s="1010">
        <f t="shared" ca="1" si="9"/>
        <v>0.20199999999999999</v>
      </c>
      <c r="F63" s="773">
        <f t="shared" si="9"/>
        <v>0.22700000000000001</v>
      </c>
      <c r="G63" s="773">
        <f t="shared" ca="1" si="9"/>
        <v>0.26700000000000002</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17802.666988538233</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1116.75</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1313.8235294117646</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18919.416988538233</v>
      </c>
      <c r="C78" s="744">
        <f>SUM(C72:C77)</f>
        <v>0</v>
      </c>
      <c r="D78" s="745">
        <f t="shared" ref="D78:H78" si="10">SUM(D76:D77)</f>
        <v>0</v>
      </c>
      <c r="E78" s="745">
        <f t="shared" si="10"/>
        <v>0</v>
      </c>
      <c r="F78" s="745">
        <f t="shared" si="10"/>
        <v>0</v>
      </c>
      <c r="G78" s="745">
        <f t="shared" si="10"/>
        <v>0</v>
      </c>
      <c r="H78" s="745">
        <f t="shared" si="10"/>
        <v>0</v>
      </c>
      <c r="I78" s="745">
        <f>SUM(I76:I77)</f>
        <v>0</v>
      </c>
      <c r="J78" s="745">
        <f>SUM(J76:J77)</f>
        <v>1313.8235294117646</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1595.3571428571429</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1876.8907563025207</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1595.3571428571429</v>
      </c>
      <c r="C90" s="744">
        <f>SUM(C87:C89)</f>
        <v>0</v>
      </c>
      <c r="D90" s="744">
        <f t="shared" ref="D90:H90" si="12">SUM(D87:D89)</f>
        <v>0</v>
      </c>
      <c r="E90" s="744">
        <f t="shared" si="12"/>
        <v>0</v>
      </c>
      <c r="F90" s="744">
        <f t="shared" si="12"/>
        <v>0</v>
      </c>
      <c r="G90" s="744">
        <f t="shared" si="12"/>
        <v>0</v>
      </c>
      <c r="H90" s="744">
        <f t="shared" si="12"/>
        <v>0</v>
      </c>
      <c r="I90" s="744">
        <f>SUM(I87:I89)</f>
        <v>0</v>
      </c>
      <c r="J90" s="744">
        <f>SUM(J87:J89)</f>
        <v>1876.8907563025207</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17802.666988538233</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1116.75</v>
      </c>
      <c r="C8" s="558">
        <f>B101</f>
        <v>0</v>
      </c>
      <c r="D8" s="991"/>
      <c r="E8" s="991">
        <f>E101</f>
        <v>0</v>
      </c>
      <c r="F8" s="992"/>
      <c r="G8" s="559"/>
      <c r="H8" s="991">
        <f>I101</f>
        <v>0</v>
      </c>
      <c r="I8" s="991">
        <f>G101+F101</f>
        <v>0</v>
      </c>
      <c r="J8" s="991">
        <f>H101+D101+C101</f>
        <v>1313.8235294117646</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18919.416988538233</v>
      </c>
      <c r="C10" s="570">
        <f t="shared" ref="C10:L10" si="0">SUM(C8:C9)</f>
        <v>0</v>
      </c>
      <c r="D10" s="570">
        <f t="shared" si="0"/>
        <v>0</v>
      </c>
      <c r="E10" s="570">
        <f t="shared" si="0"/>
        <v>0</v>
      </c>
      <c r="F10" s="570">
        <f t="shared" si="0"/>
        <v>0</v>
      </c>
      <c r="G10" s="570">
        <f t="shared" si="0"/>
        <v>0</v>
      </c>
      <c r="H10" s="570">
        <f t="shared" si="0"/>
        <v>0</v>
      </c>
      <c r="I10" s="570">
        <f t="shared" si="0"/>
        <v>0</v>
      </c>
      <c r="J10" s="570">
        <f t="shared" si="0"/>
        <v>1313.8235294117646</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1595.3571428571429</v>
      </c>
      <c r="C17" s="582">
        <f>B102</f>
        <v>0</v>
      </c>
      <c r="D17" s="583"/>
      <c r="E17" s="583">
        <f>E102</f>
        <v>0</v>
      </c>
      <c r="F17" s="584"/>
      <c r="G17" s="585"/>
      <c r="H17" s="582">
        <f>I102</f>
        <v>0</v>
      </c>
      <c r="I17" s="583">
        <f>G102+F102</f>
        <v>0</v>
      </c>
      <c r="J17" s="583">
        <f>H102+D102+C102</f>
        <v>1876.8907563025207</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1595.3571428571429</v>
      </c>
      <c r="C20" s="569">
        <f>SUM(C17:C19)</f>
        <v>0</v>
      </c>
      <c r="D20" s="569">
        <f t="shared" ref="D20:L20" si="1">SUM(D17:D19)</f>
        <v>0</v>
      </c>
      <c r="E20" s="569">
        <f t="shared" si="1"/>
        <v>0</v>
      </c>
      <c r="F20" s="569">
        <f t="shared" si="1"/>
        <v>0</v>
      </c>
      <c r="G20" s="569">
        <f t="shared" si="1"/>
        <v>0</v>
      </c>
      <c r="H20" s="569">
        <f t="shared" si="1"/>
        <v>0</v>
      </c>
      <c r="I20" s="569">
        <f t="shared" si="1"/>
        <v>0</v>
      </c>
      <c r="J20" s="569">
        <f t="shared" si="1"/>
        <v>1876.8907563025207</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13008</v>
      </c>
      <c r="C28" s="789">
        <v>2440</v>
      </c>
      <c r="D28" s="642" t="s">
        <v>948</v>
      </c>
      <c r="E28" s="641" t="s">
        <v>949</v>
      </c>
      <c r="F28" s="641" t="s">
        <v>950</v>
      </c>
      <c r="G28" s="641" t="s">
        <v>951</v>
      </c>
      <c r="H28" s="641" t="s">
        <v>952</v>
      </c>
      <c r="I28" s="641" t="s">
        <v>949</v>
      </c>
      <c r="J28" s="788">
        <v>41249</v>
      </c>
      <c r="K28" s="788">
        <v>41249</v>
      </c>
      <c r="L28" s="641" t="s">
        <v>953</v>
      </c>
      <c r="M28" s="641">
        <v>2978</v>
      </c>
      <c r="N28" s="641">
        <v>1116.75</v>
      </c>
      <c r="O28" s="641">
        <v>1595.3571428571429</v>
      </c>
      <c r="P28" s="641">
        <v>0</v>
      </c>
      <c r="Q28" s="641">
        <v>3190.7142857142858</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2978</v>
      </c>
      <c r="N58" s="599">
        <f>SUM(N28:N57)</f>
        <v>1116.75</v>
      </c>
      <c r="O58" s="599">
        <f t="shared" ref="O58:W58" si="2">SUM(O28:O57)</f>
        <v>1595.3571428571429</v>
      </c>
      <c r="P58" s="599">
        <f t="shared" si="2"/>
        <v>0</v>
      </c>
      <c r="Q58" s="599">
        <f t="shared" si="2"/>
        <v>3190.7142857142858</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2978</v>
      </c>
      <c r="N61" s="604">
        <f t="shared" si="4"/>
        <v>1116.75</v>
      </c>
      <c r="O61" s="604">
        <f t="shared" si="4"/>
        <v>1595.3571428571429</v>
      </c>
      <c r="P61" s="604">
        <f t="shared" si="4"/>
        <v>0</v>
      </c>
      <c r="Q61" s="604">
        <f t="shared" si="4"/>
        <v>3190.7142857142858</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0.58823529411764697</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1313.8235294117646</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1876.8907563025207</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68115.028961324511</v>
      </c>
      <c r="C4" s="461">
        <f>huishoudens!C8</f>
        <v>0</v>
      </c>
      <c r="D4" s="461">
        <f>huishoudens!D8</f>
        <v>162354.23259711429</v>
      </c>
      <c r="E4" s="461">
        <f>huishoudens!E8</f>
        <v>12984.363212499888</v>
      </c>
      <c r="F4" s="461">
        <f>huishoudens!F8</f>
        <v>44645.696297872186</v>
      </c>
      <c r="G4" s="461">
        <f>huishoudens!G8</f>
        <v>0</v>
      </c>
      <c r="H4" s="461">
        <f>huishoudens!H8</f>
        <v>0</v>
      </c>
      <c r="I4" s="461">
        <f>huishoudens!I8</f>
        <v>0</v>
      </c>
      <c r="J4" s="461">
        <f>huishoudens!J8</f>
        <v>0</v>
      </c>
      <c r="K4" s="461">
        <f>huishoudens!K8</f>
        <v>0</v>
      </c>
      <c r="L4" s="461">
        <f>huishoudens!L8</f>
        <v>0</v>
      </c>
      <c r="M4" s="461">
        <f>huishoudens!M8</f>
        <v>0</v>
      </c>
      <c r="N4" s="461">
        <f>huishoudens!N8</f>
        <v>47654.792017433749</v>
      </c>
      <c r="O4" s="461">
        <f>huishoudens!O8</f>
        <v>307.97666666666669</v>
      </c>
      <c r="P4" s="462">
        <f>huishoudens!P8</f>
        <v>1544.4</v>
      </c>
      <c r="Q4" s="463">
        <f>SUM(B4:P4)</f>
        <v>337606.48975291132</v>
      </c>
    </row>
    <row r="5" spans="1:17">
      <c r="A5" s="460" t="s">
        <v>156</v>
      </c>
      <c r="B5" s="461">
        <f ca="1">tertiair!B16</f>
        <v>83170.153935220034</v>
      </c>
      <c r="C5" s="461">
        <f ca="1">tertiair!C16</f>
        <v>0</v>
      </c>
      <c r="D5" s="461">
        <f ca="1">tertiair!D16</f>
        <v>84348.975691619329</v>
      </c>
      <c r="E5" s="461">
        <f>tertiair!E16</f>
        <v>610.59298183786268</v>
      </c>
      <c r="F5" s="461">
        <f ca="1">tertiair!F16</f>
        <v>16598.584491613252</v>
      </c>
      <c r="G5" s="461">
        <f>tertiair!G16</f>
        <v>0</v>
      </c>
      <c r="H5" s="461">
        <f>tertiair!H16</f>
        <v>0</v>
      </c>
      <c r="I5" s="461">
        <f>tertiair!I16</f>
        <v>0</v>
      </c>
      <c r="J5" s="461">
        <f>tertiair!J16</f>
        <v>0</v>
      </c>
      <c r="K5" s="461">
        <f>tertiair!K16</f>
        <v>0</v>
      </c>
      <c r="L5" s="461">
        <f ca="1">tertiair!L16</f>
        <v>0</v>
      </c>
      <c r="M5" s="461">
        <f>tertiair!M16</f>
        <v>0</v>
      </c>
      <c r="N5" s="461">
        <f ca="1">tertiair!N16</f>
        <v>5117.1348722620151</v>
      </c>
      <c r="O5" s="461">
        <f>tertiair!O16</f>
        <v>0</v>
      </c>
      <c r="P5" s="462">
        <f>tertiair!P16</f>
        <v>0</v>
      </c>
      <c r="Q5" s="460">
        <f t="shared" ref="Q5:Q14" ca="1" si="0">SUM(B5:P5)</f>
        <v>189845.44197255251</v>
      </c>
    </row>
    <row r="6" spans="1:17">
      <c r="A6" s="460" t="s">
        <v>194</v>
      </c>
      <c r="B6" s="461">
        <f>'openbare verlichting'!B8</f>
        <v>1693.087</v>
      </c>
      <c r="C6" s="461"/>
      <c r="D6" s="461"/>
      <c r="E6" s="461"/>
      <c r="F6" s="461"/>
      <c r="G6" s="461"/>
      <c r="H6" s="461"/>
      <c r="I6" s="461"/>
      <c r="J6" s="461"/>
      <c r="K6" s="461"/>
      <c r="L6" s="461"/>
      <c r="M6" s="461"/>
      <c r="N6" s="461"/>
      <c r="O6" s="461"/>
      <c r="P6" s="462"/>
      <c r="Q6" s="460">
        <f t="shared" si="0"/>
        <v>1693.087</v>
      </c>
    </row>
    <row r="7" spans="1:17">
      <c r="A7" s="460" t="s">
        <v>112</v>
      </c>
      <c r="B7" s="461">
        <f>landbouw!B8</f>
        <v>4654.9956334603721</v>
      </c>
      <c r="C7" s="461">
        <f>landbouw!C8</f>
        <v>1595.3571428571429</v>
      </c>
      <c r="D7" s="461">
        <f>landbouw!D8</f>
        <v>488.24312414699915</v>
      </c>
      <c r="E7" s="461">
        <f>landbouw!E8</f>
        <v>43.853177816582317</v>
      </c>
      <c r="F7" s="461">
        <f>landbouw!F8</f>
        <v>15190.795609357519</v>
      </c>
      <c r="G7" s="461">
        <f>landbouw!G8</f>
        <v>0</v>
      </c>
      <c r="H7" s="461">
        <f>landbouw!H8</f>
        <v>0</v>
      </c>
      <c r="I7" s="461">
        <f>landbouw!I8</f>
        <v>0</v>
      </c>
      <c r="J7" s="461">
        <f>landbouw!J8</f>
        <v>575.84560175345973</v>
      </c>
      <c r="K7" s="461">
        <f>landbouw!K8</f>
        <v>0</v>
      </c>
      <c r="L7" s="461">
        <f>landbouw!L8</f>
        <v>0</v>
      </c>
      <c r="M7" s="461">
        <f>landbouw!M8</f>
        <v>0</v>
      </c>
      <c r="N7" s="461">
        <f>landbouw!N8</f>
        <v>0</v>
      </c>
      <c r="O7" s="461">
        <f>landbouw!O8</f>
        <v>0</v>
      </c>
      <c r="P7" s="462">
        <f>landbouw!P8</f>
        <v>0</v>
      </c>
      <c r="Q7" s="460">
        <f t="shared" si="0"/>
        <v>22549.090289392076</v>
      </c>
    </row>
    <row r="8" spans="1:17">
      <c r="A8" s="460" t="s">
        <v>685</v>
      </c>
      <c r="B8" s="461">
        <f>industrie!B18</f>
        <v>101790.45882408705</v>
      </c>
      <c r="C8" s="461">
        <f>industrie!C18</f>
        <v>0</v>
      </c>
      <c r="D8" s="461">
        <f>industrie!D18</f>
        <v>121816.75955864592</v>
      </c>
      <c r="E8" s="461">
        <f>industrie!E18</f>
        <v>818.78436910226151</v>
      </c>
      <c r="F8" s="461">
        <f>industrie!F18</f>
        <v>12318.0143952939</v>
      </c>
      <c r="G8" s="461">
        <f>industrie!G18</f>
        <v>0</v>
      </c>
      <c r="H8" s="461">
        <f>industrie!H18</f>
        <v>0</v>
      </c>
      <c r="I8" s="461">
        <f>industrie!I18</f>
        <v>0</v>
      </c>
      <c r="J8" s="461">
        <f>industrie!J18</f>
        <v>198.09200085276854</v>
      </c>
      <c r="K8" s="461">
        <f>industrie!K18</f>
        <v>0</v>
      </c>
      <c r="L8" s="461">
        <f>industrie!L18</f>
        <v>0</v>
      </c>
      <c r="M8" s="461">
        <f>industrie!M18</f>
        <v>0</v>
      </c>
      <c r="N8" s="461">
        <f>industrie!N18</f>
        <v>1493.8810440813563</v>
      </c>
      <c r="O8" s="461">
        <f>industrie!O18</f>
        <v>0</v>
      </c>
      <c r="P8" s="462">
        <f>industrie!P18</f>
        <v>0</v>
      </c>
      <c r="Q8" s="460">
        <f t="shared" si="0"/>
        <v>238435.99019206327</v>
      </c>
    </row>
    <row r="9" spans="1:17" s="466" customFormat="1">
      <c r="A9" s="464" t="s">
        <v>579</v>
      </c>
      <c r="B9" s="465">
        <f>transport!B14</f>
        <v>8.2770983179265567</v>
      </c>
      <c r="C9" s="465">
        <f>transport!C14</f>
        <v>0</v>
      </c>
      <c r="D9" s="465">
        <f>transport!D14</f>
        <v>22.606390379695071</v>
      </c>
      <c r="E9" s="465">
        <f>transport!E14</f>
        <v>1373.0949136782281</v>
      </c>
      <c r="F9" s="465">
        <f>transport!F14</f>
        <v>0</v>
      </c>
      <c r="G9" s="465">
        <f>transport!G14</f>
        <v>297384.97346457519</v>
      </c>
      <c r="H9" s="465">
        <f>transport!H14</f>
        <v>50817.352018491772</v>
      </c>
      <c r="I9" s="465">
        <f>transport!I14</f>
        <v>0</v>
      </c>
      <c r="J9" s="465">
        <f>transport!J14</f>
        <v>0</v>
      </c>
      <c r="K9" s="465">
        <f>transport!K14</f>
        <v>0</v>
      </c>
      <c r="L9" s="465">
        <f>transport!L14</f>
        <v>0</v>
      </c>
      <c r="M9" s="465">
        <f>transport!M14</f>
        <v>15567.209241116238</v>
      </c>
      <c r="N9" s="465">
        <f>transport!N14</f>
        <v>0</v>
      </c>
      <c r="O9" s="465">
        <f>transport!O14</f>
        <v>0</v>
      </c>
      <c r="P9" s="465">
        <f>transport!P14</f>
        <v>0</v>
      </c>
      <c r="Q9" s="464">
        <f>SUM(B9:P9)</f>
        <v>365173.51312655903</v>
      </c>
    </row>
    <row r="10" spans="1:17">
      <c r="A10" s="460" t="s">
        <v>569</v>
      </c>
      <c r="B10" s="461">
        <f>transport!B54</f>
        <v>0</v>
      </c>
      <c r="C10" s="461">
        <f>transport!C54</f>
        <v>0</v>
      </c>
      <c r="D10" s="461">
        <f>transport!D54</f>
        <v>0</v>
      </c>
      <c r="E10" s="461">
        <f>transport!E54</f>
        <v>0</v>
      </c>
      <c r="F10" s="461">
        <f>transport!F54</f>
        <v>0</v>
      </c>
      <c r="G10" s="461">
        <f>transport!G54</f>
        <v>3850.2240543604116</v>
      </c>
      <c r="H10" s="461">
        <f>transport!H54</f>
        <v>0</v>
      </c>
      <c r="I10" s="461">
        <f>transport!I54</f>
        <v>0</v>
      </c>
      <c r="J10" s="461">
        <f>transport!J54</f>
        <v>0</v>
      </c>
      <c r="K10" s="461">
        <f>transport!K54</f>
        <v>0</v>
      </c>
      <c r="L10" s="461">
        <f>transport!L54</f>
        <v>0</v>
      </c>
      <c r="M10" s="461">
        <f>transport!M54</f>
        <v>169.0696895688267</v>
      </c>
      <c r="N10" s="461">
        <f>transport!N54</f>
        <v>0</v>
      </c>
      <c r="O10" s="461">
        <f>transport!O54</f>
        <v>0</v>
      </c>
      <c r="P10" s="462">
        <f>transport!P54</f>
        <v>0</v>
      </c>
      <c r="Q10" s="460">
        <f t="shared" si="0"/>
        <v>4019.2937439292382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12373.8851095178</v>
      </c>
      <c r="C14" s="468"/>
      <c r="D14" s="468">
        <f>'SEAP template'!E25</f>
        <v>18507.753005861901</v>
      </c>
      <c r="E14" s="468"/>
      <c r="F14" s="468"/>
      <c r="G14" s="468"/>
      <c r="H14" s="468"/>
      <c r="I14" s="468"/>
      <c r="J14" s="468"/>
      <c r="K14" s="468"/>
      <c r="L14" s="468"/>
      <c r="M14" s="468"/>
      <c r="N14" s="468"/>
      <c r="O14" s="468"/>
      <c r="P14" s="469"/>
      <c r="Q14" s="460">
        <f t="shared" si="0"/>
        <v>30881.638115379701</v>
      </c>
    </row>
    <row r="15" spans="1:17" s="473" customFormat="1">
      <c r="A15" s="470" t="s">
        <v>573</v>
      </c>
      <c r="B15" s="471">
        <f ca="1">SUM(B4:B14)</f>
        <v>271805.88656192768</v>
      </c>
      <c r="C15" s="471">
        <f t="shared" ref="C15:Q15" ca="1" si="1">SUM(C4:C14)</f>
        <v>1595.3571428571429</v>
      </c>
      <c r="D15" s="471">
        <f t="shared" ca="1" si="1"/>
        <v>387538.57036776817</v>
      </c>
      <c r="E15" s="471">
        <f t="shared" si="1"/>
        <v>15830.68865493482</v>
      </c>
      <c r="F15" s="471">
        <f t="shared" ca="1" si="1"/>
        <v>88753.09079413685</v>
      </c>
      <c r="G15" s="471">
        <f t="shared" si="1"/>
        <v>301235.1975189356</v>
      </c>
      <c r="H15" s="471">
        <f t="shared" si="1"/>
        <v>50817.352018491772</v>
      </c>
      <c r="I15" s="471">
        <f t="shared" si="1"/>
        <v>0</v>
      </c>
      <c r="J15" s="471">
        <f t="shared" si="1"/>
        <v>773.93760260622821</v>
      </c>
      <c r="K15" s="471">
        <f t="shared" si="1"/>
        <v>0</v>
      </c>
      <c r="L15" s="471">
        <f t="shared" ca="1" si="1"/>
        <v>0</v>
      </c>
      <c r="M15" s="471">
        <f t="shared" si="1"/>
        <v>15736.278930685065</v>
      </c>
      <c r="N15" s="471">
        <f t="shared" ca="1" si="1"/>
        <v>54265.80793377712</v>
      </c>
      <c r="O15" s="471">
        <f t="shared" si="1"/>
        <v>307.97666666666669</v>
      </c>
      <c r="P15" s="471">
        <f t="shared" si="1"/>
        <v>1544.4</v>
      </c>
      <c r="Q15" s="471">
        <f t="shared" ca="1" si="1"/>
        <v>1190204.544192787</v>
      </c>
    </row>
    <row r="17" spans="1:17">
      <c r="A17" s="474" t="s">
        <v>574</v>
      </c>
      <c r="B17" s="778">
        <f ca="1">huishoudens!B10</f>
        <v>0.20561699557962179</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14005.607608846472</v>
      </c>
      <c r="C22" s="461">
        <f t="shared" ref="C22:C32" ca="1" si="3">C4*$C$17</f>
        <v>0</v>
      </c>
      <c r="D22" s="461">
        <f t="shared" ref="D22:D32" si="4">D4*$D$17</f>
        <v>32795.554984617091</v>
      </c>
      <c r="E22" s="461">
        <f t="shared" ref="E22:E32" si="5">E4*$E$17</f>
        <v>2947.4504492374745</v>
      </c>
      <c r="F22" s="461">
        <f t="shared" ref="F22:F32" si="6">F4*$F$17</f>
        <v>11920.400911531875</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61669.01395423292</v>
      </c>
    </row>
    <row r="23" spans="1:17">
      <c r="A23" s="460" t="s">
        <v>156</v>
      </c>
      <c r="B23" s="461">
        <f t="shared" ca="1" si="2"/>
        <v>17101.197174054603</v>
      </c>
      <c r="C23" s="461">
        <f t="shared" ca="1" si="3"/>
        <v>0</v>
      </c>
      <c r="D23" s="461">
        <f t="shared" ca="1" si="4"/>
        <v>17038.493089707106</v>
      </c>
      <c r="E23" s="461">
        <f t="shared" si="5"/>
        <v>138.60460687719484</v>
      </c>
      <c r="F23" s="461">
        <f t="shared" ca="1" si="6"/>
        <v>4431.8220592607386</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38710.116929899646</v>
      </c>
    </row>
    <row r="24" spans="1:17">
      <c r="A24" s="460" t="s">
        <v>194</v>
      </c>
      <c r="B24" s="461">
        <f t="shared" ca="1" si="2"/>
        <v>348.1274621949151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348.1274621949151</v>
      </c>
    </row>
    <row r="25" spans="1:17">
      <c r="A25" s="460" t="s">
        <v>112</v>
      </c>
      <c r="B25" s="461">
        <f t="shared" ca="1" si="2"/>
        <v>957.14621658838007</v>
      </c>
      <c r="C25" s="461">
        <f t="shared" ca="1" si="3"/>
        <v>0</v>
      </c>
      <c r="D25" s="461">
        <f t="shared" si="4"/>
        <v>98.62511107769383</v>
      </c>
      <c r="E25" s="461">
        <f t="shared" si="5"/>
        <v>9.9546713643641862</v>
      </c>
      <c r="F25" s="461">
        <f t="shared" si="6"/>
        <v>4055.9424276984578</v>
      </c>
      <c r="G25" s="461">
        <f t="shared" si="7"/>
        <v>0</v>
      </c>
      <c r="H25" s="461">
        <f t="shared" si="8"/>
        <v>0</v>
      </c>
      <c r="I25" s="461">
        <f t="shared" si="9"/>
        <v>0</v>
      </c>
      <c r="J25" s="461">
        <f t="shared" si="10"/>
        <v>203.84934302072475</v>
      </c>
      <c r="K25" s="461">
        <f t="shared" si="11"/>
        <v>0</v>
      </c>
      <c r="L25" s="461">
        <f t="shared" si="12"/>
        <v>0</v>
      </c>
      <c r="M25" s="461">
        <f t="shared" si="13"/>
        <v>0</v>
      </c>
      <c r="N25" s="461">
        <f t="shared" si="14"/>
        <v>0</v>
      </c>
      <c r="O25" s="461">
        <f t="shared" si="15"/>
        <v>0</v>
      </c>
      <c r="P25" s="462">
        <f t="shared" si="16"/>
        <v>0</v>
      </c>
      <c r="Q25" s="460">
        <f t="shared" ca="1" si="17"/>
        <v>5325.5177697496201</v>
      </c>
    </row>
    <row r="26" spans="1:17">
      <c r="A26" s="460" t="s">
        <v>685</v>
      </c>
      <c r="B26" s="461">
        <f t="shared" ca="1" si="2"/>
        <v>20929.848322079983</v>
      </c>
      <c r="C26" s="461">
        <f t="shared" ca="1" si="3"/>
        <v>0</v>
      </c>
      <c r="D26" s="461">
        <f t="shared" si="4"/>
        <v>24606.985430846478</v>
      </c>
      <c r="E26" s="461">
        <f t="shared" si="5"/>
        <v>185.86405178621337</v>
      </c>
      <c r="F26" s="461">
        <f t="shared" si="6"/>
        <v>3288.9098435434712</v>
      </c>
      <c r="G26" s="461">
        <f t="shared" si="7"/>
        <v>0</v>
      </c>
      <c r="H26" s="461">
        <f t="shared" si="8"/>
        <v>0</v>
      </c>
      <c r="I26" s="461">
        <f t="shared" si="9"/>
        <v>0</v>
      </c>
      <c r="J26" s="461">
        <f t="shared" si="10"/>
        <v>70.124568301880061</v>
      </c>
      <c r="K26" s="461">
        <f t="shared" si="11"/>
        <v>0</v>
      </c>
      <c r="L26" s="461">
        <f t="shared" si="12"/>
        <v>0</v>
      </c>
      <c r="M26" s="461">
        <f t="shared" si="13"/>
        <v>0</v>
      </c>
      <c r="N26" s="461">
        <f t="shared" si="14"/>
        <v>0</v>
      </c>
      <c r="O26" s="461">
        <f t="shared" si="15"/>
        <v>0</v>
      </c>
      <c r="P26" s="462">
        <f t="shared" si="16"/>
        <v>0</v>
      </c>
      <c r="Q26" s="460">
        <f t="shared" ca="1" si="17"/>
        <v>49081.732216558026</v>
      </c>
    </row>
    <row r="27" spans="1:17" s="466" customFormat="1">
      <c r="A27" s="464" t="s">
        <v>579</v>
      </c>
      <c r="B27" s="772">
        <f t="shared" ca="1" si="2"/>
        <v>1.7019120882491998</v>
      </c>
      <c r="C27" s="465">
        <f t="shared" ca="1" si="3"/>
        <v>0</v>
      </c>
      <c r="D27" s="465">
        <f t="shared" si="4"/>
        <v>4.5664908566984046</v>
      </c>
      <c r="E27" s="465">
        <f t="shared" si="5"/>
        <v>311.6925454049578</v>
      </c>
      <c r="F27" s="465">
        <f t="shared" si="6"/>
        <v>0</v>
      </c>
      <c r="G27" s="465">
        <f t="shared" si="7"/>
        <v>79401.787915041583</v>
      </c>
      <c r="H27" s="465">
        <f t="shared" si="8"/>
        <v>12653.520652604451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92373.26951599594</v>
      </c>
    </row>
    <row r="28" spans="1:17">
      <c r="A28" s="460" t="s">
        <v>569</v>
      </c>
      <c r="B28" s="461">
        <f t="shared" ca="1" si="2"/>
        <v>0</v>
      </c>
      <c r="C28" s="461">
        <f t="shared" ca="1" si="3"/>
        <v>0</v>
      </c>
      <c r="D28" s="461">
        <f t="shared" si="4"/>
        <v>0</v>
      </c>
      <c r="E28" s="461">
        <f t="shared" si="5"/>
        <v>0</v>
      </c>
      <c r="F28" s="461">
        <f t="shared" si="6"/>
        <v>0</v>
      </c>
      <c r="G28" s="461">
        <f t="shared" si="7"/>
        <v>1028.0098225142299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1028.0098225142299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2544.2810798664696</v>
      </c>
      <c r="C32" s="461">
        <f t="shared" ca="1" si="3"/>
        <v>0</v>
      </c>
      <c r="D32" s="461">
        <f t="shared" si="4"/>
        <v>3738.5661071841041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6282.8471870505737</v>
      </c>
    </row>
    <row r="33" spans="1:17" s="473" customFormat="1">
      <c r="A33" s="470" t="s">
        <v>573</v>
      </c>
      <c r="B33" s="471">
        <f ca="1">SUM(B22:B32)</f>
        <v>55887.909775719076</v>
      </c>
      <c r="C33" s="471">
        <f t="shared" ref="C33:Q33" ca="1" si="18">SUM(C22:C32)</f>
        <v>0</v>
      </c>
      <c r="D33" s="471">
        <f t="shared" ca="1" si="18"/>
        <v>78282.791214289173</v>
      </c>
      <c r="E33" s="471">
        <f t="shared" si="18"/>
        <v>3593.5663246702043</v>
      </c>
      <c r="F33" s="471">
        <f t="shared" ca="1" si="18"/>
        <v>23697.075242034542</v>
      </c>
      <c r="G33" s="471">
        <f t="shared" si="18"/>
        <v>80429.797737555811</v>
      </c>
      <c r="H33" s="471">
        <f t="shared" si="18"/>
        <v>12653.520652604451</v>
      </c>
      <c r="I33" s="471">
        <f t="shared" si="18"/>
        <v>0</v>
      </c>
      <c r="J33" s="471">
        <f t="shared" si="18"/>
        <v>273.97391132260481</v>
      </c>
      <c r="K33" s="471">
        <f t="shared" si="18"/>
        <v>0</v>
      </c>
      <c r="L33" s="471">
        <f t="shared" ca="1" si="18"/>
        <v>0</v>
      </c>
      <c r="M33" s="471">
        <f t="shared" si="18"/>
        <v>0</v>
      </c>
      <c r="N33" s="471">
        <f t="shared" ca="1" si="18"/>
        <v>0</v>
      </c>
      <c r="O33" s="471">
        <f t="shared" si="18"/>
        <v>0</v>
      </c>
      <c r="P33" s="471">
        <f t="shared" si="18"/>
        <v>0</v>
      </c>
      <c r="Q33" s="471">
        <f t="shared" ca="1" si="18"/>
        <v>254818.63485819587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17802.666988538233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1116.75</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1313.8235294117646</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18919.416988538233</v>
      </c>
      <c r="C10" s="1041">
        <f>SUM(C4:C9)</f>
        <v>0</v>
      </c>
      <c r="D10" s="1041">
        <f t="shared" ref="D10:H10" si="0">SUM(D8:D9)</f>
        <v>0</v>
      </c>
      <c r="E10" s="1041">
        <f t="shared" si="0"/>
        <v>0</v>
      </c>
      <c r="F10" s="1041">
        <f t="shared" si="0"/>
        <v>0</v>
      </c>
      <c r="G10" s="1041">
        <f t="shared" si="0"/>
        <v>0</v>
      </c>
      <c r="H10" s="1041">
        <f t="shared" si="0"/>
        <v>0</v>
      </c>
      <c r="I10" s="1041">
        <f>SUM(I8:I9)</f>
        <v>0</v>
      </c>
      <c r="J10" s="1041">
        <f>SUM(J8:J9)</f>
        <v>1313.8235294117646</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0.20561699557962179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1595.3571428571429</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1876.8907563025207</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1595.3571428571429</v>
      </c>
      <c r="C20" s="1041">
        <f>SUM(C17:C19)</f>
        <v>0</v>
      </c>
      <c r="D20" s="1041">
        <f t="shared" ref="D20:H20" si="2">SUM(D17:D19)</f>
        <v>0</v>
      </c>
      <c r="E20" s="1041">
        <f t="shared" si="2"/>
        <v>0</v>
      </c>
      <c r="F20" s="1041">
        <f t="shared" si="2"/>
        <v>0</v>
      </c>
      <c r="G20" s="1041">
        <f t="shared" si="2"/>
        <v>0</v>
      </c>
      <c r="H20" s="1041">
        <f t="shared" si="2"/>
        <v>0</v>
      </c>
      <c r="I20" s="1041">
        <f>SUM(I17:I19)</f>
        <v>0</v>
      </c>
      <c r="J20" s="1041">
        <f>SUM(J17:J19)</f>
        <v>1876.8907563025207</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0.20561699557962179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2019-08-12T07:52:52Z</dcterms:modified>
</cp:coreProperties>
</file>