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<sst xmlns="http://schemas.openxmlformats.org/spreadsheetml/2006/main" count="2513" uniqueCount="960">
  <si>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</si>
  <si>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</si>
  <si>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</si>
  <si>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</si>
  <si>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</si>
  <si>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</si>
  <si>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</si>
  <si>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</si>
  <si>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</si>
  <si>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</si>
  <si>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</si>
  <si>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</si>
  <si>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</si>
  <si>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</si>
  <si>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</si>
  <si>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</si>
  <si>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</si>
  <si>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</si>
  <si>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</si>
  <si>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</si>
  <si>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</si>
  <si>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</si>
  <si>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</si>
  <si>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</si>
  <si>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</si>
  <si>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</si>
  <si>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</si>
  <si>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</si>
  <si>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</si>
  <si>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</si>
  <si>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</si>
  <si>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</si>
  <si>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</si>
  <si>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</si>
  <si>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</si>
  <si>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</si>
  <si>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</si>
  <si>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</si>
  <si>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</si>
  <si>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</si>
  <si>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</si>
  <si>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</si>
  <si>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</si>
  <si>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</si>
  <si>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</si>
  <si>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</si>
  <si>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</si>
  <si>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</si>
  <si>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</si>
  <si>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</si>
  <si>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</si>
  <si>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</si>
  <si>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</si>
  <si>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</si>
  <si>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</si>
  <si>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</si>
  <si>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</si>
  <si>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</si>
  <si>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</si>
  <si>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</si>
  <si>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</si>
  <si>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</si>
  <si>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</si>
  <si>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</si>
  <si>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</si>
  <si>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</si>
  <si>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</si>
  <si>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</si>
  <si>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</si>
  <si>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</si>
  <si>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</si>
  <si>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</si>
  <si>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</si>
  <si>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</si>
  <si>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</si>
  <si>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</si>
  <si>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</si>
  <si>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</si>
  <si>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</si>
  <si>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</si>
  <si>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</si>
  <si>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</si>
  <si>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</si>
  <si>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</si>
  <si>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</si>
  <si>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</si>
  <si>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</si>
  <si>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</si>
  <si>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</si>
  <si>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</si>
  <si>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</si>
  <si>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</si>
  <si>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</si>
  <si>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</si>
  <si>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</si>
  <si>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</si>
  <si>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</si>
  <si>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</si>
  <si>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</si>
  <si>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</si>
  <si>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</si>
  <si>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</si>
  <si>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</si>
  <si>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</si>
  <si>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</si>
  <si>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</si>
  <si>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</si>
  <si>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</si>
  <si>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</si>
  <si>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</si>
  <si>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</si>
  <si>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</si>
  <si>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</si>
  <si>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</si>
  <si>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</si>
  <si>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</si>
  <si>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</si>
  <si>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</si>
  <si>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</si>
  <si>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</si>
  <si>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</si>
  <si>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</si>
  <si>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</si>
  <si>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</si>
  <si>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</si>
  <si>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</si>
  <si>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</si>
  <si>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</si>
  <si>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</si>
  <si>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</si>
  <si>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</si>
  <si>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</si>
  <si>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</si>
  <si>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</si>
  <si>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</si>
  <si>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</si>
  <si>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</si>
  <si>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</si>
  <si>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</si>
  <si>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</si>
  <si>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</si>
  <si>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</si>
  <si>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</si>
  <si>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</si>
  <si>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</si>
  <si>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</si>
  <si>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</si>
  <si>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</si>
  <si>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</si>
  <si>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</si>
  <si>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</si>
  <si>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</si>
  <si>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</si>
  <si>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</si>
  <si>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</si>
  <si>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</si>
  <si>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</si>
  <si>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</si>
  <si>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</si>
  <si>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</si>
  <si>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</si>
  <si>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</si>
  <si>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</si>
  <si>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</si>
  <si>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</si>
  <si>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</si>
  <si>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</si>
  <si>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</si>
  <si>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</si>
  <si>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</si>
  <si>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</si>
  <si>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</si>
  <si>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</si>
  <si>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</si>
  <si>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</si>
  <si>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</si>
  <si>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</si>
  <si>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</si>
  <si>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</si>
  <si>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</si>
  <si>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</si>
  <si>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</si>
  <si>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</si>
  <si>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</si>
  <si>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</si>
  <si>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</si>
  <si>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</si>
  <si>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</si>
  <si>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</si>
  <si>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</si>
  <si>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</si>
  <si>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</si>
  <si>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</si>
  <si>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</si>
  <si>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</si>
  <si>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</si>
  <si>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</si>
  <si>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</si>
  <si>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</si>
  <si>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</si>
  <si>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</si>
  <si>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</si>
  <si>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</si>
  <si>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</si>
  <si>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</si>
  <si>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</si>
  <si>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</si>
  <si>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</si>
  <si>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</si>
  <si>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</si>
  <si>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</si>
  <si>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</si>
  <si>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</si>
  <si>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</si>
  <si>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</si>
  <si>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</si>
  <si>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</si>
  <si>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</si>
  <si>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</si>
  <si>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</si>
  <si>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</si>
  <si>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</si>
  <si>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</si>
  <si>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</si>
  <si>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</si>
  <si>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</si>
  <si>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</si>
  <si>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</si>
  <si>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</si>
  <si>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</si>
  <si>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</si>
  <si>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</si>
  <si>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</si>
  <si>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</si>
  <si>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</si>
  <si>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</si>
  <si>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</si>
  <si>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</si>
  <si>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</si>
  <si>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</si>
  <si>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</si>
  <si>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</si>
  <si>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</si>
  <si>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</si>
  <si>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</si>
  <si>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</si>
  <si>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</si>
  <si>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</si>
  <si>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</si>
  <si>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</si>
  <si>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</si>
  <si>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</si>
  <si>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</si>
  <si>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</si>
  <si>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</si>
  <si>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</si>
  <si>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</si>
  <si>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</si>
  <si>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</si>
  <si>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</si>
  <si>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</si>
  <si>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</si>
  <si>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</si>
  <si>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</si>
  <si>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</si>
  <si>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</si>
  <si>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</si>
  <si>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</si>
  <si>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</si>
  <si>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</si>
  <si>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</si>
  <si>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</si>
  <si>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</si>
  <si>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</si>
  <si>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</si>
  <si>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</si>
  <si>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</si>
  <si>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</si>
  <si>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</si>
  <si>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</si>
  <si>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</si>
  <si>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</si>
  <si>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</si>
  <si>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</si>
  <si>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</si>
  <si>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</si>
  <si>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</si>
  <si>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</si>
  <si>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</si>
  <si>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</si>
  <si>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</si>
  <si>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</si>
  <si>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</si>
  <si>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</si>
  <si>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</si>
  <si>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</si>
  <si>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</si>
  <si>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</si>
  <si>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</si>
  <si>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</si>
  <si>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</si>
  <si>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</si>
  <si>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</si>
  <si>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</si>
  <si>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</si>
  <si>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</si>
  <si>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</si>
  <si>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</si>
  <si>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</si>
  <si>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</si>
  <si>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</si>
  <si>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</si>
  <si>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</si>
  <si>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</si>
  <si>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</si>
  <si>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</si>
  <si>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</si>
  <si>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</si>
  <si>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</si>
  <si>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</si>
  <si>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</si>
  <si>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</si>
  <si>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</si>
  <si>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</si>
  <si>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</si>
  <si>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</si>
  <si>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</si>
  <si>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</si>
  <si>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</si>
  <si>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</si>
  <si>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</si>
  <si>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</si>
  <si>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</si>
  <si>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</si>
  <si>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</si>
  <si>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</si>
  <si>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</si>
  <si>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</si>
  <si>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</si>
  <si>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</si>
  <si>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</si>
  <si>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</si>
  <si>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</si>
  <si>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</si>
  <si>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</si>
  <si>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</si>
  <si>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</si>
  <si>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</si>
  <si>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</si>
  <si>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</si>
  <si>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</si>
  <si>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</si>
  <si>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</si>
  <si>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</si>
  <si>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</si>
  <si>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</si>
  <si>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</si>
  <si>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</si>
  <si>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</si>
  <si>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</si>
  <si>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</si>
  <si>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</si>
  <si>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</si>
  <si>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</si>
  <si>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</si>
  <si>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</si>
  <si>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</si>
  <si>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</si>
  <si>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</si>
  <si>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</si>
  <si>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</si>
  <si>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</si>
  <si>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</si>
  <si>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</si>
  <si>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</si>
  <si>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</si>
  <si>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</si>
  <si>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</si>
  <si>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</si>
  <si>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</si>
  <si>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</si>
  <si>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</si>
  <si>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</si>
  <si>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</si>
  <si>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</si>
  <si>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</si>
  <si>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</si>
  <si>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</si>
  <si>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</si>
  <si>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</si>
  <si>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</si>
  <si>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</si>
  <si>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</si>
  <si>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</si>
  <si>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</si>
  <si>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</si>
  <si>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</si>
  <si>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</si>
  <si>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</si>
  <si>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</si>
  <si>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</si>
  <si>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</si>
  <si>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</si>
  <si>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</si>
  <si>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</si>
  <si>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</si>
  <si>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</si>
  <si>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</si>
  <si>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</si>
  <si>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</si>
  <si>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</si>
  <si>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</si>
  <si>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</si>
  <si>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</si>
  <si>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</si>
  <si>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</si>
  <si>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</si>
  <si>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</si>
  <si>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</si>
  <si>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</si>
  <si>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</si>
  <si>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</si>
  <si>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</si>
  <si>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</si>
  <si>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</si>
  <si>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</si>
  <si>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</si>
  <si>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</si>
  <si>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</si>
  <si>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</si>
  <si>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</si>
  <si>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</si>
  <si>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</si>
  <si>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</si>
  <si>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</si>
  <si>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</si>
  <si>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</si>
  <si>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</si>
  <si>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</si>
  <si>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</si>
  <si>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</si>
  <si>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</si>
  <si>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</si>
  <si>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</si>
  <si>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</si>
  <si>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</si>
  <si>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</si>
  <si>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</si>
  <si>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</si>
  <si>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</si>
  <si>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</si>
  <si>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</si>
  <si>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</si>
  <si>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</si>
  <si>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</si>
  <si>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</si>
  <si>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</si>
  <si>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</si>
  <si>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</si>
  <si>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</si>
  <si>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</si>
  <si>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</si>
  <si>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</si>
  <si>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</si>
  <si>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</si>
  <si>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</si>
  <si>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</si>
  <si>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</si>
  <si>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</si>
  <si>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</si>
  <si>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</si>
  <si>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</si>
  <si>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</si>
  <si>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</si>
  <si>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</si>
  <si>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</si>
  <si>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</si>
  <si>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</si>
  <si>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</si>
  <si>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</si>
  <si>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</si>
  <si>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</si>
  <si>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</si>
  <si>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</si>
  <si>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</si>
  <si>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</si>
  <si>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</si>
  <si>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</si>
  <si>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</si>
  <si>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</si>
  <si>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</si>
  <si>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</si>
  <si>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</si>
  <si>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</si>
  <si>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</si>
  <si>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</si>
  <si>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</si>
  <si>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</si>
  <si>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</si>
  <si>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</si>
  <si>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</si>
  <si>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</si>
  <si>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</si>
  <si>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</si>
  <si>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</si>
  <si>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</si>
  <si>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</si>
  <si>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</si>
  <si>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</si>
  <si>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</si>
  <si>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</si>
  <si>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</si>
  <si>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</si>
  <si>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</si>
  <si>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</si>
  <si>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</si>
  <si>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</si>
  <si>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</si>
  <si>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</si>
  <si>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</si>
  <si>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</si>
  <si>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</si>
  <si>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</si>
  <si>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</si>
  <si>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</si>
  <si>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</si>
  <si>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</si>
  <si>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</si>
  <si>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</si>
  <si>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</si>
  <si>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</si>
  <si>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</si>
  <si>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</si>
  <si>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</si>
  <si>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</si>
  <si>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</si>
  <si>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</si>
  <si>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</si>
  <si>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</si>
  <si>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</si>
  <si>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</si>
  <si>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</si>
  <si>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</si>
  <si>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</si>
  <si>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</si>
  <si>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</si>
  <si>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</si>
  <si>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</si>
  <si>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</si>
  <si>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</si>
  <si>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</si>
  <si>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</si>
  <si>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</si>
  <si>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</si>
  <si>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</si>
  <si>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</si>
  <si>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</si>
  <si>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</si>
  <si>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</si>
  <si>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</si>
  <si>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</si>
  <si>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</si>
  <si>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</si>
  <si>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</si>
  <si>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</si>
  <si>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</si>
  <si>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</si>
  <si>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</si>
  <si>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</si>
  <si>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</si>
  <si>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</si>
  <si>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</si>
  <si>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</si>
  <si>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</si>
  <si>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</si>
  <si>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</si>
  <si>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</si>
  <si>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</si>
  <si>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</si>
  <si>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</si>
  <si>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</si>
  <si>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</si>
  <si>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</si>
  <si>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</si>
  <si>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</si>
  <si>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</si>
  <si>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</si>
  <si>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</si>
  <si>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</si>
  <si>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</si>
  <si>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</si>
  <si>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</si>
  <si>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</si>
  <si>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</si>
  <si>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</si>
  <si>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</si>
  <si>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</si>
  <si>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</si>
  <si>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</si>
  <si>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</si>
  <si>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</si>
  <si>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</si>
  <si>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</si>
  <si>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</si>
  <si>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</si>
  <si>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</si>
  <si>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</si>
  <si>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</si>
  <si>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</si>
  <si>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</si>
  <si>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</si>
  <si>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</si>
  <si>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</si>
  <si>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</si>
  <si>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</si>
  <si>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</si>
  <si>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</si>
  <si>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</si>
  <si>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</si>
  <si>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</si>
  <si>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</si>
  <si>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</si>
  <si>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</si>
  <si>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</si>
  <si>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</si>
  <si>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</si>
  <si>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</si>
  <si>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</si>
  <si>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</si>
  <si>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</si>
  <si>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</si>
  <si>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</si>
  <si>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</si>
  <si>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</si>
  <si>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</si>
  <si>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</si>
  <si>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</si>
  <si>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</si>
  <si>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</si>
  <si>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</si>
  <si>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</si>
  <si>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</si>
  <si>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</si>
  <si>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</si>
  <si>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</si>
  <si>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</si>
  <si>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</si>
  <si>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</si>
  <si>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</si>
  <si>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</si>
  <si>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</si>
  <si>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</si>
  <si>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</si>
  <si>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</si>
  <si>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</si>
  <si>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</si>
  <si>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</si>
  <si>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</si>
  <si>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</si>
  <si>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</si>
  <si>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</si>
  <si>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</si>
  <si>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</si>
  <si>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</si>
  <si>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</si>
  <si>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</si>
  <si>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</si>
  <si>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</si>
  <si>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</si>
  <si>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</si>
  <si>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</si>
  <si>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</si>
  <si>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</si>
  <si>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</si>
  <si>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</si>
  <si>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</si>
  <si>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</si>
  <si>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</si>
  <si>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</si>
  <si>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</si>
  <si>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</si>
  <si>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</si>
  <si>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</si>
  <si>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</si>
  <si>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</si>
  <si>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</si>
  <si>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</si>
  <si>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</si>
  <si>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</si>
  <si>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</si>
  <si>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</si>
  <si>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</si>
  <si>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</si>
  <si>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</si>
  <si>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</si>
  <si>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</si>
  <si>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</si>
  <si>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</si>
  <si>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</si>
  <si>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</si>
  <si>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</si>
  <si>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</si>
  <si>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</si>
  <si>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</si>
  <si>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</si>
  <si>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</si>
  <si>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</si>
  <si>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</si>
  <si>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</si>
  <si>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</si>
  <si>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</si>
  <si>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</si>
  <si>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</si>
  <si>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</si>
  <si>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</si>
  <si>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</si>
  <si>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</si>
  <si>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</si>
  <si>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</si>
  <si>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</si>
  <si>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</si>
  <si>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</si>
  <si>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</si>
  <si>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</si>
  <si>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</si>
  <si>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</si>
  <si>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</si>
  <si>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</si>
  <si>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</si>
  <si>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</si>
  <si>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</si>
  <si>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</si>
  <si>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</si>
  <si>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</si>
  <si>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</si>
  <si>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</si>
  <si>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</si>
  <si>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</si>
  <si>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</si>
  <si>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</si>
  <si>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</si>
  <si>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</si>
  <si>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</si>
  <si>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</si>
  <si>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</si>
  <si>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</si>
  <si>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</si>
  <si>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</si>
  <si>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</si>
  <si>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</si>
  <si>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</si>
  <si>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</si>
  <si>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</si>
  <si>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</si>
  <si>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</si>
  <si>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</si>
  <si>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</si>
  <si>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</si>
  <si>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</si>
  <si>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</si>
  <si>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</si>
  <si>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</si>
  <si>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</si>
  <si>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</si>
  <si>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</si>
  <si>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</si>
  <si>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</si>
  <si>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</si>
  <si>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</si>
  <si>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</si>
  <si>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</si>
  <si>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</si>
  <si>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</si>
  <si>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</si>
  <si>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</si>
  <si>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</si>
  <si>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</si>
  <si>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</si>
  <si>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</si>
  <si>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</si>
  <si>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</si>
  <si>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</si>
  <si>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</si>
  <si>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</si>
  <si>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</si>
  <si>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</si>
  <si>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</si>
  <si>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</si>
  <si>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</si>
  <si>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</si>
  <si>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</si>
  <si>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</si>
  <si>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</si>
  <si>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</si>
  <si>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</si>
  <si>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</si>
  <si>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</si>
  <si>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</si>
  <si>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</si>
  <si>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</si>
  <si>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</si>
  <si>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</si>
  <si>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</si>
  <si>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</si>
  <si>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</si>
  <si>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</si>
  <si>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</si>
  <si>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</si>
  <si>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</si>
  <si>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</si>
  <si>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</si>
  <si>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</si>
  <si>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</si>
  <si>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</si>
  <si>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</si>
  <si>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</si>
  <si>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</si>
  <si>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</si>
  <si>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</si>
  <si>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</si>
  <si>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</si>
  <si>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</si>
  <si>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</si>
  <si>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</si>
  <si>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</si>
  <si>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</si>
  <si>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</si>
  <si>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</si>
  <si>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</si>
  <si>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</si>
  <si>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</si>
  <si>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</si>
  <si>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</si>
  <si>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</si>
  <si>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</si>
  <si>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</si>
  <si>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</si>
  <si>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</si>
  <si>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</si>
  <si>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</si>
  <si>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</si>
  <si>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</si>
  <si>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</si>
  <si>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</si>
  <si>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</si>
  <si>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</si>
  <si>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</si>
  <si>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</si>
  <si>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</si>
  <si>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</si>
  <si>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</si>
  <si>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</si>
  <si>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</si>
  <si>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</si>
  <si>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</si>
  <si>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</si>
  <si>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</si>
  <si>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</si>
  <si>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</si>
  <si>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</si>
  <si>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</si>
  <si>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</si>
  <si>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</si>
  <si>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</si>
  <si>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</si>
  <si>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</si>
  <si>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</si>
  <si>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</si>
  <si>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</si>
  <si>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</si>
  <si>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</si>
  <si>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</si>
  <si>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</si>
  <si>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</si>
  <si>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</si>
  <si>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</si>
  <si>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</si>
  <si>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</si>
  <si>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</si>
  <si>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</si>
  <si>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</si>
  <si>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</si>
  <si>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</si>
  <si>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</si>
  <si>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</si>
  <si>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</si>
  <si>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</si>
  <si>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</si>
  <si>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</si>
  <si>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</si>
  <si>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</si>
  <si>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</si>
  <si>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</si>
  <si>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</si>
  <si>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</si>
  <si>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</si>
  <si>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</si>
  <si>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</si>
  <si>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</si>
  <si>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</si>
  <si>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</si>
  <si>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</si>
  <si>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</si>
  <si>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</si>
  <si>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</si>
  <si>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</si>
  <si>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</si>
  <si>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</si>
  <si>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</si>
  <si>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</si>
  <si>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</si>
  <si>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</si>
  <si>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</si>
  <si>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</si>
  <si>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</si>
  <si>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</si>
  <si>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</si>
  <si>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</si>
  <si>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</si>
  <si>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</si>
  <si>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</si>
  <si>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</si>
  <si>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</si>
  <si>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</si>
  <si>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</si>
  <si>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</si>
  <si>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</si>
  <si>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</si>
  <si>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</si>
  <si>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</si>
  <si>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</si>
  <si>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</si>
  <si>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</si>
  <si>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</si>
  <si>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</si>
  <si>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</si>
  <si>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</si>
  <si>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</si>
  <si>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</si>
  <si>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</si>
  <si>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</si>
  <si>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</si>
  <si>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13004</t>
  </si>
  <si>
    <t>BEERSE</t>
  </si>
  <si>
    <t>Paarden&amp;pony's 200 - 600 kg</t>
  </si>
  <si>
    <t>Paarden&amp;pony's &lt; 200 kg</t>
  </si>
  <si>
    <t>op basis van VEA (maart 2018) en Inventaris Hernieuwbare Energiebronnen (juni 2018)</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</si>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</sst>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13004</v>
      </c>
      <c r="B6" s="397"/>
      <c r="C6" s="398"/>
    </row>
    <row r="7" spans="1:7" s="395" customFormat="1" ht="15.75" customHeight="1">
      <c r="A7" s="399" t="str">
        <f>txtMunicipality</f>
        <v>BEERSE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0.21678921287909039</v>
      </c>
      <c r="C17" s="510">
        <f ca="1">'EF ele_warmte'!B22</f>
        <v>0.23605292097245073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0.21678921287909039</v>
      </c>
      <c r="C29" s="511">
        <f ca="1">'EF ele_warmte'!B22</f>
        <v>0.23605292097245073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6659</v>
      </c>
      <c r="C9" s="338">
        <v>7178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1467</v>
      </c>
    </row>
    <row r="15" spans="1:6">
      <c r="A15" s="1286" t="s">
        <v>184</v>
      </c>
      <c r="B15" s="335">
        <v>2952</v>
      </c>
    </row>
    <row r="16" spans="1:6">
      <c r="A16" s="1286" t="s">
        <v>6</v>
      </c>
      <c r="B16" s="335">
        <v>591</v>
      </c>
    </row>
    <row r="17" spans="1:6">
      <c r="A17" s="1286" t="s">
        <v>7</v>
      </c>
      <c r="B17" s="335">
        <v>450</v>
      </c>
    </row>
    <row r="18" spans="1:6">
      <c r="A18" s="1286" t="s">
        <v>8</v>
      </c>
      <c r="B18" s="335">
        <v>552</v>
      </c>
    </row>
    <row r="19" spans="1:6">
      <c r="A19" s="1286" t="s">
        <v>9</v>
      </c>
      <c r="B19" s="335">
        <v>381</v>
      </c>
    </row>
    <row r="20" spans="1:6">
      <c r="A20" s="1286" t="s">
        <v>10</v>
      </c>
      <c r="B20" s="335">
        <v>423</v>
      </c>
    </row>
    <row r="21" spans="1:6">
      <c r="A21" s="1286" t="s">
        <v>11</v>
      </c>
      <c r="B21" s="335">
        <v>149</v>
      </c>
    </row>
    <row r="22" spans="1:6">
      <c r="A22" s="1286" t="s">
        <v>12</v>
      </c>
      <c r="B22" s="335">
        <v>2136</v>
      </c>
    </row>
    <row r="23" spans="1:6">
      <c r="A23" s="1286" t="s">
        <v>13</v>
      </c>
      <c r="B23" s="335">
        <v>4</v>
      </c>
    </row>
    <row r="24" spans="1:6">
      <c r="A24" s="1286" t="s">
        <v>14</v>
      </c>
      <c r="B24" s="335">
        <v>1</v>
      </c>
    </row>
    <row r="25" spans="1:6">
      <c r="A25" s="1286" t="s">
        <v>15</v>
      </c>
      <c r="B25" s="335">
        <v>20</v>
      </c>
    </row>
    <row r="26" spans="1:6">
      <c r="A26" s="1286" t="s">
        <v>16</v>
      </c>
      <c r="B26" s="335">
        <v>0</v>
      </c>
    </row>
    <row r="27" spans="1:6">
      <c r="A27" s="1286" t="s">
        <v>17</v>
      </c>
      <c r="B27" s="335">
        <v>16</v>
      </c>
    </row>
    <row r="28" spans="1:6" s="341" customFormat="1">
      <c r="A28" s="1287" t="s">
        <v>18</v>
      </c>
      <c r="B28" s="1287">
        <v>214502</v>
      </c>
    </row>
    <row r="29" spans="1:6">
      <c r="A29" s="1287" t="s">
        <v>944</v>
      </c>
      <c r="B29" s="1287">
        <v>103</v>
      </c>
      <c r="C29" s="341"/>
      <c r="D29" s="341"/>
      <c r="E29" s="341"/>
      <c r="F29" s="341"/>
    </row>
    <row r="30" spans="1:6">
      <c r="A30" s="1282" t="s">
        <v>945</v>
      </c>
      <c r="B30" s="1282">
        <v>47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28596.196417258601</v>
      </c>
    </row>
    <row r="37" spans="1:6">
      <c r="A37" s="1286" t="s">
        <v>25</v>
      </c>
      <c r="B37" s="1286" t="s">
        <v>28</v>
      </c>
      <c r="C37" s="335">
        <v>0</v>
      </c>
      <c r="D37" s="335">
        <v>0</v>
      </c>
      <c r="E37" s="335">
        <v>0</v>
      </c>
      <c r="F37" s="335">
        <v>0</v>
      </c>
    </row>
    <row r="38" spans="1:6">
      <c r="A38" s="1286" t="s">
        <v>25</v>
      </c>
      <c r="B38" s="1286" t="s">
        <v>29</v>
      </c>
      <c r="C38" s="335">
        <v>0</v>
      </c>
      <c r="D38" s="335">
        <v>0</v>
      </c>
      <c r="E38" s="335">
        <v>2</v>
      </c>
      <c r="F38" s="335">
        <v>20854.243303075302</v>
      </c>
    </row>
    <row r="39" spans="1:6">
      <c r="A39" s="1286" t="s">
        <v>30</v>
      </c>
      <c r="B39" s="1286" t="s">
        <v>31</v>
      </c>
      <c r="C39" s="335">
        <v>4901</v>
      </c>
      <c r="D39" s="335">
        <v>98210521.540013999</v>
      </c>
      <c r="E39" s="335">
        <v>6632</v>
      </c>
      <c r="F39" s="335">
        <v>29184888.330862802</v>
      </c>
    </row>
    <row r="40" spans="1:6">
      <c r="A40" s="1286" t="s">
        <v>30</v>
      </c>
      <c r="B40" s="1286" t="s">
        <v>29</v>
      </c>
      <c r="C40" s="335">
        <v>0</v>
      </c>
      <c r="D40" s="335">
        <v>0</v>
      </c>
      <c r="E40" s="335">
        <v>0</v>
      </c>
      <c r="F40" s="335">
        <v>0</v>
      </c>
    </row>
    <row r="41" spans="1:6">
      <c r="A41" s="1286" t="s">
        <v>32</v>
      </c>
      <c r="B41" s="1286" t="s">
        <v>33</v>
      </c>
      <c r="C41" s="335">
        <v>86</v>
      </c>
      <c r="D41" s="335">
        <v>1400585.30099626</v>
      </c>
      <c r="E41" s="335">
        <v>178</v>
      </c>
      <c r="F41" s="335">
        <v>1683045.23521474</v>
      </c>
    </row>
    <row r="42" spans="1:6">
      <c r="A42" s="1286" t="s">
        <v>32</v>
      </c>
      <c r="B42" s="1286" t="s">
        <v>34</v>
      </c>
      <c r="C42" s="335">
        <v>5</v>
      </c>
      <c r="D42" s="335">
        <v>147401145.762503</v>
      </c>
      <c r="E42" s="335">
        <v>5</v>
      </c>
      <c r="F42" s="335">
        <v>94122428.073033005</v>
      </c>
    </row>
    <row r="43" spans="1:6">
      <c r="A43" s="1286" t="s">
        <v>32</v>
      </c>
      <c r="B43" s="1286" t="s">
        <v>35</v>
      </c>
      <c r="C43" s="335">
        <v>0</v>
      </c>
      <c r="D43" s="335">
        <v>0</v>
      </c>
      <c r="E43" s="335">
        <v>0</v>
      </c>
      <c r="F43" s="335">
        <v>0</v>
      </c>
    </row>
    <row r="44" spans="1:6">
      <c r="A44" s="1286" t="s">
        <v>32</v>
      </c>
      <c r="B44" s="1286" t="s">
        <v>36</v>
      </c>
      <c r="C44" s="335">
        <v>0</v>
      </c>
      <c r="D44" s="335">
        <v>0</v>
      </c>
      <c r="E44" s="335">
        <v>14</v>
      </c>
      <c r="F44" s="335">
        <v>630076.45685657498</v>
      </c>
    </row>
    <row r="45" spans="1:6">
      <c r="A45" s="1286" t="s">
        <v>32</v>
      </c>
      <c r="B45" s="1286" t="s">
        <v>37</v>
      </c>
      <c r="C45" s="335">
        <v>6</v>
      </c>
      <c r="D45" s="335">
        <v>231732377.33050901</v>
      </c>
      <c r="E45" s="335">
        <v>11</v>
      </c>
      <c r="F45" s="335">
        <v>19586622.038029</v>
      </c>
    </row>
    <row r="46" spans="1:6">
      <c r="A46" s="1286" t="s">
        <v>32</v>
      </c>
      <c r="B46" s="1286" t="s">
        <v>38</v>
      </c>
      <c r="C46" s="335">
        <v>0</v>
      </c>
      <c r="D46" s="335">
        <v>0</v>
      </c>
      <c r="E46" s="335">
        <v>5</v>
      </c>
      <c r="F46" s="335">
        <v>95964189.814669907</v>
      </c>
    </row>
    <row r="47" spans="1:6">
      <c r="A47" s="1286" t="s">
        <v>32</v>
      </c>
      <c r="B47" s="1286" t="s">
        <v>39</v>
      </c>
      <c r="C47" s="335">
        <v>0</v>
      </c>
      <c r="D47" s="335">
        <v>0</v>
      </c>
      <c r="E47" s="335">
        <v>0</v>
      </c>
      <c r="F47" s="335">
        <v>0</v>
      </c>
    </row>
    <row r="48" spans="1:6">
      <c r="A48" s="1286" t="s">
        <v>32</v>
      </c>
      <c r="B48" s="1286" t="s">
        <v>29</v>
      </c>
      <c r="C48" s="335">
        <v>33</v>
      </c>
      <c r="D48" s="335">
        <v>42346464.197838098</v>
      </c>
      <c r="E48" s="335">
        <v>46</v>
      </c>
      <c r="F48" s="335">
        <v>27360362.201878499</v>
      </c>
    </row>
    <row r="49" spans="1:6">
      <c r="A49" s="1286" t="s">
        <v>32</v>
      </c>
      <c r="B49" s="1286" t="s">
        <v>40</v>
      </c>
      <c r="C49" s="335">
        <v>3</v>
      </c>
      <c r="D49" s="335">
        <v>97320.835610406997</v>
      </c>
      <c r="E49" s="335">
        <v>0</v>
      </c>
      <c r="F49" s="335">
        <v>0</v>
      </c>
    </row>
    <row r="50" spans="1:6">
      <c r="A50" s="1286" t="s">
        <v>32</v>
      </c>
      <c r="B50" s="1286" t="s">
        <v>41</v>
      </c>
      <c r="C50" s="335">
        <v>6</v>
      </c>
      <c r="D50" s="335">
        <v>405737.16348525701</v>
      </c>
      <c r="E50" s="335">
        <v>15</v>
      </c>
      <c r="F50" s="335">
        <v>7918403.3639421798</v>
      </c>
    </row>
    <row r="51" spans="1:6">
      <c r="A51" s="1286" t="s">
        <v>42</v>
      </c>
      <c r="B51" s="1286" t="s">
        <v>43</v>
      </c>
      <c r="C51" s="335">
        <v>4</v>
      </c>
      <c r="D51" s="335">
        <v>98219.243134155506</v>
      </c>
      <c r="E51" s="335">
        <v>53</v>
      </c>
      <c r="F51" s="335">
        <v>1181505.7621116899</v>
      </c>
    </row>
    <row r="52" spans="1:6">
      <c r="A52" s="1286" t="s">
        <v>42</v>
      </c>
      <c r="B52" s="1286" t="s">
        <v>29</v>
      </c>
      <c r="C52" s="335">
        <v>6</v>
      </c>
      <c r="D52" s="335">
        <v>59577074.269988</v>
      </c>
      <c r="E52" s="335">
        <v>5</v>
      </c>
      <c r="F52" s="335">
        <v>330025.62557978701</v>
      </c>
    </row>
    <row r="53" spans="1:6">
      <c r="A53" s="1286" t="s">
        <v>44</v>
      </c>
      <c r="B53" s="1286" t="s">
        <v>45</v>
      </c>
      <c r="C53" s="335">
        <v>78</v>
      </c>
      <c r="D53" s="335">
        <v>2992451.5304391002</v>
      </c>
      <c r="E53" s="335">
        <v>158</v>
      </c>
      <c r="F53" s="335">
        <v>1328032.82622702</v>
      </c>
    </row>
    <row r="54" spans="1:6">
      <c r="A54" s="1286" t="s">
        <v>46</v>
      </c>
      <c r="B54" s="1286" t="s">
        <v>47</v>
      </c>
      <c r="C54" s="335">
        <v>0</v>
      </c>
      <c r="D54" s="335">
        <v>0</v>
      </c>
      <c r="E54" s="335">
        <v>1</v>
      </c>
      <c r="F54" s="335">
        <v>909240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23</v>
      </c>
      <c r="D57" s="335">
        <v>667319.22587697895</v>
      </c>
      <c r="E57" s="335">
        <v>38</v>
      </c>
      <c r="F57" s="335">
        <v>956244.31442537101</v>
      </c>
    </row>
    <row r="58" spans="1:6">
      <c r="A58" s="1286" t="s">
        <v>49</v>
      </c>
      <c r="B58" s="1286" t="s">
        <v>51</v>
      </c>
      <c r="C58" s="335">
        <v>6</v>
      </c>
      <c r="D58" s="335">
        <v>1573621.7883424901</v>
      </c>
      <c r="E58" s="335">
        <v>10</v>
      </c>
      <c r="F58" s="335">
        <v>223694.24555907701</v>
      </c>
    </row>
    <row r="59" spans="1:6">
      <c r="A59" s="1286" t="s">
        <v>49</v>
      </c>
      <c r="B59" s="1286" t="s">
        <v>52</v>
      </c>
      <c r="C59" s="335">
        <v>76</v>
      </c>
      <c r="D59" s="335">
        <v>3434983.99835876</v>
      </c>
      <c r="E59" s="335">
        <v>130</v>
      </c>
      <c r="F59" s="335">
        <v>3801074.8723393301</v>
      </c>
    </row>
    <row r="60" spans="1:6">
      <c r="A60" s="1286" t="s">
        <v>49</v>
      </c>
      <c r="B60" s="1286" t="s">
        <v>53</v>
      </c>
      <c r="C60" s="335">
        <v>74</v>
      </c>
      <c r="D60" s="335">
        <v>7650573.4202409498</v>
      </c>
      <c r="E60" s="335">
        <v>137</v>
      </c>
      <c r="F60" s="335">
        <v>1998487.27170363</v>
      </c>
    </row>
    <row r="61" spans="1:6">
      <c r="A61" s="1286" t="s">
        <v>49</v>
      </c>
      <c r="B61" s="1286" t="s">
        <v>54</v>
      </c>
      <c r="C61" s="335">
        <v>98</v>
      </c>
      <c r="D61" s="335">
        <v>4026326.8747777501</v>
      </c>
      <c r="E61" s="335">
        <v>244</v>
      </c>
      <c r="F61" s="335">
        <v>3365336.1909577702</v>
      </c>
    </row>
    <row r="62" spans="1:6">
      <c r="A62" s="1286" t="s">
        <v>49</v>
      </c>
      <c r="B62" s="1286" t="s">
        <v>55</v>
      </c>
      <c r="C62" s="335">
        <v>0</v>
      </c>
      <c r="D62" s="335">
        <v>0</v>
      </c>
      <c r="E62" s="335">
        <v>3</v>
      </c>
      <c r="F62" s="335">
        <v>274167.11686145299</v>
      </c>
    </row>
    <row r="63" spans="1:6">
      <c r="A63" s="1286" t="s">
        <v>49</v>
      </c>
      <c r="B63" s="1286" t="s">
        <v>29</v>
      </c>
      <c r="C63" s="335">
        <v>78</v>
      </c>
      <c r="D63" s="335">
        <v>4031777.0875876402</v>
      </c>
      <c r="E63" s="335">
        <v>109</v>
      </c>
      <c r="F63" s="335">
        <v>4012925.2916909098</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105471.205590414</v>
      </c>
      <c r="E68" s="335">
        <v>9</v>
      </c>
      <c r="F68" s="335">
        <v>47945.2151043333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57511436</v>
      </c>
      <c r="E73" s="335">
        <v>59147916.398571007</v>
      </c>
    </row>
    <row r="74" spans="1:6">
      <c r="A74" s="1286" t="s">
        <v>64</v>
      </c>
      <c r="B74" s="1286" t="s">
        <v>772</v>
      </c>
      <c r="C74" s="1297" t="s">
        <v>766</v>
      </c>
      <c r="D74" s="335">
        <v>4686254.2302872492</v>
      </c>
      <c r="E74" s="335">
        <v>4967340.6231166851</v>
      </c>
    </row>
    <row r="75" spans="1:6">
      <c r="A75" s="1286" t="s">
        <v>65</v>
      </c>
      <c r="B75" s="1286" t="s">
        <v>771</v>
      </c>
      <c r="C75" s="1297" t="s">
        <v>767</v>
      </c>
      <c r="D75" s="335">
        <v>9375248</v>
      </c>
      <c r="E75" s="335">
        <v>9586454.2257981431</v>
      </c>
    </row>
    <row r="76" spans="1:6">
      <c r="A76" s="1286" t="s">
        <v>65</v>
      </c>
      <c r="B76" s="1286" t="s">
        <v>772</v>
      </c>
      <c r="C76" s="1297" t="s">
        <v>768</v>
      </c>
      <c r="D76" s="335">
        <v>108528.23028724955</v>
      </c>
      <c r="E76" s="335">
        <v>138674.61174463044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771407.5394255009</v>
      </c>
      <c r="C83" s="335">
        <v>726157.90266095451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3594.0186398952733</v>
      </c>
    </row>
    <row r="92" spans="1:6">
      <c r="A92" s="1282" t="s">
        <v>69</v>
      </c>
      <c r="B92" s="338">
        <v>3421.6552887106104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3245</v>
      </c>
    </row>
    <row r="98" spans="1:6">
      <c r="A98" s="1286" t="s">
        <v>72</v>
      </c>
      <c r="B98" s="335">
        <v>5</v>
      </c>
    </row>
    <row r="99" spans="1:6">
      <c r="A99" s="1286" t="s">
        <v>73</v>
      </c>
      <c r="B99" s="335">
        <v>40</v>
      </c>
    </row>
    <row r="100" spans="1:6">
      <c r="A100" s="1286" t="s">
        <v>74</v>
      </c>
      <c r="B100" s="335">
        <v>397</v>
      </c>
    </row>
    <row r="101" spans="1:6">
      <c r="A101" s="1286" t="s">
        <v>75</v>
      </c>
      <c r="B101" s="335">
        <v>152</v>
      </c>
    </row>
    <row r="102" spans="1:6">
      <c r="A102" s="1286" t="s">
        <v>76</v>
      </c>
      <c r="B102" s="335">
        <v>60</v>
      </c>
    </row>
    <row r="103" spans="1:6">
      <c r="A103" s="1286" t="s">
        <v>77</v>
      </c>
      <c r="B103" s="335">
        <v>156</v>
      </c>
    </row>
    <row r="104" spans="1:6">
      <c r="A104" s="1286" t="s">
        <v>78</v>
      </c>
      <c r="B104" s="335">
        <v>1690</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14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98</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298426.17496958695</v>
      </c>
      <c r="C3" s="44" t="s">
        <v>170</v>
      </c>
      <c r="D3" s="44"/>
      <c r="E3" s="157"/>
      <c r="F3" s="44"/>
      <c r="G3" s="44"/>
      <c r="H3" s="44"/>
      <c r="I3" s="44"/>
      <c r="J3" s="44"/>
      <c r="K3" s="97"/>
    </row>
    <row r="4" spans="1:11">
      <c r="A4" s="365" t="s">
        <v>171</v>
      </c>
      <c r="B4" s="50">
        <f>IF(ISERROR('SEAP template'!B78+'SEAP template'!C78),0,'SEAP template'!B78+'SEAP template'!C78)</f>
        <v>26537.123928605884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4608.0952941176474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0.21678921287909039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6582.9932773109258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27887.785714285714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0.23605292097245073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909.24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909.24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0.21678921287909039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197.11342391818414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29184.888330862803</v>
      </c>
      <c r="C5" s="18">
        <f>IF(ISERROR('Eigen informatie GS &amp; warmtenet'!B57),0,'Eigen informatie GS &amp; warmtenet'!B57)</f>
        <v>0</v>
      </c>
      <c r="D5" s="31">
        <f>(SUM(HH_hh_gas_kWh,HH_rest_gas_kWh)/1000)*0.902</f>
        <v>88585.890429092629</v>
      </c>
      <c r="E5" s="18">
        <f>B46*B57</f>
        <v>2306.7540381214285</v>
      </c>
      <c r="F5" s="18">
        <f>B51*B62</f>
        <v>3940.0809042115598</v>
      </c>
      <c r="G5" s="19"/>
      <c r="H5" s="18"/>
      <c r="I5" s="18"/>
      <c r="J5" s="18">
        <f>B50*B61+C50*C61</f>
        <v>0</v>
      </c>
      <c r="K5" s="18"/>
      <c r="L5" s="18"/>
      <c r="M5" s="18"/>
      <c r="N5" s="18">
        <f>B48*B59+C48*C59</f>
        <v>28466.870170581289</v>
      </c>
      <c r="O5" s="18">
        <f>B69*B70*B71</f>
        <v>175.09333333333336</v>
      </c>
      <c r="P5" s="18">
        <f>B77*B78*B79/1000-B77*B78*B79/1000/B80</f>
        <v>324.13333333333333</v>
      </c>
    </row>
    <row r="6" spans="1:16">
      <c r="A6" s="17" t="s">
        <v>639</v>
      </c>
      <c r="B6" s="780">
        <f>kWh_PV_kleiner_dan_10kW</f>
        <v>3594.0186398952733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32778.906970758078</v>
      </c>
      <c r="C8" s="22">
        <f>C5</f>
        <v>0</v>
      </c>
      <c r="D8" s="22">
        <f>D5</f>
        <v>88585.890429092629</v>
      </c>
      <c r="E8" s="22">
        <f>E5</f>
        <v>2306.7540381214285</v>
      </c>
      <c r="F8" s="22">
        <f>F5</f>
        <v>3940.0809042115598</v>
      </c>
      <c r="G8" s="22"/>
      <c r="H8" s="22"/>
      <c r="I8" s="22"/>
      <c r="J8" s="22">
        <f>J5</f>
        <v>0</v>
      </c>
      <c r="K8" s="22"/>
      <c r="L8" s="22">
        <f>L5</f>
        <v>0</v>
      </c>
      <c r="M8" s="22">
        <f>M5</f>
        <v>0</v>
      </c>
      <c r="N8" s="22">
        <f>N5</f>
        <v>28466.870170581289</v>
      </c>
      <c r="O8" s="22">
        <f>O5</f>
        <v>175.09333333333336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0.21678921287909039</v>
      </c>
      <c r="C10" s="26">
        <f ca="1">'EF ele_warmte'!B22</f>
        <v>0.23605292097245073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7106.1134412275733</v>
      </c>
      <c r="C12" s="24">
        <f ca="1">C10*C8</f>
        <v>0</v>
      </c>
      <c r="D12" s="24">
        <f>D8*D10</f>
        <v>17894.349866676712</v>
      </c>
      <c r="E12" s="24">
        <f>E10*E8</f>
        <v>523.63316665356433</v>
      </c>
      <c r="F12" s="24">
        <f>F10*F8</f>
        <v>1052.0016014244866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3245</v>
      </c>
      <c r="C18" s="169" t="s">
        <v>111</v>
      </c>
      <c r="D18" s="231"/>
      <c r="E18" s="16"/>
    </row>
    <row r="19" spans="1:7">
      <c r="A19" s="174" t="s">
        <v>72</v>
      </c>
      <c r="B19" s="38">
        <f>aantalw2001_ander</f>
        <v>5</v>
      </c>
      <c r="C19" s="169" t="s">
        <v>111</v>
      </c>
      <c r="D19" s="232"/>
      <c r="E19" s="16"/>
    </row>
    <row r="20" spans="1:7">
      <c r="A20" s="174" t="s">
        <v>73</v>
      </c>
      <c r="B20" s="38">
        <f>aantalw2001_propaan</f>
        <v>40</v>
      </c>
      <c r="C20" s="170">
        <f>IF(ISERROR(B20/SUM($B$20,$B$21,$B$22)*100),0,B20/SUM($B$20,$B$21,$B$22)*100)</f>
        <v>6.7911714770797964</v>
      </c>
      <c r="D20" s="232"/>
      <c r="E20" s="16"/>
    </row>
    <row r="21" spans="1:7">
      <c r="A21" s="174" t="s">
        <v>74</v>
      </c>
      <c r="B21" s="38">
        <f>aantalw2001_elektriciteit</f>
        <v>397</v>
      </c>
      <c r="C21" s="170">
        <f>IF(ISERROR(B21/SUM($B$20,$B$21,$B$22)*100),0,B21/SUM($B$20,$B$21,$B$22)*100)</f>
        <v>67.402376910016983</v>
      </c>
      <c r="D21" s="232"/>
      <c r="E21" s="16"/>
    </row>
    <row r="22" spans="1:7">
      <c r="A22" s="174" t="s">
        <v>75</v>
      </c>
      <c r="B22" s="38">
        <f>aantalw2001_hout</f>
        <v>152</v>
      </c>
      <c r="C22" s="170">
        <f>IF(ISERROR(B22/SUM($B$20,$B$21,$B$22)*100),0,B22/SUM($B$20,$B$21,$B$22)*100)</f>
        <v>25.806451612903224</v>
      </c>
      <c r="D22" s="232"/>
      <c r="E22" s="16"/>
    </row>
    <row r="23" spans="1:7">
      <c r="A23" s="174" t="s">
        <v>76</v>
      </c>
      <c r="B23" s="38">
        <f>aantalw2001_niet_gespec</f>
        <v>60</v>
      </c>
      <c r="C23" s="169" t="s">
        <v>111</v>
      </c>
      <c r="D23" s="231"/>
      <c r="E23" s="16"/>
    </row>
    <row r="24" spans="1:7">
      <c r="A24" s="174" t="s">
        <v>77</v>
      </c>
      <c r="B24" s="38">
        <f>aantalw2001_steenkool</f>
        <v>156</v>
      </c>
      <c r="C24" s="169" t="s">
        <v>111</v>
      </c>
      <c r="D24" s="232"/>
      <c r="E24" s="16"/>
    </row>
    <row r="25" spans="1:7">
      <c r="A25" s="174" t="s">
        <v>78</v>
      </c>
      <c r="B25" s="38">
        <f>aantalw2001_stookolie</f>
        <v>1690</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6659</v>
      </c>
      <c r="C28" s="37"/>
      <c r="D28" s="231"/>
    </row>
    <row r="29" spans="1:7" s="16" customFormat="1">
      <c r="A29" s="233" t="s">
        <v>666</v>
      </c>
      <c r="B29" s="38">
        <f>SUM(HH_hh_gas_aantal,HH_rest_gas_aantal)</f>
        <v>4901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4901</v>
      </c>
      <c r="C32" s="170">
        <f>IF(ISERROR(B32/SUM($B$32,$B$34,$B$35,$B$36,$B$38,$B$39)*100),0,B32/SUM($B$32,$B$34,$B$35,$B$36,$B$38,$B$39)*100)</f>
        <v>73.788015657934352</v>
      </c>
      <c r="D32" s="236"/>
      <c r="G32" s="16"/>
    </row>
    <row r="33" spans="1:7">
      <c r="A33" s="174" t="s">
        <v>72</v>
      </c>
      <c r="B33" s="35" t="s">
        <v>111</v>
      </c>
      <c r="C33" s="170"/>
      <c r="D33" s="236"/>
      <c r="G33" s="16"/>
    </row>
    <row r="34" spans="1:7">
      <c r="A34" s="174" t="s">
        <v>73</v>
      </c>
      <c r="B34" s="34">
        <f>IF((($B$28-$B$32-$B$39-$B$77-$B$38)*C20/100)&lt;0,0,($B$28-$B$32-$B$39-$B$77-$B$38)*C20/100)</f>
        <v>104.67911714770798</v>
      </c>
      <c r="C34" s="170">
        <f>IF(ISERROR(B34/SUM($B$32,$B$34,$B$35,$B$36,$B$38,$B$39)*100),0,B34/SUM($B$32,$B$34,$B$35,$B$36,$B$38,$B$39)*100)</f>
        <v>1.5760180239040646</v>
      </c>
      <c r="D34" s="236"/>
      <c r="G34" s="16"/>
    </row>
    <row r="35" spans="1:7">
      <c r="A35" s="174" t="s">
        <v>74</v>
      </c>
      <c r="B35" s="34">
        <f>IF((($B$28-$B$32-$B$39-$B$77-$B$38)*C21/100)&lt;0,0,($B$28-$B$32-$B$39-$B$77-$B$38)*C21/100)</f>
        <v>1038.9402376910018</v>
      </c>
      <c r="C35" s="170">
        <f>IF(ISERROR(B35/SUM($B$32,$B$34,$B$35,$B$36,$B$38,$B$39)*100),0,B35/SUM($B$32,$B$34,$B$35,$B$36,$B$38,$B$39)*100)</f>
        <v>15.641978887247845</v>
      </c>
      <c r="D35" s="236"/>
      <c r="G35" s="16"/>
    </row>
    <row r="36" spans="1:7">
      <c r="A36" s="174" t="s">
        <v>75</v>
      </c>
      <c r="B36" s="34">
        <f>IF((($B$28-$B$32-$B$39-$B$77-$B$38)*C22/100)&lt;0,0,($B$28-$B$32-$B$39-$B$77-$B$38)*C22/100)</f>
        <v>397.78064516129029</v>
      </c>
      <c r="C36" s="170">
        <f>IF(ISERROR(B36/SUM($B$32,$B$34,$B$35,$B$36,$B$38,$B$39)*100),0,B36/SUM($B$32,$B$34,$B$35,$B$36,$B$38,$B$39)*100)</f>
        <v>5.9888684908354461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199.59999999999991</v>
      </c>
      <c r="C39" s="170">
        <f>IF(ISERROR(B39/SUM($B$32,$B$34,$B$35,$B$36,$B$38,$B$39)*100),0,B39/SUM($B$32,$B$34,$B$35,$B$36,$B$38,$B$39)*100)</f>
        <v>3.0051189400782881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4901</v>
      </c>
      <c r="C44" s="35" t="s">
        <v>111</v>
      </c>
      <c r="D44" s="177"/>
    </row>
    <row r="45" spans="1:7">
      <c r="A45" s="174" t="s">
        <v>72</v>
      </c>
      <c r="B45" s="34" t="str">
        <f t="shared" si="0"/>
        <v>-</v>
      </c>
      <c r="C45" s="35" t="s">
        <v>111</v>
      </c>
      <c r="D45" s="177"/>
    </row>
    <row r="46" spans="1:7">
      <c r="A46" s="174" t="s">
        <v>73</v>
      </c>
      <c r="B46" s="34">
        <f t="shared" si="0"/>
        <v>104.67911714770798</v>
      </c>
      <c r="C46" s="35" t="s">
        <v>111</v>
      </c>
      <c r="D46" s="177"/>
    </row>
    <row r="47" spans="1:7">
      <c r="A47" s="174" t="s">
        <v>74</v>
      </c>
      <c r="B47" s="34">
        <f t="shared" si="0"/>
        <v>1038.9402376910018</v>
      </c>
      <c r="C47" s="35" t="s">
        <v>111</v>
      </c>
      <c r="D47" s="177"/>
    </row>
    <row r="48" spans="1:7">
      <c r="A48" s="174" t="s">
        <v>75</v>
      </c>
      <c r="B48" s="34">
        <f t="shared" si="0"/>
        <v>397.78064516129029</v>
      </c>
      <c r="C48" s="34">
        <f>B48*10</f>
        <v>3977.8064516129029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199.59999999999991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112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14631.929303537541</v>
      </c>
      <c r="C5" s="18">
        <f>IF(ISERROR('Eigen informatie GS &amp; warmtenet'!B58),0,'Eigen informatie GS &amp; warmtenet'!B58)</f>
        <v>0</v>
      </c>
      <c r="D5" s="31">
        <f>SUM(D6:D12)</f>
        <v>19288.911360456481</v>
      </c>
      <c r="E5" s="18">
        <f>SUM(E6:E12)</f>
        <v>172.58622654172288</v>
      </c>
      <c r="F5" s="18">
        <f>SUM(F6:F12)</f>
        <v>2890.40615184539</v>
      </c>
      <c r="G5" s="19"/>
      <c r="H5" s="18"/>
      <c r="I5" s="18"/>
      <c r="J5" s="18">
        <f>SUM(J6:J12)</f>
        <v>0</v>
      </c>
      <c r="K5" s="18"/>
      <c r="L5" s="18"/>
      <c r="M5" s="18"/>
      <c r="N5" s="18">
        <f>SUM(N6:N12)</f>
        <v>838.18030535792855</v>
      </c>
      <c r="O5" s="18">
        <f>B38*B39*B40</f>
        <v>0</v>
      </c>
      <c r="P5" s="18">
        <f>B46*B47*B48/1000-B46*B47*B48/1000/B49</f>
        <v>0</v>
      </c>
      <c r="R5" s="33"/>
    </row>
    <row r="6" spans="1:18">
      <c r="A6" s="33" t="s">
        <v>54</v>
      </c>
      <c r="B6" s="38">
        <f>B26</f>
        <v>3365.3361909577702</v>
      </c>
      <c r="C6" s="34"/>
      <c r="D6" s="38">
        <f>IF(ISERROR(TER_kantoor_gas_kWh/1000),0,TER_kantoor_gas_kWh/1000)*0.902</f>
        <v>3631.7468410495308</v>
      </c>
      <c r="E6" s="34">
        <f>$C$26*'E Balans VL '!I12/100/3.6*1000000</f>
        <v>5.5231987617313054</v>
      </c>
      <c r="F6" s="34">
        <f>$C$26*('E Balans VL '!L12+'E Balans VL '!N12)/100/3.6*1000000</f>
        <v>396.69395485329363</v>
      </c>
      <c r="G6" s="35"/>
      <c r="H6" s="34"/>
      <c r="I6" s="34"/>
      <c r="J6" s="34">
        <f>$C$26*('E Balans VL '!D12+'E Balans VL '!E12)/100/3.6*1000000</f>
        <v>0</v>
      </c>
      <c r="K6" s="34"/>
      <c r="L6" s="34"/>
      <c r="M6" s="34"/>
      <c r="N6" s="34">
        <f>$C$26*'E Balans VL '!Y12/100/3.6*1000000</f>
        <v>0.67995024121150049</v>
      </c>
      <c r="O6" s="34"/>
      <c r="P6" s="34"/>
      <c r="R6" s="33"/>
    </row>
    <row r="7" spans="1:18">
      <c r="A7" s="33" t="s">
        <v>53</v>
      </c>
      <c r="B7" s="38">
        <f t="shared" ref="B7:B12" si="0">B27</f>
        <v>1998.4872717036301</v>
      </c>
      <c r="C7" s="34"/>
      <c r="D7" s="38">
        <f>IF(ISERROR(TER_horeca_gas_kWh/1000),0,TER_horeca_gas_kWh/1000)*0.902</f>
        <v>6900.8172250573361</v>
      </c>
      <c r="E7" s="34">
        <f>$C$27*'E Balans VL '!I9/100/3.6*1000000</f>
        <v>103.70702803805872</v>
      </c>
      <c r="F7" s="34">
        <f>$C$27*('E Balans VL '!L9+'E Balans VL '!N9)/100/3.6*1000000</f>
        <v>456.05624551231983</v>
      </c>
      <c r="G7" s="35"/>
      <c r="H7" s="34"/>
      <c r="I7" s="34"/>
      <c r="J7" s="34">
        <f>$C$27*('E Balans VL '!D9+'E Balans VL '!E9)/100/3.6*1000000</f>
        <v>0</v>
      </c>
      <c r="K7" s="34"/>
      <c r="L7" s="34"/>
      <c r="M7" s="34"/>
      <c r="N7" s="34">
        <f>$C$27*'E Balans VL '!Y9/100/3.6*1000000</f>
        <v>0.21103934004515512</v>
      </c>
      <c r="O7" s="34"/>
      <c r="P7" s="34"/>
      <c r="R7" s="33"/>
    </row>
    <row r="8" spans="1:18">
      <c r="A8" s="6" t="s">
        <v>52</v>
      </c>
      <c r="B8" s="38">
        <f t="shared" si="0"/>
        <v>3801.0748723393303</v>
      </c>
      <c r="C8" s="34"/>
      <c r="D8" s="38">
        <f>IF(ISERROR(TER_handel_gas_kWh/1000),0,TER_handel_gas_kWh/1000)*0.902</f>
        <v>3098.3555665196013</v>
      </c>
      <c r="E8" s="34">
        <f>$C$28*'E Balans VL '!I13/100/3.6*1000000</f>
        <v>20.469255277567822</v>
      </c>
      <c r="F8" s="34">
        <f>$C$28*('E Balans VL '!L13+'E Balans VL '!N13)/100/3.6*1000000</f>
        <v>775.15212424145466</v>
      </c>
      <c r="G8" s="35"/>
      <c r="H8" s="34"/>
      <c r="I8" s="34"/>
      <c r="J8" s="34">
        <f>$C$28*('E Balans VL '!D13+'E Balans VL '!E13)/100/3.6*1000000</f>
        <v>0</v>
      </c>
      <c r="K8" s="34"/>
      <c r="L8" s="34"/>
      <c r="M8" s="34"/>
      <c r="N8" s="34">
        <f>$C$28*'E Balans VL '!Y13/100/3.6*1000000</f>
        <v>18.900738050013437</v>
      </c>
      <c r="O8" s="34"/>
      <c r="P8" s="34"/>
      <c r="R8" s="33"/>
    </row>
    <row r="9" spans="1:18">
      <c r="A9" s="33" t="s">
        <v>51</v>
      </c>
      <c r="B9" s="38">
        <f t="shared" si="0"/>
        <v>223.69424555907702</v>
      </c>
      <c r="C9" s="34"/>
      <c r="D9" s="38">
        <f>IF(ISERROR(TER_gezond_gas_kWh/1000),0,TER_gezond_gas_kWh/1000)*0.902</f>
        <v>1419.4068530849261</v>
      </c>
      <c r="E9" s="34">
        <f>$C$29*'E Balans VL '!I10/100/3.6*1000000</f>
        <v>0.22168354118947783</v>
      </c>
      <c r="F9" s="34">
        <f>$C$29*('E Balans VL '!L10+'E Balans VL '!N10)/100/3.6*1000000</f>
        <v>77.615455469734869</v>
      </c>
      <c r="G9" s="35"/>
      <c r="H9" s="34"/>
      <c r="I9" s="34"/>
      <c r="J9" s="34">
        <f>$C$29*('E Balans VL '!D10+'E Balans VL '!E10)/100/3.6*1000000</f>
        <v>0</v>
      </c>
      <c r="K9" s="34"/>
      <c r="L9" s="34"/>
      <c r="M9" s="34"/>
      <c r="N9" s="34">
        <f>$C$29*'E Balans VL '!Y10/100/3.6*1000000</f>
        <v>1.9275539354429807</v>
      </c>
      <c r="O9" s="34"/>
      <c r="P9" s="34"/>
      <c r="R9" s="33"/>
    </row>
    <row r="10" spans="1:18">
      <c r="A10" s="33" t="s">
        <v>50</v>
      </c>
      <c r="B10" s="38">
        <f t="shared" si="0"/>
        <v>956.24431442537104</v>
      </c>
      <c r="C10" s="34"/>
      <c r="D10" s="38">
        <f>IF(ISERROR(TER_ander_gas_kWh/1000),0,TER_ander_gas_kWh/1000)*0.902</f>
        <v>601.92194174103508</v>
      </c>
      <c r="E10" s="34">
        <f>$C$30*'E Balans VL '!I14/100/3.6*1000000</f>
        <v>7.8230341901290501</v>
      </c>
      <c r="F10" s="34">
        <f>$C$30*('E Balans VL '!L14+'E Balans VL '!N14)/100/3.6*1000000</f>
        <v>279.56690721958074</v>
      </c>
      <c r="G10" s="35"/>
      <c r="H10" s="34"/>
      <c r="I10" s="34"/>
      <c r="J10" s="34">
        <f>$C$30*('E Balans VL '!D14+'E Balans VL '!E14)/100/3.6*1000000</f>
        <v>0</v>
      </c>
      <c r="K10" s="34"/>
      <c r="L10" s="34"/>
      <c r="M10" s="34"/>
      <c r="N10" s="34">
        <f>$C$30*'E Balans VL '!Y14/100/3.6*1000000</f>
        <v>551.62749956788264</v>
      </c>
      <c r="O10" s="34"/>
      <c r="P10" s="34"/>
      <c r="R10" s="33"/>
    </row>
    <row r="11" spans="1:18">
      <c r="A11" s="33" t="s">
        <v>55</v>
      </c>
      <c r="B11" s="38">
        <f t="shared" si="0"/>
        <v>274.167116861453</v>
      </c>
      <c r="C11" s="34"/>
      <c r="D11" s="38">
        <f>IF(ISERROR(TER_onderwijs_gas_kWh/1000),0,TER_onderwijs_gas_kWh/1000)*0.902</f>
        <v>0</v>
      </c>
      <c r="E11" s="34">
        <f>$C$31*'E Balans VL '!I11/100/3.6*1000000</f>
        <v>0.16898504257422145</v>
      </c>
      <c r="F11" s="34">
        <f>$C$31*('E Balans VL '!L11+'E Balans VL '!N11)/100/3.6*1000000</f>
        <v>105.99744742443227</v>
      </c>
      <c r="G11" s="35"/>
      <c r="H11" s="34"/>
      <c r="I11" s="34"/>
      <c r="J11" s="34">
        <f>$C$31*('E Balans VL '!D11+'E Balans VL '!E11)/100/3.6*1000000</f>
        <v>0</v>
      </c>
      <c r="K11" s="34"/>
      <c r="L11" s="34"/>
      <c r="M11" s="34"/>
      <c r="N11" s="34">
        <f>$C$31*'E Balans VL '!Y11/100/3.6*1000000</f>
        <v>0.89180687839161943</v>
      </c>
      <c r="O11" s="34"/>
      <c r="P11" s="34"/>
      <c r="R11" s="33"/>
    </row>
    <row r="12" spans="1:18">
      <c r="A12" s="33" t="s">
        <v>260</v>
      </c>
      <c r="B12" s="38">
        <f t="shared" si="0"/>
        <v>4012.9252916909099</v>
      </c>
      <c r="C12" s="34"/>
      <c r="D12" s="38">
        <f>IF(ISERROR(TER_rest_gas_kWh/1000),0,TER_rest_gas_kWh/1000)*0.902</f>
        <v>3636.6629330040519</v>
      </c>
      <c r="E12" s="34">
        <f>$C$32*'E Balans VL '!I8/100/3.6*1000000</f>
        <v>34.673041690472239</v>
      </c>
      <c r="F12" s="34">
        <f>$C$32*('E Balans VL '!L8+'E Balans VL '!N8)/100/3.6*1000000</f>
        <v>799.32401712457408</v>
      </c>
      <c r="G12" s="35"/>
      <c r="H12" s="34"/>
      <c r="I12" s="34"/>
      <c r="J12" s="34">
        <f>$C$32*('E Balans VL '!D8+'E Balans VL '!E8)/100/3.6*1000000</f>
        <v>0</v>
      </c>
      <c r="K12" s="34"/>
      <c r="L12" s="34"/>
      <c r="M12" s="34"/>
      <c r="N12" s="34">
        <f>$C$32*'E Balans VL '!Y8/100/3.6*1000000</f>
        <v>263.94171734494108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14631.929303537541</v>
      </c>
      <c r="C16" s="22">
        <f t="shared" ca="1" si="1"/>
        <v>0</v>
      </c>
      <c r="D16" s="22">
        <f t="shared" ca="1" si="1"/>
        <v>19288.911360456481</v>
      </c>
      <c r="E16" s="22">
        <f t="shared" si="1"/>
        <v>172.58622654172288</v>
      </c>
      <c r="F16" s="22">
        <f t="shared" ca="1" si="1"/>
        <v>2890.40615184539</v>
      </c>
      <c r="G16" s="22">
        <f t="shared" si="1"/>
        <v>0</v>
      </c>
      <c r="H16" s="22">
        <f t="shared" si="1"/>
        <v>0</v>
      </c>
      <c r="I16" s="22">
        <f t="shared" si="1"/>
        <v>0</v>
      </c>
      <c r="J16" s="22">
        <f t="shared" si="1"/>
        <v>0</v>
      </c>
      <c r="K16" s="22">
        <f t="shared" si="1"/>
        <v>0</v>
      </c>
      <c r="L16" s="22">
        <f t="shared" ca="1" si="1"/>
        <v>0</v>
      </c>
      <c r="M16" s="22">
        <f t="shared" si="1"/>
        <v>0</v>
      </c>
      <c r="N16" s="22">
        <f t="shared" ca="1" si="1"/>
        <v>838.18030535792855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0.21678921287909039</v>
      </c>
      <c r="C18" s="26">
        <f ca="1">'EF ele_warmte'!B22</f>
        <v>0.23605292097245073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3172.0444366164011</v>
      </c>
      <c r="C20" s="24">
        <f t="shared" ref="C20:P20" ca="1" si="2">C16*C18</f>
        <v>0</v>
      </c>
      <c r="D20" s="24">
        <f t="shared" ca="1" si="2"/>
        <v>3896.3600948122094</v>
      </c>
      <c r="E20" s="24">
        <f t="shared" si="2"/>
        <v>39.177073424971098</v>
      </c>
      <c r="F20" s="24">
        <f t="shared" ca="1" si="2"/>
        <v>771.73844254271921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3365.3361909577702</v>
      </c>
      <c r="C26" s="40">
        <f>IF(ISERROR(B26*3.6/1000000/'E Balans VL '!Z12*100),0,B26*3.6/1000000/'E Balans VL '!Z12*100)</f>
        <v>7.15109806707976E-2</v>
      </c>
      <c r="D26" s="240" t="s">
        <v>707</v>
      </c>
      <c r="F26" s="6"/>
    </row>
    <row r="27" spans="1:18">
      <c r="A27" s="234" t="s">
        <v>53</v>
      </c>
      <c r="B27" s="34">
        <f>IF(ISERROR(TER_horeca_ele_kWh/1000),0,TER_horeca_ele_kWh/1000)</f>
        <v>1998.4872717036301</v>
      </c>
      <c r="C27" s="40">
        <f>IF(ISERROR(B27*3.6/1000000/'E Balans VL '!Z9*100),0,B27*3.6/1000000/'E Balans VL '!Z9*100)</f>
        <v>0.15729640251812804</v>
      </c>
      <c r="D27" s="240" t="s">
        <v>707</v>
      </c>
      <c r="F27" s="6"/>
    </row>
    <row r="28" spans="1:18">
      <c r="A28" s="174" t="s">
        <v>52</v>
      </c>
      <c r="B28" s="34">
        <f>IF(ISERROR(TER_handel_ele_kWh/1000),0,TER_handel_ele_kWh/1000)</f>
        <v>3801.0748723393303</v>
      </c>
      <c r="C28" s="40">
        <f>IF(ISERROR(B28*3.6/1000000/'E Balans VL '!Z13*100),0,B28*3.6/1000000/'E Balans VL '!Z13*100)</f>
        <v>0.10647014142918454</v>
      </c>
      <c r="D28" s="240" t="s">
        <v>707</v>
      </c>
      <c r="F28" s="6"/>
    </row>
    <row r="29" spans="1:18">
      <c r="A29" s="234" t="s">
        <v>51</v>
      </c>
      <c r="B29" s="34">
        <f>IF(ISERROR(TER_gezond_ele_kWh/1000),0,TER_gezond_ele_kWh/1000)</f>
        <v>223.69424555907702</v>
      </c>
      <c r="C29" s="40">
        <f>IF(ISERROR(B29*3.6/1000000/'E Balans VL '!Z10*100),0,B29*3.6/1000000/'E Balans VL '!Z10*100)</f>
        <v>2.8617258248565945E-2</v>
      </c>
      <c r="D29" s="240" t="s">
        <v>707</v>
      </c>
      <c r="F29" s="6"/>
    </row>
    <row r="30" spans="1:18">
      <c r="A30" s="234" t="s">
        <v>50</v>
      </c>
      <c r="B30" s="34">
        <f>IF(ISERROR(TER_ander_ele_kWh/1000),0,TER_ander_ele_kWh/1000)</f>
        <v>956.24431442537104</v>
      </c>
      <c r="C30" s="40">
        <f>IF(ISERROR(B30*3.6/1000000/'E Balans VL '!Z14*100),0,B30*3.6/1000000/'E Balans VL '!Z14*100)</f>
        <v>7.1519017263669521E-2</v>
      </c>
      <c r="D30" s="240" t="s">
        <v>707</v>
      </c>
      <c r="F30" s="6"/>
    </row>
    <row r="31" spans="1:18">
      <c r="A31" s="234" t="s">
        <v>55</v>
      </c>
      <c r="B31" s="34">
        <f>IF(ISERROR(TER_onderwijs_ele_kWh/1000),0,TER_onderwijs_ele_kWh/1000)</f>
        <v>274.167116861453</v>
      </c>
      <c r="C31" s="40">
        <f>IF(ISERROR(B31*3.6/1000000/'E Balans VL '!Z11*100),0,B31*3.6/1000000/'E Balans VL '!Z11*100)</f>
        <v>5.7890741862487459E-2</v>
      </c>
      <c r="D31" s="240" t="s">
        <v>707</v>
      </c>
    </row>
    <row r="32" spans="1:18">
      <c r="A32" s="234" t="s">
        <v>260</v>
      </c>
      <c r="B32" s="34">
        <f>IF(ISERROR(TER_rest_ele_kWh/1000),0,TER_rest_ele_kWh/1000)</f>
        <v>4012.9252916909099</v>
      </c>
      <c r="C32" s="40">
        <f>IF(ISERROR(B32*3.6/1000000/'E Balans VL '!Z8*100),0,B32*3.6/1000000/'E Balans VL '!Z8*100)</f>
        <v>3.3058205936634374E-2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247265.12718362393</v>
      </c>
      <c r="C5" s="18">
        <f>IF(ISERROR('Eigen informatie GS &amp; warmtenet'!B59),0,'Eigen informatie GS &amp; warmtenet'!B59)</f>
        <v>0</v>
      </c>
      <c r="D5" s="31">
        <f>SUM(D6:D15)</f>
        <v>381892.03479302977</v>
      </c>
      <c r="E5" s="18">
        <f>SUM(E6:E15)</f>
        <v>1762.6408111551073</v>
      </c>
      <c r="F5" s="18">
        <f>SUM(F6:F15)</f>
        <v>38247.869823458772</v>
      </c>
      <c r="G5" s="19"/>
      <c r="H5" s="18"/>
      <c r="I5" s="18"/>
      <c r="J5" s="18">
        <f>SUM(J6:J15)</f>
        <v>34007.870863904864</v>
      </c>
      <c r="K5" s="18"/>
      <c r="L5" s="18"/>
      <c r="M5" s="18"/>
      <c r="N5" s="18">
        <f>SUM(N6:N15)</f>
        <v>1502.0363621966621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95964.18981466991</v>
      </c>
      <c r="C7" s="34"/>
      <c r="D7" s="38">
        <f>IF( ISERROR(IND_nonf_gas_kWhh/1000),0,IND_nonf_gas_kWh/1000)*0.902</f>
        <v>0</v>
      </c>
      <c r="E7" s="34">
        <f>C29*'E Balans VL '!I17/100/3.6*1000000</f>
        <v>215.29257862069514</v>
      </c>
      <c r="F7" s="34">
        <f>C29*'E Balans VL '!L17/100/3.6*1000000+C29*'E Balans VL '!N17/100/3.6*1000000</f>
        <v>23397.354869053805</v>
      </c>
      <c r="G7" s="35"/>
      <c r="H7" s="34"/>
      <c r="I7" s="34"/>
      <c r="J7" s="41">
        <f>C29*'E Balans VL '!D17/100/3.6*1000000+C29*'E Balans VL '!E17/100/3.6*1000000</f>
        <v>33730.40514989548</v>
      </c>
      <c r="K7" s="34"/>
      <c r="L7" s="34"/>
      <c r="M7" s="34"/>
      <c r="N7" s="34">
        <f>C29*'E Balans VL '!Y17/100/3.6*1000000</f>
        <v>387.91784847434502</v>
      </c>
      <c r="O7" s="34"/>
      <c r="P7" s="34"/>
      <c r="R7" s="33"/>
    </row>
    <row r="8" spans="1:18">
      <c r="A8" s="6" t="s">
        <v>36</v>
      </c>
      <c r="B8" s="38">
        <f t="shared" si="0"/>
        <v>630.07645685657496</v>
      </c>
      <c r="C8" s="34"/>
      <c r="D8" s="38">
        <f>IF( ISERROR(IND_metaal_Gas_kWH/1000),0,IND_metaal_Gas_kWH/1000)*0.902</f>
        <v>0</v>
      </c>
      <c r="E8" s="34">
        <f>C30*'E Balans VL '!I18/100/3.6*1000000</f>
        <v>5.7379927450310655</v>
      </c>
      <c r="F8" s="34">
        <f>C30*'E Balans VL '!L18/100/3.6*1000000+C30*'E Balans VL '!N18/100/3.6*1000000</f>
        <v>83.102299776585923</v>
      </c>
      <c r="G8" s="35"/>
      <c r="H8" s="34"/>
      <c r="I8" s="34"/>
      <c r="J8" s="41">
        <f>C30*'E Balans VL '!D18/100/3.6*1000000+C30*'E Balans VL '!E18/100/3.6*1000000</f>
        <v>10.332339054374806</v>
      </c>
      <c r="K8" s="34"/>
      <c r="L8" s="34"/>
      <c r="M8" s="34"/>
      <c r="N8" s="34">
        <f>C30*'E Balans VL '!Y18/100/3.6*1000000</f>
        <v>2.165322484985623</v>
      </c>
      <c r="O8" s="34"/>
      <c r="P8" s="34"/>
      <c r="R8" s="33"/>
    </row>
    <row r="9" spans="1:18">
      <c r="A9" s="6" t="s">
        <v>33</v>
      </c>
      <c r="B9" s="38">
        <f t="shared" si="0"/>
        <v>1683.0452352147399</v>
      </c>
      <c r="C9" s="34"/>
      <c r="D9" s="38">
        <f>IF( ISERROR(IND_andere_gas_kWh/1000),0,IND_andere_gas_kWh/1000)*0.902</f>
        <v>1263.3279414986266</v>
      </c>
      <c r="E9" s="34">
        <f>C31*'E Balans VL '!I19/100/3.6*1000000</f>
        <v>9.7282529698484304</v>
      </c>
      <c r="F9" s="34">
        <f>C31*'E Balans VL '!L19/100/3.6*1000000+C31*'E Balans VL '!N19/100/3.6*1000000</f>
        <v>1338.9434695453524</v>
      </c>
      <c r="G9" s="35"/>
      <c r="H9" s="34"/>
      <c r="I9" s="34"/>
      <c r="J9" s="41">
        <f>C31*'E Balans VL '!D19/100/3.6*1000000+C31*'E Balans VL '!E19/100/3.6*1000000</f>
        <v>0.15919738451434759</v>
      </c>
      <c r="K9" s="34"/>
      <c r="L9" s="34"/>
      <c r="M9" s="34"/>
      <c r="N9" s="34">
        <f>C31*'E Balans VL '!Y19/100/3.6*1000000</f>
        <v>127.51614660817749</v>
      </c>
      <c r="O9" s="34"/>
      <c r="P9" s="34"/>
      <c r="R9" s="33"/>
    </row>
    <row r="10" spans="1:18">
      <c r="A10" s="6" t="s">
        <v>41</v>
      </c>
      <c r="B10" s="38">
        <f t="shared" si="0"/>
        <v>7918.4033639421796</v>
      </c>
      <c r="C10" s="34"/>
      <c r="D10" s="38">
        <f>IF( ISERROR(IND_voed_gas_kWh/1000),0,IND_voed_gas_kWh/1000)*0.902</f>
        <v>365.97492146370183</v>
      </c>
      <c r="E10" s="34">
        <f>C32*'E Balans VL '!I20/100/3.6*1000000</f>
        <v>77.858620808922609</v>
      </c>
      <c r="F10" s="34">
        <f>C32*'E Balans VL '!L20/100/3.6*1000000+C32*'E Balans VL '!N20/100/3.6*1000000</f>
        <v>879.44204966903771</v>
      </c>
      <c r="G10" s="35"/>
      <c r="H10" s="34"/>
      <c r="I10" s="34"/>
      <c r="J10" s="41">
        <f>C32*'E Balans VL '!D20/100/3.6*1000000+C32*'E Balans VL '!E20/100/3.6*1000000</f>
        <v>3.1210022396119644E-2</v>
      </c>
      <c r="K10" s="34"/>
      <c r="L10" s="34"/>
      <c r="M10" s="34"/>
      <c r="N10" s="34">
        <f>C32*'E Balans VL '!Y20/100/3.6*1000000</f>
        <v>117.25292777194228</v>
      </c>
      <c r="O10" s="34"/>
      <c r="P10" s="34"/>
      <c r="R10" s="33"/>
    </row>
    <row r="11" spans="1:18">
      <c r="A11" s="6" t="s">
        <v>40</v>
      </c>
      <c r="B11" s="38">
        <f t="shared" si="0"/>
        <v>0</v>
      </c>
      <c r="C11" s="34"/>
      <c r="D11" s="38">
        <f>IF( ISERROR(IND_textiel_gas_kWh/1000),0,IND_textiel_gas_kWh/1000)*0.902</f>
        <v>87.783393720587114</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19586.622038029</v>
      </c>
      <c r="C12" s="34"/>
      <c r="D12" s="38">
        <f>IF( ISERROR(IND_min_gas_kWh/1000),0,IND_min_gas_kWh/1000)*0.902</f>
        <v>209022.60435211915</v>
      </c>
      <c r="E12" s="34">
        <f>C34*'E Balans VL '!I22/100/3.6*1000000</f>
        <v>496.55572296154401</v>
      </c>
      <c r="F12" s="34">
        <f>C34*'E Balans VL '!L22/100/3.6*1000000+C34*'E Balans VL '!N22/100/3.6*1000000</f>
        <v>5419.6865888619541</v>
      </c>
      <c r="G12" s="35"/>
      <c r="H12" s="34"/>
      <c r="I12" s="34"/>
      <c r="J12" s="41">
        <f>C34*'E Balans VL '!D22/100/3.6*1000000+C34*'E Balans VL '!E22/100/3.6*1000000</f>
        <v>129.35398788901517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94122.428073033007</v>
      </c>
      <c r="C14" s="34"/>
      <c r="D14" s="38">
        <f>IF( ISERROR(IND_chemie_gas_kWh/1000),0,IND_chemie_gas_kWh/1000)*0.902</f>
        <v>132955.83347777772</v>
      </c>
      <c r="E14" s="34">
        <f>C36*'E Balans VL '!I24/100/3.6*1000000</f>
        <v>711.61588413890399</v>
      </c>
      <c r="F14" s="34">
        <f>C36*'E Balans VL '!L24/100/3.6*1000000+C36*'E Balans VL '!N24/100/3.6*1000000</f>
        <v>1741.5251503345849</v>
      </c>
      <c r="G14" s="35"/>
      <c r="H14" s="34"/>
      <c r="I14" s="34"/>
      <c r="J14" s="41">
        <f>C36*'E Balans VL '!D24/100/3.6*1000000+C36*'E Balans VL '!E24/100/3.6*1000000</f>
        <v>0</v>
      </c>
      <c r="K14" s="34"/>
      <c r="L14" s="34"/>
      <c r="M14" s="34"/>
      <c r="N14" s="34">
        <f>C36*'E Balans VL '!Y24/100/3.6*1000000</f>
        <v>27.293077087216464</v>
      </c>
      <c r="O14" s="34"/>
      <c r="P14" s="34"/>
      <c r="R14" s="33"/>
    </row>
    <row r="15" spans="1:18">
      <c r="A15" s="6" t="s">
        <v>270</v>
      </c>
      <c r="B15" s="38">
        <f t="shared" si="0"/>
        <v>27360.362201878499</v>
      </c>
      <c r="C15" s="34"/>
      <c r="D15" s="38">
        <f>IF( ISERROR(IND_rest_gas_kWh/1000),0,IND_rest_gas_kWh/1000)*0.902</f>
        <v>38196.510706449968</v>
      </c>
      <c r="E15" s="34">
        <f>C37*'E Balans VL '!I15/100/3.6*1000000</f>
        <v>245.85175891016203</v>
      </c>
      <c r="F15" s="34">
        <f>C37*'E Balans VL '!L15/100/3.6*1000000+C37*'E Balans VL '!N15/100/3.6*1000000</f>
        <v>5387.8153962174556</v>
      </c>
      <c r="G15" s="35"/>
      <c r="H15" s="34"/>
      <c r="I15" s="34"/>
      <c r="J15" s="41">
        <f>C37*'E Balans VL '!D15/100/3.6*1000000+C37*'E Balans VL '!E15/100/3.6*1000000</f>
        <v>137.58897965908312</v>
      </c>
      <c r="K15" s="34"/>
      <c r="L15" s="34"/>
      <c r="M15" s="34"/>
      <c r="N15" s="34">
        <f>C37*'E Balans VL '!Y15/100/3.6*1000000</f>
        <v>839.89103976999513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247265.12718362393</v>
      </c>
      <c r="C18" s="22">
        <f>C5+C16</f>
        <v>0</v>
      </c>
      <c r="D18" s="22">
        <f>MAX((D5+D16),0)</f>
        <v>381892.03479302977</v>
      </c>
      <c r="E18" s="22">
        <f>MAX((E5+E16),0)</f>
        <v>1762.6408111551073</v>
      </c>
      <c r="F18" s="22">
        <f>MAX((F5+F16),0)</f>
        <v>38247.869823458772</v>
      </c>
      <c r="G18" s="22"/>
      <c r="H18" s="22"/>
      <c r="I18" s="22"/>
      <c r="J18" s="22">
        <f>MAX((J5+J16),0)</f>
        <v>34007.870863904864</v>
      </c>
      <c r="K18" s="22"/>
      <c r="L18" s="22">
        <f>MAX((L5+L16),0)</f>
        <v>0</v>
      </c>
      <c r="M18" s="22"/>
      <c r="N18" s="22">
        <f>MAX((N5+N16),0)</f>
        <v>1502.0363621966621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0.21678921287909039</v>
      </c>
      <c r="C20" s="26">
        <f ca="1">'EF ele_warmte'!B22</f>
        <v>0.23605292097245073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53604.412294586007</v>
      </c>
      <c r="C22" s="24">
        <f ca="1">C18*C20</f>
        <v>0</v>
      </c>
      <c r="D22" s="24">
        <f>D18*D20</f>
        <v>77142.191028192014</v>
      </c>
      <c r="E22" s="24">
        <f>E18*E20</f>
        <v>400.11946413220937</v>
      </c>
      <c r="F22" s="24">
        <f>F18*F20</f>
        <v>10212.181242863493</v>
      </c>
      <c r="G22" s="24"/>
      <c r="H22" s="24"/>
      <c r="I22" s="24"/>
      <c r="J22" s="24">
        <f>J18*J20</f>
        <v>12038.786285822322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95964.18981466991</v>
      </c>
      <c r="C29" s="40">
        <f>IF(ISERROR(B29*3.6/1000000/'E Balans VL '!Z17*100),0,B29*3.6/1000000/'E Balans VL '!Z17*100)</f>
        <v>100.32358150198579</v>
      </c>
      <c r="D29" s="240" t="s">
        <v>707</v>
      </c>
    </row>
    <row r="30" spans="1:18">
      <c r="A30" s="174" t="s">
        <v>36</v>
      </c>
      <c r="B30" s="38">
        <f>IF( ISERROR(IND_metaal_ele_kWh/1000),0,IND_metaal_ele_kWh/1000)</f>
        <v>630.07645685657496</v>
      </c>
      <c r="C30" s="40">
        <f>IF(ISERROR(B30*3.6/1000000/'E Balans VL '!Z18*100),0,B30*3.6/1000000/'E Balans VL '!Z18*100)</f>
        <v>3.5059541538950287E-2</v>
      </c>
      <c r="D30" s="240" t="s">
        <v>707</v>
      </c>
    </row>
    <row r="31" spans="1:18">
      <c r="A31" s="6" t="s">
        <v>33</v>
      </c>
      <c r="B31" s="38">
        <f>IF( ISERROR(IND_ander_ele_kWh/1000),0,IND_ander_ele_kWh/1000)</f>
        <v>1683.0452352147399</v>
      </c>
      <c r="C31" s="40">
        <f>IF(ISERROR(B31*3.6/1000000/'E Balans VL '!Z19*100),0,B31*3.6/1000000/'E Balans VL '!Z19*100)</f>
        <v>7.8240352798860241E-2</v>
      </c>
      <c r="D31" s="240" t="s">
        <v>707</v>
      </c>
    </row>
    <row r="32" spans="1:18">
      <c r="A32" s="174" t="s">
        <v>41</v>
      </c>
      <c r="B32" s="38">
        <f>IF( ISERROR(IND_voed_ele_kWh/1000),0,IND_voed_ele_kWh/1000)</f>
        <v>7918.4033639421796</v>
      </c>
      <c r="C32" s="40">
        <f>IF(ISERROR(B32*3.6/1000000/'E Balans VL '!Z20*100),0,B32*3.6/1000000/'E Balans VL '!Z20*100)</f>
        <v>0.27989956702249891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19586.622038029</v>
      </c>
      <c r="C34" s="40">
        <f>IF(ISERROR(B34*3.6/1000000/'E Balans VL '!Z22*100),0,B34*3.6/1000000/'E Balans VL '!Z22*100)</f>
        <v>3.936358705562129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94122.428073033007</v>
      </c>
      <c r="C36" s="40">
        <f>IF(ISERROR(B36*3.6/1000000/'E Balans VL '!Z24*100),0,B36*3.6/1000000/'E Balans VL '!Z24*100)</f>
        <v>2.3177858594953031</v>
      </c>
      <c r="D36" s="240" t="s">
        <v>707</v>
      </c>
    </row>
    <row r="37" spans="1:5">
      <c r="A37" s="174" t="s">
        <v>270</v>
      </c>
      <c r="B37" s="38">
        <f>IF( ISERROR(IND_rest_ele_kWh/1000),0,IND_rest_ele_kWh/1000)</f>
        <v>27360.362201878499</v>
      </c>
      <c r="C37" s="40">
        <f>IF(ISERROR(B37*3.6/1000000/'E Balans VL '!Z15*100),0,B37*3.6/1000000/'E Balans VL '!Z15*100)</f>
        <v>0.20661115199086566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1511.5313876914768</v>
      </c>
      <c r="C5" s="18">
        <f>'Eigen informatie GS &amp; warmtenet'!B60</f>
        <v>0</v>
      </c>
      <c r="D5" s="31">
        <f>IF(ISERROR(SUM(LB_lb_gas_kWh,LB_rest_gas_kWh)/1000),0,SUM(LB_lb_gas_kWh,LB_rest_gas_kWh)/1000)*0.902</f>
        <v>53827.114748836182</v>
      </c>
      <c r="E5" s="18">
        <f>B17*'E Balans VL '!I25/3.6*1000000/100</f>
        <v>14.239638431305103</v>
      </c>
      <c r="F5" s="18">
        <f>B17*('E Balans VL '!L25/3.6*1000000+'E Balans VL '!N25/3.6*1000000)/100</f>
        <v>4932.6285512497971</v>
      </c>
      <c r="G5" s="19"/>
      <c r="H5" s="18"/>
      <c r="I5" s="18"/>
      <c r="J5" s="18">
        <f>('E Balans VL '!D25+'E Balans VL '!E25)/3.6*1000000*landbouw!B17/100</f>
        <v>186.98378474469311</v>
      </c>
      <c r="K5" s="18"/>
      <c r="L5" s="18">
        <f>L6*(-1)</f>
        <v>0</v>
      </c>
      <c r="M5" s="18"/>
      <c r="N5" s="18">
        <f>N6*(-1)</f>
        <v>374.14285714285711</v>
      </c>
      <c r="O5" s="18"/>
      <c r="P5" s="18"/>
      <c r="R5" s="33"/>
    </row>
    <row r="6" spans="1:18">
      <c r="A6" s="17" t="s">
        <v>502</v>
      </c>
      <c r="B6" s="18" t="s">
        <v>211</v>
      </c>
      <c r="C6" s="18">
        <f>'lokale energieproductie'!O92+'lokale energieproductie'!O61</f>
        <v>27887.785714285714</v>
      </c>
      <c r="D6" s="312">
        <f>('lokale energieproductie'!P61+'lokale energieproductie'!P92)*(-1)</f>
        <v>-55401.428571428572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-374.14285714285711</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1511.5313876914768</v>
      </c>
      <c r="C8" s="22">
        <f>C5+C6</f>
        <v>27887.785714285714</v>
      </c>
      <c r="D8" s="22">
        <f>MAX((D5+D6),0)</f>
        <v>0</v>
      </c>
      <c r="E8" s="22">
        <f>MAX((E5+E6),0)</f>
        <v>14.239638431305103</v>
      </c>
      <c r="F8" s="22">
        <f>MAX((F5+F6),0)</f>
        <v>4932.6285512497971</v>
      </c>
      <c r="G8" s="22"/>
      <c r="H8" s="22"/>
      <c r="I8" s="22"/>
      <c r="J8" s="22">
        <f>MAX((J5+J6),0)</f>
        <v>186.98378474469311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0.21678921287909039</v>
      </c>
      <c r="C10" s="32">
        <f ca="1">'EF ele_warmte'!B22</f>
        <v>0.23605292097245073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327.68369977967444</v>
      </c>
      <c r="C12" s="24">
        <f ca="1">C8*C10</f>
        <v>6582.9932773109258</v>
      </c>
      <c r="D12" s="24">
        <f>D8*D10</f>
        <v>0</v>
      </c>
      <c r="E12" s="24">
        <f>E8*E10</f>
        <v>3.2323979239062584</v>
      </c>
      <c r="F12" s="24">
        <f>F8*F10</f>
        <v>1317.0118231836959</v>
      </c>
      <c r="G12" s="24"/>
      <c r="H12" s="24"/>
      <c r="I12" s="24"/>
      <c r="J12" s="24">
        <f>J8*J10</f>
        <v>66.192259799621354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0.2046371963939648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200.12687374311017</v>
      </c>
      <c r="C26" s="250">
        <f>B26*'GWP N2O_CH4'!B5</f>
        <v>4202.6643486053135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57.350634114058941</v>
      </c>
      <c r="C27" s="250">
        <f>B27*'GWP N2O_CH4'!B5</f>
        <v>1204.3633163952377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5.1849450626311659</v>
      </c>
      <c r="C28" s="250">
        <f>B28*'GWP N2O_CH4'!B4</f>
        <v>1607.3329694156614</v>
      </c>
      <c r="D28" s="51"/>
    </row>
    <row r="29" spans="1:4">
      <c r="A29" s="42" t="s">
        <v>277</v>
      </c>
      <c r="B29" s="250">
        <f>B34*'ha_N2O bodem landbouw'!B4</f>
        <v>8.0910402410240643</v>
      </c>
      <c r="C29" s="250">
        <f>B29*'GWP N2O_CH4'!B4</f>
        <v>2508.22247471746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2.1843261569707102E-3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5.066271895973076E-6</v>
      </c>
      <c r="C5" s="447" t="s">
        <v>211</v>
      </c>
      <c r="D5" s="432">
        <f>SUM(D6:D11)</f>
        <v>1.3749110160663299E-5</v>
      </c>
      <c r="E5" s="432">
        <f>SUM(E6:E11)</f>
        <v>7.997428387247936E-4</v>
      </c>
      <c r="F5" s="445" t="s">
        <v>211</v>
      </c>
      <c r="G5" s="432">
        <f>SUM(G6:G11)</f>
        <v>0.15922889015229186</v>
      </c>
      <c r="H5" s="432">
        <f>SUM(H6:H11)</f>
        <v>3.0597572914154908E-2</v>
      </c>
      <c r="I5" s="447" t="s">
        <v>211</v>
      </c>
      <c r="J5" s="447" t="s">
        <v>211</v>
      </c>
      <c r="K5" s="447" t="s">
        <v>211</v>
      </c>
      <c r="L5" s="447" t="s">
        <v>211</v>
      </c>
      <c r="M5" s="432">
        <f>SUM(M6:M11)</f>
        <v>8.4901339191859378E-3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4.3561521438834406E-6</v>
      </c>
      <c r="C6" s="433"/>
      <c r="D6" s="433">
        <f>vkm_2011_GW_PW*SUMIFS(TableVerdeelsleutelVkm[CNG],TableVerdeelsleutelVkm[Voertuigtype],"Lichte voertuigen")*SUMIFS(TableECFTransport[EnergieConsumptieFactor (PJ per km)],TableECFTransport[Index],CONCATENATE($A6,"_CNG_CNG"))</f>
        <v>1.0637796488307019E-5</v>
      </c>
      <c r="E6" s="435">
        <f>vkm_2011_GW_PW*SUMIFS(TableVerdeelsleutelVkm[LPG],TableVerdeelsleutelVkm[Voertuigtype],"Lichte voertuigen")*SUMIFS(TableECFTransport[EnergieConsumptieFactor (PJ per km)],TableECFTransport[Index],CONCATENATE($A6,"_LPG_LPG"))</f>
        <v>6.3055360117300694E-4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9.1153940551956622E-2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2.3888829014466394E-2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5.1518270854390667E-3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4.3570638285559106E-2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1.7579053871817142E-5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1.9410584549605643E-3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7.1011975208963552E-7</v>
      </c>
      <c r="C8" s="433"/>
      <c r="D8" s="435">
        <f>vkm_2011_NGW_PW*SUMIFS(TableVerdeelsleutelVkm[CNG],TableVerdeelsleutelVkm[Voertuigtype],"Lichte voertuigen")*SUMIFS(TableECFTransport[EnergieConsumptieFactor (PJ per km)],TableECFTransport[Index],CONCATENATE($A8,"_CNG_CNG"))</f>
        <v>3.1113136723562805E-6</v>
      </c>
      <c r="E8" s="435">
        <f>vkm_2011_NGW_PW*SUMIFS(TableVerdeelsleutelVkm[LPG],TableVerdeelsleutelVkm[Voertuigtype],"Lichte voertuigen")*SUMIFS(TableECFTransport[EnergieConsumptieFactor (PJ per km)],TableECFTransport[Index],CONCATENATE($A8,"_LPG_LPG"))</f>
        <v>1.6918923755178663E-4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2.3105382954367884E-2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6.6906734138555699E-3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1.3349298911711186E-3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1.398928360408233E-3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4.9143196112732458E-7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6.2318487615188551E-5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1.40729774888141</v>
      </c>
      <c r="C14" s="22"/>
      <c r="D14" s="22">
        <f t="shared" ref="D14:M14" si="0">((D5)*10^9/3600)+D12</f>
        <v>3.8191972668509169</v>
      </c>
      <c r="E14" s="22">
        <f t="shared" si="0"/>
        <v>222.15078853466491</v>
      </c>
      <c r="F14" s="22"/>
      <c r="G14" s="22">
        <f t="shared" si="0"/>
        <v>44230.247264525518</v>
      </c>
      <c r="H14" s="22">
        <f t="shared" si="0"/>
        <v>8499.3258094874745</v>
      </c>
      <c r="I14" s="22"/>
      <c r="J14" s="22"/>
      <c r="K14" s="22"/>
      <c r="L14" s="22"/>
      <c r="M14" s="22">
        <f t="shared" si="0"/>
        <v>2358.3705331072051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0.21678921287909039</v>
      </c>
      <c r="C16" s="57">
        <f ca="1">'EF ele_warmte'!B22</f>
        <v>0.23605292097245073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0.30508697126651668</v>
      </c>
      <c r="C18" s="24"/>
      <c r="D18" s="24">
        <f t="shared" ref="D18:M18" si="1">D14*D16</f>
        <v>0.77147784790388529</v>
      </c>
      <c r="E18" s="24">
        <f t="shared" si="1"/>
        <v>50.42822899736894</v>
      </c>
      <c r="F18" s="24"/>
      <c r="G18" s="24">
        <f t="shared" si="1"/>
        <v>11809.476019628313</v>
      </c>
      <c r="H18" s="24">
        <f t="shared" si="1"/>
        <v>2116.3321265623813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1.0111045657660243E-2</v>
      </c>
      <c r="H50" s="323">
        <f t="shared" si="2"/>
        <v>0</v>
      </c>
      <c r="I50" s="323">
        <f t="shared" si="2"/>
        <v>0</v>
      </c>
      <c r="J50" s="323">
        <f t="shared" si="2"/>
        <v>0</v>
      </c>
      <c r="K50" s="323">
        <f t="shared" si="2"/>
        <v>0</v>
      </c>
      <c r="L50" s="323">
        <f t="shared" si="2"/>
        <v>0</v>
      </c>
      <c r="M50" s="323">
        <f t="shared" si="2"/>
        <v>4.4399269404097659E-4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1.0111045657660243E-2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4.4399269404097659E-4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2808.6237937945116</v>
      </c>
      <c r="H54" s="22">
        <f t="shared" si="3"/>
        <v>0</v>
      </c>
      <c r="I54" s="22">
        <f t="shared" si="3"/>
        <v>0</v>
      </c>
      <c r="J54" s="22">
        <f t="shared" si="3"/>
        <v>0</v>
      </c>
      <c r="K54" s="22">
        <f t="shared" si="3"/>
        <v>0</v>
      </c>
      <c r="L54" s="22">
        <f t="shared" si="3"/>
        <v>0</v>
      </c>
      <c r="M54" s="22">
        <f t="shared" si="3"/>
        <v>123.33130390027127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0.21678921287909039</v>
      </c>
      <c r="C56" s="57">
        <f ca="1">'EF ele_warmte'!B22</f>
        <v>0.23605292097245073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749.90255294313465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15541.169303537541</v>
      </c>
      <c r="D10" s="688">
        <f ca="1">tertiair!C16</f>
        <v>0</v>
      </c>
      <c r="E10" s="688">
        <f ca="1">tertiair!D16</f>
        <v>19288.911360456481</v>
      </c>
      <c r="F10" s="688">
        <f>tertiair!E16</f>
        <v>172.58622654172288</v>
      </c>
      <c r="G10" s="688">
        <f ca="1">tertiair!F16</f>
        <v>2890.40615184539</v>
      </c>
      <c r="H10" s="688">
        <f>tertiair!G16</f>
        <v>0</v>
      </c>
      <c r="I10" s="688">
        <f>tertiair!H16</f>
        <v>0</v>
      </c>
      <c r="J10" s="688">
        <f>tertiair!I16</f>
        <v>0</v>
      </c>
      <c r="K10" s="688">
        <f>tertiair!J16</f>
        <v>0</v>
      </c>
      <c r="L10" s="688">
        <f>tertiair!K16</f>
        <v>0</v>
      </c>
      <c r="M10" s="688">
        <f ca="1">tertiair!L16</f>
        <v>0</v>
      </c>
      <c r="N10" s="688">
        <f>tertiair!M16</f>
        <v>0</v>
      </c>
      <c r="O10" s="688">
        <f ca="1">tertiair!N16</f>
        <v>838.18030535792855</v>
      </c>
      <c r="P10" s="688">
        <f>tertiair!O16</f>
        <v>0</v>
      </c>
      <c r="Q10" s="689">
        <f>tertiair!P16</f>
        <v>0</v>
      </c>
      <c r="R10" s="691">
        <f ca="1">SUM(C10:Q10)</f>
        <v>38731.253347739061</v>
      </c>
      <c r="S10" s="68"/>
    </row>
    <row r="11" spans="1:19" s="457" customFormat="1">
      <c r="A11" s="803" t="s">
        <v>225</v>
      </c>
      <c r="B11" s="808"/>
      <c r="C11" s="688">
        <f>huishoudens!B8</f>
        <v>32778.906970758078</v>
      </c>
      <c r="D11" s="688">
        <f>huishoudens!C8</f>
        <v>0</v>
      </c>
      <c r="E11" s="688">
        <f>huishoudens!D8</f>
        <v>88585.890429092629</v>
      </c>
      <c r="F11" s="688">
        <f>huishoudens!E8</f>
        <v>2306.7540381214285</v>
      </c>
      <c r="G11" s="688">
        <f>huishoudens!F8</f>
        <v>3940.0809042115598</v>
      </c>
      <c r="H11" s="688">
        <f>huishoudens!G8</f>
        <v>0</v>
      </c>
      <c r="I11" s="688">
        <f>huishoudens!H8</f>
        <v>0</v>
      </c>
      <c r="J11" s="688">
        <f>huishoudens!I8</f>
        <v>0</v>
      </c>
      <c r="K11" s="688">
        <f>huishoudens!J8</f>
        <v>0</v>
      </c>
      <c r="L11" s="688">
        <f>huishoudens!K8</f>
        <v>0</v>
      </c>
      <c r="M11" s="688">
        <f>huishoudens!L8</f>
        <v>0</v>
      </c>
      <c r="N11" s="688">
        <f>huishoudens!M8</f>
        <v>0</v>
      </c>
      <c r="O11" s="688">
        <f>huishoudens!N8</f>
        <v>28466.870170581289</v>
      </c>
      <c r="P11" s="688">
        <f>huishoudens!O8</f>
        <v>175.09333333333336</v>
      </c>
      <c r="Q11" s="689">
        <f>huishoudens!P8</f>
        <v>324.13333333333333</v>
      </c>
      <c r="R11" s="691">
        <f>SUM(C11:Q11)</f>
        <v>156577.72917943166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247265.12718362393</v>
      </c>
      <c r="D13" s="688">
        <f>industrie!C18</f>
        <v>0</v>
      </c>
      <c r="E13" s="688">
        <f>industrie!D18</f>
        <v>381892.03479302977</v>
      </c>
      <c r="F13" s="688">
        <f>industrie!E18</f>
        <v>1762.6408111551073</v>
      </c>
      <c r="G13" s="688">
        <f>industrie!F18</f>
        <v>38247.869823458772</v>
      </c>
      <c r="H13" s="688">
        <f>industrie!G18</f>
        <v>0</v>
      </c>
      <c r="I13" s="688">
        <f>industrie!H18</f>
        <v>0</v>
      </c>
      <c r="J13" s="688">
        <f>industrie!I18</f>
        <v>0</v>
      </c>
      <c r="K13" s="688">
        <f>industrie!J18</f>
        <v>34007.870863904864</v>
      </c>
      <c r="L13" s="688">
        <f>industrie!K18</f>
        <v>0</v>
      </c>
      <c r="M13" s="688">
        <f>industrie!L18</f>
        <v>0</v>
      </c>
      <c r="N13" s="688">
        <f>industrie!M18</f>
        <v>0</v>
      </c>
      <c r="O13" s="688">
        <f>industrie!N18</f>
        <v>1502.0363621966621</v>
      </c>
      <c r="P13" s="688">
        <f>industrie!O18</f>
        <v>0</v>
      </c>
      <c r="Q13" s="689">
        <f>industrie!P18</f>
        <v>0</v>
      </c>
      <c r="R13" s="691">
        <f>SUM(C13:Q13)</f>
        <v>704677.57983736903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295585.20345791953</v>
      </c>
      <c r="D16" s="721">
        <f t="shared" ref="D16:R16" ca="1" si="0">SUM(D9:D15)</f>
        <v>0</v>
      </c>
      <c r="E16" s="721">
        <f t="shared" ca="1" si="0"/>
        <v>489766.83658257889</v>
      </c>
      <c r="F16" s="721">
        <f t="shared" si="0"/>
        <v>4241.9810758182584</v>
      </c>
      <c r="G16" s="721">
        <f t="shared" ca="1" si="0"/>
        <v>45078.356879515719</v>
      </c>
      <c r="H16" s="721">
        <f t="shared" si="0"/>
        <v>0</v>
      </c>
      <c r="I16" s="721">
        <f t="shared" si="0"/>
        <v>0</v>
      </c>
      <c r="J16" s="721">
        <f t="shared" si="0"/>
        <v>0</v>
      </c>
      <c r="K16" s="721">
        <f t="shared" si="0"/>
        <v>34007.870863904864</v>
      </c>
      <c r="L16" s="721">
        <f t="shared" si="0"/>
        <v>0</v>
      </c>
      <c r="M16" s="721">
        <f t="shared" ca="1" si="0"/>
        <v>0</v>
      </c>
      <c r="N16" s="721">
        <f t="shared" si="0"/>
        <v>0</v>
      </c>
      <c r="O16" s="721">
        <f t="shared" ca="1" si="0"/>
        <v>30807.086838135878</v>
      </c>
      <c r="P16" s="721">
        <f t="shared" si="0"/>
        <v>175.09333333333336</v>
      </c>
      <c r="Q16" s="721">
        <f t="shared" si="0"/>
        <v>324.13333333333333</v>
      </c>
      <c r="R16" s="721">
        <f t="shared" ca="1" si="0"/>
        <v>899986.56236453971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2808.6237937945116</v>
      </c>
      <c r="I19" s="688">
        <f>transport!H54</f>
        <v>0</v>
      </c>
      <c r="J19" s="688">
        <f>transport!I54</f>
        <v>0</v>
      </c>
      <c r="K19" s="688">
        <f>transport!J54</f>
        <v>0</v>
      </c>
      <c r="L19" s="688">
        <f>transport!K54</f>
        <v>0</v>
      </c>
      <c r="M19" s="688">
        <f>transport!L54</f>
        <v>0</v>
      </c>
      <c r="N19" s="688">
        <f>transport!M54</f>
        <v>123.33130390027127</v>
      </c>
      <c r="O19" s="688">
        <f>transport!N54</f>
        <v>0</v>
      </c>
      <c r="P19" s="688">
        <f>transport!O54</f>
        <v>0</v>
      </c>
      <c r="Q19" s="689">
        <f>transport!P54</f>
        <v>0</v>
      </c>
      <c r="R19" s="691">
        <f>SUM(C19:Q19)</f>
        <v>2931.955097694783</v>
      </c>
      <c r="S19" s="68"/>
    </row>
    <row r="20" spans="1:19" s="457" customFormat="1">
      <c r="A20" s="803" t="s">
        <v>307</v>
      </c>
      <c r="B20" s="808"/>
      <c r="C20" s="688">
        <f>transport!B14</f>
        <v>1.40729774888141</v>
      </c>
      <c r="D20" s="688">
        <f>transport!C14</f>
        <v>0</v>
      </c>
      <c r="E20" s="688">
        <f>transport!D14</f>
        <v>3.8191972668509169</v>
      </c>
      <c r="F20" s="688">
        <f>transport!E14</f>
        <v>222.15078853466491</v>
      </c>
      <c r="G20" s="688">
        <f>transport!F14</f>
        <v>0</v>
      </c>
      <c r="H20" s="688">
        <f>transport!G14</f>
        <v>44230.247264525518</v>
      </c>
      <c r="I20" s="688">
        <f>transport!H14</f>
        <v>8499.3258094874745</v>
      </c>
      <c r="J20" s="688">
        <f>transport!I14</f>
        <v>0</v>
      </c>
      <c r="K20" s="688">
        <f>transport!J14</f>
        <v>0</v>
      </c>
      <c r="L20" s="688">
        <f>transport!K14</f>
        <v>0</v>
      </c>
      <c r="M20" s="688">
        <f>transport!L14</f>
        <v>0</v>
      </c>
      <c r="N20" s="688">
        <f>transport!M14</f>
        <v>2358.3705331072051</v>
      </c>
      <c r="O20" s="688">
        <f>transport!N14</f>
        <v>0</v>
      </c>
      <c r="P20" s="688">
        <f>transport!O14</f>
        <v>0</v>
      </c>
      <c r="Q20" s="689">
        <f>transport!P14</f>
        <v>0</v>
      </c>
      <c r="R20" s="691">
        <f>SUM(C20:Q20)</f>
        <v>55315.320890670599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1.40729774888141</v>
      </c>
      <c r="D22" s="806">
        <f t="shared" ref="D22:R22" si="1">SUM(D18:D21)</f>
        <v>0</v>
      </c>
      <c r="E22" s="806">
        <f t="shared" si="1"/>
        <v>3.8191972668509169</v>
      </c>
      <c r="F22" s="806">
        <f t="shared" si="1"/>
        <v>222.15078853466491</v>
      </c>
      <c r="G22" s="806">
        <f t="shared" si="1"/>
        <v>0</v>
      </c>
      <c r="H22" s="806">
        <f t="shared" si="1"/>
        <v>47038.87105832003</v>
      </c>
      <c r="I22" s="806">
        <f t="shared" si="1"/>
        <v>8499.3258094874745</v>
      </c>
      <c r="J22" s="806">
        <f t="shared" si="1"/>
        <v>0</v>
      </c>
      <c r="K22" s="806">
        <f t="shared" si="1"/>
        <v>0</v>
      </c>
      <c r="L22" s="806">
        <f t="shared" si="1"/>
        <v>0</v>
      </c>
      <c r="M22" s="806">
        <f t="shared" si="1"/>
        <v>0</v>
      </c>
      <c r="N22" s="806">
        <f t="shared" si="1"/>
        <v>2481.7018370074766</v>
      </c>
      <c r="O22" s="806">
        <f t="shared" si="1"/>
        <v>0</v>
      </c>
      <c r="P22" s="806">
        <f t="shared" si="1"/>
        <v>0</v>
      </c>
      <c r="Q22" s="806">
        <f t="shared" si="1"/>
        <v>0</v>
      </c>
      <c r="R22" s="806">
        <f t="shared" si="1"/>
        <v>58247.275988365378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1511.5313876914768</v>
      </c>
      <c r="D24" s="688">
        <f>+landbouw!C8</f>
        <v>27887.785714285714</v>
      </c>
      <c r="E24" s="688">
        <f>+landbouw!D8</f>
        <v>0</v>
      </c>
      <c r="F24" s="688">
        <f>+landbouw!E8</f>
        <v>14.239638431305103</v>
      </c>
      <c r="G24" s="688">
        <f>+landbouw!F8</f>
        <v>4932.6285512497971</v>
      </c>
      <c r="H24" s="688">
        <f>+landbouw!G8</f>
        <v>0</v>
      </c>
      <c r="I24" s="688">
        <f>+landbouw!H8</f>
        <v>0</v>
      </c>
      <c r="J24" s="688">
        <f>+landbouw!I8</f>
        <v>0</v>
      </c>
      <c r="K24" s="688">
        <f>+landbouw!J8</f>
        <v>186.98378474469311</v>
      </c>
      <c r="L24" s="688">
        <f>+landbouw!K8</f>
        <v>0</v>
      </c>
      <c r="M24" s="688">
        <f>+landbouw!L8</f>
        <v>0</v>
      </c>
      <c r="N24" s="688">
        <f>+landbouw!M8</f>
        <v>0</v>
      </c>
      <c r="O24" s="688">
        <f>+landbouw!N8</f>
        <v>0</v>
      </c>
      <c r="P24" s="688">
        <f>+landbouw!O8</f>
        <v>0</v>
      </c>
      <c r="Q24" s="689">
        <f>+landbouw!P8</f>
        <v>0</v>
      </c>
      <c r="R24" s="691">
        <f>SUM(C24:Q24)</f>
        <v>34533.169076402985</v>
      </c>
      <c r="S24" s="68"/>
    </row>
    <row r="25" spans="1:19" s="457" customFormat="1" ht="15" thickBot="1">
      <c r="A25" s="825" t="s">
        <v>912</v>
      </c>
      <c r="B25" s="1001"/>
      <c r="C25" s="1002">
        <f>IF(Onbekend_ele_kWh="---",0,Onbekend_ele_kWh)/1000+IF(REST_rest_ele_kWh="---",0,REST_rest_ele_kWh)/1000</f>
        <v>1328.03282622702</v>
      </c>
      <c r="D25" s="1002"/>
      <c r="E25" s="1002">
        <f>IF(onbekend_gas_kWh="---",0,onbekend_gas_kWh)/1000+IF(REST_rest_gas_kWh="---",0,REST_rest_gas_kWh)/1000</f>
        <v>2992.4515304391002</v>
      </c>
      <c r="F25" s="1002"/>
      <c r="G25" s="1002"/>
      <c r="H25" s="1002"/>
      <c r="I25" s="1002"/>
      <c r="J25" s="1002"/>
      <c r="K25" s="1002"/>
      <c r="L25" s="1002"/>
      <c r="M25" s="1002"/>
      <c r="N25" s="1002"/>
      <c r="O25" s="1002"/>
      <c r="P25" s="1002"/>
      <c r="Q25" s="1003"/>
      <c r="R25" s="691">
        <f>SUM(C25:Q25)</f>
        <v>4320.4843566661202</v>
      </c>
      <c r="S25" s="68"/>
    </row>
    <row r="26" spans="1:19" s="457" customFormat="1" ht="15.75" thickBot="1">
      <c r="A26" s="694" t="s">
        <v>913</v>
      </c>
      <c r="B26" s="811"/>
      <c r="C26" s="806">
        <f>SUM(C24:C25)</f>
        <v>2839.5642139184965</v>
      </c>
      <c r="D26" s="806">
        <f t="shared" ref="D26:R26" si="2">SUM(D24:D25)</f>
        <v>27887.785714285714</v>
      </c>
      <c r="E26" s="806">
        <f t="shared" si="2"/>
        <v>2992.4515304391002</v>
      </c>
      <c r="F26" s="806">
        <f t="shared" si="2"/>
        <v>14.239638431305103</v>
      </c>
      <c r="G26" s="806">
        <f t="shared" si="2"/>
        <v>4932.6285512497971</v>
      </c>
      <c r="H26" s="806">
        <f t="shared" si="2"/>
        <v>0</v>
      </c>
      <c r="I26" s="806">
        <f t="shared" si="2"/>
        <v>0</v>
      </c>
      <c r="J26" s="806">
        <f t="shared" si="2"/>
        <v>0</v>
      </c>
      <c r="K26" s="806">
        <f t="shared" si="2"/>
        <v>186.98378474469311</v>
      </c>
      <c r="L26" s="806">
        <f t="shared" si="2"/>
        <v>0</v>
      </c>
      <c r="M26" s="806">
        <f t="shared" si="2"/>
        <v>0</v>
      </c>
      <c r="N26" s="806">
        <f t="shared" si="2"/>
        <v>0</v>
      </c>
      <c r="O26" s="806">
        <f t="shared" si="2"/>
        <v>0</v>
      </c>
      <c r="P26" s="806">
        <f t="shared" si="2"/>
        <v>0</v>
      </c>
      <c r="Q26" s="806">
        <f t="shared" si="2"/>
        <v>0</v>
      </c>
      <c r="R26" s="806">
        <f t="shared" si="2"/>
        <v>38853.653433069107</v>
      </c>
      <c r="S26" s="68"/>
    </row>
    <row r="27" spans="1:19" s="457" customFormat="1" ht="17.25" thickTop="1" thickBot="1">
      <c r="A27" s="695" t="s">
        <v>116</v>
      </c>
      <c r="B27" s="798"/>
      <c r="C27" s="696">
        <f ca="1">C22+C16+C26</f>
        <v>298426.17496958695</v>
      </c>
      <c r="D27" s="696">
        <f t="shared" ref="D27:R27" ca="1" si="3">D22+D16+D26</f>
        <v>27887.785714285714</v>
      </c>
      <c r="E27" s="696">
        <f t="shared" ca="1" si="3"/>
        <v>492763.1073102848</v>
      </c>
      <c r="F27" s="696">
        <f t="shared" si="3"/>
        <v>4478.3715027842281</v>
      </c>
      <c r="G27" s="696">
        <f t="shared" ca="1" si="3"/>
        <v>50010.985430765519</v>
      </c>
      <c r="H27" s="696">
        <f t="shared" si="3"/>
        <v>47038.87105832003</v>
      </c>
      <c r="I27" s="696">
        <f t="shared" si="3"/>
        <v>8499.3258094874745</v>
      </c>
      <c r="J27" s="696">
        <f t="shared" si="3"/>
        <v>0</v>
      </c>
      <c r="K27" s="696">
        <f t="shared" si="3"/>
        <v>34194.854648649554</v>
      </c>
      <c r="L27" s="696">
        <f t="shared" si="3"/>
        <v>0</v>
      </c>
      <c r="M27" s="696">
        <f t="shared" ca="1" si="3"/>
        <v>0</v>
      </c>
      <c r="N27" s="696">
        <f t="shared" si="3"/>
        <v>2481.7018370074766</v>
      </c>
      <c r="O27" s="696">
        <f t="shared" ca="1" si="3"/>
        <v>30807.086838135878</v>
      </c>
      <c r="P27" s="696">
        <f t="shared" si="3"/>
        <v>175.09333333333336</v>
      </c>
      <c r="Q27" s="696">
        <f t="shared" si="3"/>
        <v>324.13333333333333</v>
      </c>
      <c r="R27" s="696">
        <f t="shared" ca="1" si="3"/>
        <v>997087.49178597424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3369.1578605345853</v>
      </c>
      <c r="D40" s="688">
        <f ca="1">tertiair!C20</f>
        <v>0</v>
      </c>
      <c r="E40" s="688">
        <f ca="1">tertiair!D20</f>
        <v>3896.3600948122094</v>
      </c>
      <c r="F40" s="688">
        <f>tertiair!E20</f>
        <v>39.177073424971098</v>
      </c>
      <c r="G40" s="688">
        <f ca="1">tertiair!F20</f>
        <v>771.73844254271921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8076.4334713144854</v>
      </c>
    </row>
    <row r="41" spans="1:18">
      <c r="A41" s="816" t="s">
        <v>225</v>
      </c>
      <c r="B41" s="823"/>
      <c r="C41" s="688">
        <f ca="1">huishoudens!B12</f>
        <v>7106.1134412275733</v>
      </c>
      <c r="D41" s="688">
        <f ca="1">huishoudens!C12</f>
        <v>0</v>
      </c>
      <c r="E41" s="688">
        <f>huishoudens!D12</f>
        <v>17894.349866676712</v>
      </c>
      <c r="F41" s="688">
        <f>huishoudens!E12</f>
        <v>523.63316665356433</v>
      </c>
      <c r="G41" s="688">
        <f>huishoudens!F12</f>
        <v>1052.0016014244866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26576.098075982332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53604.412294586007</v>
      </c>
      <c r="D43" s="688">
        <f ca="1">industrie!C22</f>
        <v>0</v>
      </c>
      <c r="E43" s="688">
        <f>industrie!D22</f>
        <v>77142.191028192014</v>
      </c>
      <c r="F43" s="688">
        <f>industrie!E22</f>
        <v>400.11946413220937</v>
      </c>
      <c r="G43" s="688">
        <f>industrie!F22</f>
        <v>10212.181242863493</v>
      </c>
      <c r="H43" s="688">
        <f>industrie!G22</f>
        <v>0</v>
      </c>
      <c r="I43" s="688">
        <f>industrie!H22</f>
        <v>0</v>
      </c>
      <c r="J43" s="688">
        <f>industrie!I22</f>
        <v>0</v>
      </c>
      <c r="K43" s="688">
        <f>industrie!J22</f>
        <v>12038.786285822322</v>
      </c>
      <c r="L43" s="688">
        <f>industrie!K22</f>
        <v>0</v>
      </c>
      <c r="M43" s="688">
        <f>industrie!L22</f>
        <v>0</v>
      </c>
      <c r="N43" s="688">
        <f>industrie!M22</f>
        <v>0</v>
      </c>
      <c r="O43" s="688">
        <f>industrie!N22</f>
        <v>0</v>
      </c>
      <c r="P43" s="688">
        <f>industrie!O22</f>
        <v>0</v>
      </c>
      <c r="Q43" s="763">
        <f>industrie!P22</f>
        <v>0</v>
      </c>
      <c r="R43" s="843">
        <f t="shared" ca="1" si="4"/>
        <v>153397.69031559603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64079.683596348164</v>
      </c>
      <c r="D46" s="721">
        <f t="shared" ref="D46:Q46" ca="1" si="5">SUM(D39:D45)</f>
        <v>0</v>
      </c>
      <c r="E46" s="721">
        <f t="shared" ca="1" si="5"/>
        <v>98932.900989680929</v>
      </c>
      <c r="F46" s="721">
        <f t="shared" si="5"/>
        <v>962.92970421074483</v>
      </c>
      <c r="G46" s="721">
        <f t="shared" ca="1" si="5"/>
        <v>12035.921286830699</v>
      </c>
      <c r="H46" s="721">
        <f t="shared" si="5"/>
        <v>0</v>
      </c>
      <c r="I46" s="721">
        <f t="shared" si="5"/>
        <v>0</v>
      </c>
      <c r="J46" s="721">
        <f t="shared" si="5"/>
        <v>0</v>
      </c>
      <c r="K46" s="721">
        <f t="shared" si="5"/>
        <v>12038.786285822322</v>
      </c>
      <c r="L46" s="721">
        <f t="shared" si="5"/>
        <v>0</v>
      </c>
      <c r="M46" s="721">
        <f t="shared" ca="1" si="5"/>
        <v>0</v>
      </c>
      <c r="N46" s="721">
        <f t="shared" si="5"/>
        <v>0</v>
      </c>
      <c r="O46" s="721">
        <f t="shared" ca="1" si="5"/>
        <v>0</v>
      </c>
      <c r="P46" s="721">
        <f t="shared" si="5"/>
        <v>0</v>
      </c>
      <c r="Q46" s="721">
        <f t="shared" si="5"/>
        <v>0</v>
      </c>
      <c r="R46" s="721">
        <f ca="1">SUM(R39:R45)</f>
        <v>188050.22186289285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749.90255294313465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749.90255294313465</v>
      </c>
    </row>
    <row r="50" spans="1:18">
      <c r="A50" s="819" t="s">
        <v>307</v>
      </c>
      <c r="B50" s="829"/>
      <c r="C50" s="1008">
        <f ca="1">transport!B18</f>
        <v>0.30508697126651668</v>
      </c>
      <c r="D50" s="1008">
        <f>transport!C18</f>
        <v>0</v>
      </c>
      <c r="E50" s="1008">
        <f>transport!D18</f>
        <v>0.77147784790388529</v>
      </c>
      <c r="F50" s="1008">
        <f>transport!E18</f>
        <v>50.42822899736894</v>
      </c>
      <c r="G50" s="1008">
        <f>transport!F18</f>
        <v>0</v>
      </c>
      <c r="H50" s="1008">
        <f>transport!G18</f>
        <v>11809.476019628313</v>
      </c>
      <c r="I50" s="1008">
        <f>transport!H18</f>
        <v>2116.3321265623813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13977.312940007234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0.30508697126651668</v>
      </c>
      <c r="D52" s="721">
        <f t="shared" ref="D52:Q52" ca="1" si="6">SUM(D48:D51)</f>
        <v>0</v>
      </c>
      <c r="E52" s="721">
        <f t="shared" si="6"/>
        <v>0.77147784790388529</v>
      </c>
      <c r="F52" s="721">
        <f t="shared" si="6"/>
        <v>50.42822899736894</v>
      </c>
      <c r="G52" s="721">
        <f t="shared" si="6"/>
        <v>0</v>
      </c>
      <c r="H52" s="721">
        <f t="shared" si="6"/>
        <v>12559.378572571448</v>
      </c>
      <c r="I52" s="721">
        <f t="shared" si="6"/>
        <v>2116.3321265623813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14727.215492950369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327.68369977967444</v>
      </c>
      <c r="D54" s="1008">
        <f ca="1">+landbouw!C12</f>
        <v>6582.9932773109258</v>
      </c>
      <c r="E54" s="1008">
        <f>+landbouw!D12</f>
        <v>0</v>
      </c>
      <c r="F54" s="1008">
        <f>+landbouw!E12</f>
        <v>3.2323979239062584</v>
      </c>
      <c r="G54" s="1008">
        <f>+landbouw!F12</f>
        <v>1317.0118231836959</v>
      </c>
      <c r="H54" s="1008">
        <f>+landbouw!G12</f>
        <v>0</v>
      </c>
      <c r="I54" s="1008">
        <f>+landbouw!H12</f>
        <v>0</v>
      </c>
      <c r="J54" s="1008">
        <f>+landbouw!I12</f>
        <v>0</v>
      </c>
      <c r="K54" s="1008">
        <f>+landbouw!J12</f>
        <v>66.192259799621354</v>
      </c>
      <c r="L54" s="1008">
        <f>+landbouw!K12</f>
        <v>0</v>
      </c>
      <c r="M54" s="1008">
        <f>+landbouw!L12</f>
        <v>0</v>
      </c>
      <c r="N54" s="1008">
        <f>+landbouw!M12</f>
        <v>0</v>
      </c>
      <c r="O54" s="1008">
        <f>+landbouw!N12</f>
        <v>0</v>
      </c>
      <c r="P54" s="1008">
        <f>+landbouw!O12</f>
        <v>0</v>
      </c>
      <c r="Q54" s="1009">
        <f>+landbouw!P12</f>
        <v>0</v>
      </c>
      <c r="R54" s="720">
        <f ca="1">SUM(C54:Q54)</f>
        <v>8297.1134579978243</v>
      </c>
    </row>
    <row r="55" spans="1:18" ht="15" thickBot="1">
      <c r="A55" s="819" t="s">
        <v>912</v>
      </c>
      <c r="B55" s="829"/>
      <c r="C55" s="1008">
        <f ca="1">C25*'EF ele_warmte'!B12</f>
        <v>287.90319107534947</v>
      </c>
      <c r="D55" s="1008"/>
      <c r="E55" s="1008">
        <f>E25*EF_CO2_aardgas</f>
        <v>604.47520914869824</v>
      </c>
      <c r="F55" s="1008"/>
      <c r="G55" s="1008"/>
      <c r="H55" s="1008"/>
      <c r="I55" s="1008"/>
      <c r="J55" s="1008"/>
      <c r="K55" s="1008"/>
      <c r="L55" s="1008"/>
      <c r="M55" s="1008"/>
      <c r="N55" s="1008"/>
      <c r="O55" s="1008"/>
      <c r="P55" s="1008"/>
      <c r="Q55" s="1009"/>
      <c r="R55" s="720">
        <f ca="1">SUM(C55:Q55)</f>
        <v>892.37840022404771</v>
      </c>
    </row>
    <row r="56" spans="1:18" ht="15.75" thickBot="1">
      <c r="A56" s="817" t="s">
        <v>913</v>
      </c>
      <c r="B56" s="830"/>
      <c r="C56" s="721">
        <f ca="1">SUM(C54:C55)</f>
        <v>615.58689085502397</v>
      </c>
      <c r="D56" s="721">
        <f t="shared" ref="D56:Q56" ca="1" si="7">SUM(D54:D55)</f>
        <v>6582.9932773109258</v>
      </c>
      <c r="E56" s="721">
        <f t="shared" si="7"/>
        <v>604.47520914869824</v>
      </c>
      <c r="F56" s="721">
        <f t="shared" si="7"/>
        <v>3.2323979239062584</v>
      </c>
      <c r="G56" s="721">
        <f t="shared" si="7"/>
        <v>1317.0118231836959</v>
      </c>
      <c r="H56" s="721">
        <f t="shared" si="7"/>
        <v>0</v>
      </c>
      <c r="I56" s="721">
        <f t="shared" si="7"/>
        <v>0</v>
      </c>
      <c r="J56" s="721">
        <f t="shared" si="7"/>
        <v>0</v>
      </c>
      <c r="K56" s="721">
        <f t="shared" si="7"/>
        <v>66.192259799621354</v>
      </c>
      <c r="L56" s="721">
        <f t="shared" si="7"/>
        <v>0</v>
      </c>
      <c r="M56" s="721">
        <f t="shared" si="7"/>
        <v>0</v>
      </c>
      <c r="N56" s="721">
        <f t="shared" si="7"/>
        <v>0</v>
      </c>
      <c r="O56" s="721">
        <f t="shared" si="7"/>
        <v>0</v>
      </c>
      <c r="P56" s="721">
        <f t="shared" si="7"/>
        <v>0</v>
      </c>
      <c r="Q56" s="722">
        <f t="shared" si="7"/>
        <v>0</v>
      </c>
      <c r="R56" s="723">
        <f ca="1">SUM(R54:R55)</f>
        <v>9189.4918582218725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64695.575574174458</v>
      </c>
      <c r="D61" s="729">
        <f t="shared" ref="D61:Q61" ca="1" si="8">D46+D52+D56</f>
        <v>6582.9932773109258</v>
      </c>
      <c r="E61" s="729">
        <f t="shared" ca="1" si="8"/>
        <v>99538.14767667753</v>
      </c>
      <c r="F61" s="729">
        <f t="shared" si="8"/>
        <v>1016.59033113202</v>
      </c>
      <c r="G61" s="729">
        <f t="shared" ca="1" si="8"/>
        <v>13352.933110014394</v>
      </c>
      <c r="H61" s="729">
        <f t="shared" si="8"/>
        <v>12559.378572571448</v>
      </c>
      <c r="I61" s="729">
        <f t="shared" si="8"/>
        <v>2116.3321265623813</v>
      </c>
      <c r="J61" s="729">
        <f t="shared" si="8"/>
        <v>0</v>
      </c>
      <c r="K61" s="729">
        <f t="shared" si="8"/>
        <v>12104.978545621943</v>
      </c>
      <c r="L61" s="729">
        <f t="shared" si="8"/>
        <v>0</v>
      </c>
      <c r="M61" s="729">
        <f t="shared" ca="1" si="8"/>
        <v>0</v>
      </c>
      <c r="N61" s="729">
        <f t="shared" si="8"/>
        <v>0</v>
      </c>
      <c r="O61" s="729">
        <f t="shared" ca="1" si="8"/>
        <v>0</v>
      </c>
      <c r="P61" s="729">
        <f t="shared" si="8"/>
        <v>0</v>
      </c>
      <c r="Q61" s="729">
        <f t="shared" si="8"/>
        <v>0</v>
      </c>
      <c r="R61" s="729">
        <f ca="1">R46+R52+R56</f>
        <v>211966.92921406511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0.21678921287909036</v>
      </c>
      <c r="D63" s="773">
        <f t="shared" ca="1" si="9"/>
        <v>0.23605292097245073</v>
      </c>
      <c r="E63" s="1010">
        <f t="shared" ca="1" si="9"/>
        <v>0.20200000000000001</v>
      </c>
      <c r="F63" s="773">
        <f t="shared" si="9"/>
        <v>0.22700000000000004</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7015.6739286058837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130.94999999999999</v>
      </c>
      <c r="C76" s="739">
        <f>'lokale energieproductie'!B8*IFERROR(SUM(D76:H76)/SUM(D76:O76),0)</f>
        <v>19390.5</v>
      </c>
      <c r="D76" s="1020">
        <f>'lokale energieproductie'!C8</f>
        <v>22812.352941176472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154.05882352941177</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4608.0952941176474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7146.6239286058835</v>
      </c>
      <c r="C78" s="744">
        <f>SUM(C72:C77)</f>
        <v>19390.5</v>
      </c>
      <c r="D78" s="745">
        <f t="shared" ref="D78:H78" si="10">SUM(D76:D77)</f>
        <v>22812.352941176472</v>
      </c>
      <c r="E78" s="745">
        <f t="shared" si="10"/>
        <v>0</v>
      </c>
      <c r="F78" s="745">
        <f t="shared" si="10"/>
        <v>0</v>
      </c>
      <c r="G78" s="745">
        <f t="shared" si="10"/>
        <v>0</v>
      </c>
      <c r="H78" s="745">
        <f t="shared" si="10"/>
        <v>0</v>
      </c>
      <c r="I78" s="745">
        <f>SUM(I76:I77)</f>
        <v>0</v>
      </c>
      <c r="J78" s="745">
        <f>SUM(J76:J77)</f>
        <v>154.05882352941177</v>
      </c>
      <c r="K78" s="745">
        <f t="shared" ref="K78:L78" si="11">SUM(K76:K77)</f>
        <v>0</v>
      </c>
      <c r="L78" s="745">
        <f t="shared" si="11"/>
        <v>0</v>
      </c>
      <c r="M78" s="745">
        <f>SUM(M76:M77)</f>
        <v>0</v>
      </c>
      <c r="N78" s="745">
        <f>SUM(N76:N77)</f>
        <v>0</v>
      </c>
      <c r="O78" s="854">
        <f>SUM(O76:O77)</f>
        <v>0</v>
      </c>
      <c r="P78" s="746">
        <v>0</v>
      </c>
      <c r="Q78" s="746">
        <f>SUM(Q76:Q77)</f>
        <v>4608.0952941176474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187.07142857142856</v>
      </c>
      <c r="C87" s="755">
        <f>'lokale energieproductie'!B17*IFERROR(SUM(D87:H87)/SUM(D87:O87),0)</f>
        <v>27700.714285714286</v>
      </c>
      <c r="D87" s="766">
        <f>'lokale energieproductie'!C17</f>
        <v>32589.075630252104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220.08403361344537</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6582.9932773109258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187.07142857142856</v>
      </c>
      <c r="C90" s="744">
        <f>SUM(C87:C89)</f>
        <v>27700.714285714286</v>
      </c>
      <c r="D90" s="744">
        <f t="shared" ref="D90:H90" si="12">SUM(D87:D89)</f>
        <v>32589.075630252104</v>
      </c>
      <c r="E90" s="744">
        <f t="shared" si="12"/>
        <v>0</v>
      </c>
      <c r="F90" s="744">
        <f t="shared" si="12"/>
        <v>0</v>
      </c>
      <c r="G90" s="744">
        <f t="shared" si="12"/>
        <v>0</v>
      </c>
      <c r="H90" s="744">
        <f t="shared" si="12"/>
        <v>0</v>
      </c>
      <c r="I90" s="744">
        <f>SUM(I87:I89)</f>
        <v>0</v>
      </c>
      <c r="J90" s="744">
        <f>SUM(J87:J89)</f>
        <v>220.08403361344537</v>
      </c>
      <c r="K90" s="744">
        <f t="shared" ref="K90:L90" si="13">SUM(K87:K89)</f>
        <v>0</v>
      </c>
      <c r="L90" s="744">
        <f t="shared" si="13"/>
        <v>0</v>
      </c>
      <c r="M90" s="744">
        <f>SUM(M87:M89)</f>
        <v>0</v>
      </c>
      <c r="N90" s="744">
        <f>SUM(N87:N89)</f>
        <v>0</v>
      </c>
      <c r="O90" s="744">
        <f>SUM(O87:O89)</f>
        <v>0</v>
      </c>
      <c r="P90" s="744">
        <v>0</v>
      </c>
      <c r="Q90" s="744">
        <f>SUM(Q87:Q89)</f>
        <v>6582.9932773109258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7015.6739286058837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19521.45</v>
      </c>
      <c r="C8" s="558">
        <f>B101</f>
        <v>22812.352941176472</v>
      </c>
      <c r="D8" s="991"/>
      <c r="E8" s="991">
        <f>E101</f>
        <v>0</v>
      </c>
      <c r="F8" s="992"/>
      <c r="G8" s="559"/>
      <c r="H8" s="991">
        <f>I101</f>
        <v>0</v>
      </c>
      <c r="I8" s="991">
        <f>G101+F101</f>
        <v>0</v>
      </c>
      <c r="J8" s="991">
        <f>H101+D101+C101</f>
        <v>154.05882352941177</v>
      </c>
      <c r="K8" s="991"/>
      <c r="L8" s="991"/>
      <c r="M8" s="991"/>
      <c r="N8" s="560"/>
      <c r="O8" s="561">
        <f>C8*$C$12+D8*$D$12+E8*$E$12+F8*$F$12+G8*$G$12+H8*$H$12+I8*$I$12+J8*$J$12</f>
        <v>4608.0952941176474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26537.123928605884</v>
      </c>
      <c r="C10" s="570">
        <f t="shared" ref="C10:L10" si="0">SUM(C8:C9)</f>
        <v>22812.352941176472</v>
      </c>
      <c r="D10" s="570">
        <f t="shared" si="0"/>
        <v>0</v>
      </c>
      <c r="E10" s="570">
        <f t="shared" si="0"/>
        <v>0</v>
      </c>
      <c r="F10" s="570">
        <f t="shared" si="0"/>
        <v>0</v>
      </c>
      <c r="G10" s="570">
        <f t="shared" si="0"/>
        <v>0</v>
      </c>
      <c r="H10" s="570">
        <f t="shared" si="0"/>
        <v>0</v>
      </c>
      <c r="I10" s="570">
        <f t="shared" si="0"/>
        <v>0</v>
      </c>
      <c r="J10" s="570">
        <f t="shared" si="0"/>
        <v>154.05882352941177</v>
      </c>
      <c r="K10" s="570">
        <f t="shared" si="0"/>
        <v>0</v>
      </c>
      <c r="L10" s="570">
        <f t="shared" si="0"/>
        <v>0</v>
      </c>
      <c r="M10" s="995"/>
      <c r="N10" s="995"/>
      <c r="O10" s="571">
        <f>SUM(O4:O9)</f>
        <v>4608.0952941176474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27887.785714285714</v>
      </c>
      <c r="C17" s="582">
        <f>B102</f>
        <v>32589.075630252104</v>
      </c>
      <c r="D17" s="583"/>
      <c r="E17" s="583">
        <f>E102</f>
        <v>0</v>
      </c>
      <c r="F17" s="584"/>
      <c r="G17" s="585"/>
      <c r="H17" s="582">
        <f>I102</f>
        <v>0</v>
      </c>
      <c r="I17" s="583">
        <f>G102+F102</f>
        <v>0</v>
      </c>
      <c r="J17" s="583">
        <f>H102+D102+C102</f>
        <v>220.08403361344537</v>
      </c>
      <c r="K17" s="583"/>
      <c r="L17" s="583"/>
      <c r="M17" s="583"/>
      <c r="N17" s="998"/>
      <c r="O17" s="586">
        <f>C17*$C$22+E17*$E$22+H17*$H$22+I17*$I$22+J17*$J$22+D17*$D$22+F17*$F$22+G17*$G$22+K17*$K$22+L17*$L$22</f>
        <v>6582.9932773109258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27887.785714285714</v>
      </c>
      <c r="C20" s="569">
        <f>SUM(C17:C19)</f>
        <v>32589.075630252104</v>
      </c>
      <c r="D20" s="569">
        <f t="shared" ref="D20:L20" si="1">SUM(D17:D19)</f>
        <v>0</v>
      </c>
      <c r="E20" s="569">
        <f t="shared" si="1"/>
        <v>0</v>
      </c>
      <c r="F20" s="569">
        <f t="shared" si="1"/>
        <v>0</v>
      </c>
      <c r="G20" s="569">
        <f t="shared" si="1"/>
        <v>0</v>
      </c>
      <c r="H20" s="569">
        <f t="shared" si="1"/>
        <v>0</v>
      </c>
      <c r="I20" s="569">
        <f t="shared" si="1"/>
        <v>0</v>
      </c>
      <c r="J20" s="569">
        <f t="shared" si="1"/>
        <v>220.08403361344537</v>
      </c>
      <c r="K20" s="569">
        <f t="shared" si="1"/>
        <v>0</v>
      </c>
      <c r="L20" s="569">
        <f t="shared" si="1"/>
        <v>0</v>
      </c>
      <c r="M20" s="569"/>
      <c r="N20" s="569"/>
      <c r="O20" s="590">
        <f>SUM(O17:O19)</f>
        <v>6582.9932773109258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13004</v>
      </c>
      <c r="C28" s="789">
        <v>2340</v>
      </c>
      <c r="D28" s="642" t="s">
        <v>948</v>
      </c>
      <c r="E28" s="641" t="s">
        <v>949</v>
      </c>
      <c r="F28" s="641" t="s">
        <v>950</v>
      </c>
      <c r="G28" s="641" t="s">
        <v>951</v>
      </c>
      <c r="H28" s="641" t="s">
        <v>952</v>
      </c>
      <c r="I28" s="641" t="s">
        <v>949</v>
      </c>
      <c r="J28" s="788">
        <v>40149</v>
      </c>
      <c r="K28" s="788">
        <v>40149</v>
      </c>
      <c r="L28" s="641" t="s">
        <v>953</v>
      </c>
      <c r="M28" s="641">
        <v>4309</v>
      </c>
      <c r="N28" s="641">
        <v>19390.5</v>
      </c>
      <c r="O28" s="641">
        <v>27700.714285714286</v>
      </c>
      <c r="P28" s="641">
        <v>55401.428571428572</v>
      </c>
      <c r="Q28" s="641">
        <v>0</v>
      </c>
      <c r="R28" s="641">
        <v>0</v>
      </c>
      <c r="S28" s="641">
        <v>0</v>
      </c>
      <c r="T28" s="641">
        <v>0</v>
      </c>
      <c r="U28" s="641">
        <v>0</v>
      </c>
      <c r="V28" s="641">
        <v>0</v>
      </c>
      <c r="W28" s="641"/>
      <c r="X28" s="641">
        <v>10</v>
      </c>
      <c r="Y28" s="641" t="s">
        <v>112</v>
      </c>
      <c r="Z28" s="643" t="s">
        <v>112</v>
      </c>
    </row>
    <row r="29" spans="1:26" s="595" customFormat="1" ht="25.5">
      <c r="A29" s="594"/>
      <c r="B29" s="789">
        <v>13004</v>
      </c>
      <c r="C29" s="789">
        <v>2340</v>
      </c>
      <c r="D29" s="642" t="s">
        <v>954</v>
      </c>
      <c r="E29" s="641" t="s">
        <v>955</v>
      </c>
      <c r="F29" s="641" t="s">
        <v>956</v>
      </c>
      <c r="G29" s="641" t="s">
        <v>951</v>
      </c>
      <c r="H29" s="641" t="s">
        <v>952</v>
      </c>
      <c r="I29" s="641" t="s">
        <v>957</v>
      </c>
      <c r="J29" s="788">
        <v>41165</v>
      </c>
      <c r="K29" s="788">
        <v>41275</v>
      </c>
      <c r="L29" s="641" t="s">
        <v>953</v>
      </c>
      <c r="M29" s="641">
        <v>9.6999999999999993</v>
      </c>
      <c r="N29" s="641">
        <v>43.649999999999991</v>
      </c>
      <c r="O29" s="641">
        <v>62.357142857142847</v>
      </c>
      <c r="P29" s="641">
        <v>0</v>
      </c>
      <c r="Q29" s="641">
        <v>124.71428571428569</v>
      </c>
      <c r="R29" s="641">
        <v>0</v>
      </c>
      <c r="S29" s="641">
        <v>0</v>
      </c>
      <c r="T29" s="641">
        <v>0</v>
      </c>
      <c r="U29" s="641">
        <v>0</v>
      </c>
      <c r="V29" s="641">
        <v>0</v>
      </c>
      <c r="W29" s="641"/>
      <c r="X29" s="641">
        <v>10</v>
      </c>
      <c r="Y29" s="641" t="s">
        <v>112</v>
      </c>
      <c r="Z29" s="643" t="s">
        <v>112</v>
      </c>
    </row>
    <row r="30" spans="1:26" s="595" customFormat="1" ht="25.5">
      <c r="A30" s="594"/>
      <c r="B30" s="789">
        <v>13004</v>
      </c>
      <c r="C30" s="789">
        <v>2340</v>
      </c>
      <c r="D30" s="642" t="s">
        <v>954</v>
      </c>
      <c r="E30" s="641" t="s">
        <v>955</v>
      </c>
      <c r="F30" s="641" t="s">
        <v>958</v>
      </c>
      <c r="G30" s="641" t="s">
        <v>951</v>
      </c>
      <c r="H30" s="641" t="s">
        <v>952</v>
      </c>
      <c r="I30" s="641" t="s">
        <v>959</v>
      </c>
      <c r="J30" s="788">
        <v>41236</v>
      </c>
      <c r="K30" s="788">
        <v>41275</v>
      </c>
      <c r="L30" s="641" t="s">
        <v>953</v>
      </c>
      <c r="M30" s="641">
        <v>19.399999999999999</v>
      </c>
      <c r="N30" s="641">
        <v>87.299999999999983</v>
      </c>
      <c r="O30" s="641">
        <v>124.71428571428569</v>
      </c>
      <c r="P30" s="641">
        <v>0</v>
      </c>
      <c r="Q30" s="641">
        <v>249.42857142857139</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4338.0999999999995</v>
      </c>
      <c r="N58" s="599">
        <f>SUM(N28:N57)</f>
        <v>19521.45</v>
      </c>
      <c r="O58" s="599">
        <f t="shared" ref="O58:W58" si="2">SUM(O28:O57)</f>
        <v>27887.785714285714</v>
      </c>
      <c r="P58" s="599">
        <f t="shared" si="2"/>
        <v>55401.428571428572</v>
      </c>
      <c r="Q58" s="599">
        <f t="shared" si="2"/>
        <v>374.14285714285711</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4338.0999999999995</v>
      </c>
      <c r="N61" s="604">
        <f t="shared" si="4"/>
        <v>19521.45</v>
      </c>
      <c r="O61" s="604">
        <f t="shared" si="4"/>
        <v>27887.785714285714</v>
      </c>
      <c r="P61" s="604">
        <f t="shared" si="4"/>
        <v>55401.428571428572</v>
      </c>
      <c r="Q61" s="604">
        <f t="shared" si="4"/>
        <v>374.14285714285711</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22812.352941176472</v>
      </c>
      <c r="C101" s="633">
        <f t="shared" si="9"/>
        <v>154.05882352941177</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32589.075630252104</v>
      </c>
      <c r="C102" s="636">
        <f t="shared" si="10"/>
        <v>220.08403361344537</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32778.906970758078</v>
      </c>
      <c r="C4" s="461">
        <f>huishoudens!C8</f>
        <v>0</v>
      </c>
      <c r="D4" s="461">
        <f>huishoudens!D8</f>
        <v>88585.890429092629</v>
      </c>
      <c r="E4" s="461">
        <f>huishoudens!E8</f>
        <v>2306.7540381214285</v>
      </c>
      <c r="F4" s="461">
        <f>huishoudens!F8</f>
        <v>3940.0809042115598</v>
      </c>
      <c r="G4" s="461">
        <f>huishoudens!G8</f>
        <v>0</v>
      </c>
      <c r="H4" s="461">
        <f>huishoudens!H8</f>
        <v>0</v>
      </c>
      <c r="I4" s="461">
        <f>huishoudens!I8</f>
        <v>0</v>
      </c>
      <c r="J4" s="461">
        <f>huishoudens!J8</f>
        <v>0</v>
      </c>
      <c r="K4" s="461">
        <f>huishoudens!K8</f>
        <v>0</v>
      </c>
      <c r="L4" s="461">
        <f>huishoudens!L8</f>
        <v>0</v>
      </c>
      <c r="M4" s="461">
        <f>huishoudens!M8</f>
        <v>0</v>
      </c>
      <c r="N4" s="461">
        <f>huishoudens!N8</f>
        <v>28466.870170581289</v>
      </c>
      <c r="O4" s="461">
        <f>huishoudens!O8</f>
        <v>175.09333333333336</v>
      </c>
      <c r="P4" s="462">
        <f>huishoudens!P8</f>
        <v>324.13333333333333</v>
      </c>
      <c r="Q4" s="463">
        <f>SUM(B4:P4)</f>
        <v>156577.72917943166</v>
      </c>
    </row>
    <row r="5" spans="1:17">
      <c r="A5" s="460" t="s">
        <v>156</v>
      </c>
      <c r="B5" s="461">
        <f ca="1">tertiair!B16</f>
        <v>14631.929303537541</v>
      </c>
      <c r="C5" s="461">
        <f ca="1">tertiair!C16</f>
        <v>0</v>
      </c>
      <c r="D5" s="461">
        <f ca="1">tertiair!D16</f>
        <v>19288.911360456481</v>
      </c>
      <c r="E5" s="461">
        <f>tertiair!E16</f>
        <v>172.58622654172288</v>
      </c>
      <c r="F5" s="461">
        <f ca="1">tertiair!F16</f>
        <v>2890.40615184539</v>
      </c>
      <c r="G5" s="461">
        <f>tertiair!G16</f>
        <v>0</v>
      </c>
      <c r="H5" s="461">
        <f>tertiair!H16</f>
        <v>0</v>
      </c>
      <c r="I5" s="461">
        <f>tertiair!I16</f>
        <v>0</v>
      </c>
      <c r="J5" s="461">
        <f>tertiair!J16</f>
        <v>0</v>
      </c>
      <c r="K5" s="461">
        <f>tertiair!K16</f>
        <v>0</v>
      </c>
      <c r="L5" s="461">
        <f ca="1">tertiair!L16</f>
        <v>0</v>
      </c>
      <c r="M5" s="461">
        <f>tertiair!M16</f>
        <v>0</v>
      </c>
      <c r="N5" s="461">
        <f ca="1">tertiair!N16</f>
        <v>838.18030535792855</v>
      </c>
      <c r="O5" s="461">
        <f>tertiair!O16</f>
        <v>0</v>
      </c>
      <c r="P5" s="462">
        <f>tertiair!P16</f>
        <v>0</v>
      </c>
      <c r="Q5" s="460">
        <f t="shared" ref="Q5:Q14" ca="1" si="0">SUM(B5:P5)</f>
        <v>37822.013347739063</v>
      </c>
    </row>
    <row r="6" spans="1:17">
      <c r="A6" s="460" t="s">
        <v>194</v>
      </c>
      <c r="B6" s="461">
        <f>'openbare verlichting'!B8</f>
        <v>909.24</v>
      </c>
      <c r="C6" s="461"/>
      <c r="D6" s="461"/>
      <c r="E6" s="461"/>
      <c r="F6" s="461"/>
      <c r="G6" s="461"/>
      <c r="H6" s="461"/>
      <c r="I6" s="461"/>
      <c r="J6" s="461"/>
      <c r="K6" s="461"/>
      <c r="L6" s="461"/>
      <c r="M6" s="461"/>
      <c r="N6" s="461"/>
      <c r="O6" s="461"/>
      <c r="P6" s="462"/>
      <c r="Q6" s="460">
        <f t="shared" si="0"/>
        <v>909.24</v>
      </c>
    </row>
    <row r="7" spans="1:17">
      <c r="A7" s="460" t="s">
        <v>112</v>
      </c>
      <c r="B7" s="461">
        <f>landbouw!B8</f>
        <v>1511.5313876914768</v>
      </c>
      <c r="C7" s="461">
        <f>landbouw!C8</f>
        <v>27887.785714285714</v>
      </c>
      <c r="D7" s="461">
        <f>landbouw!D8</f>
        <v>0</v>
      </c>
      <c r="E7" s="461">
        <f>landbouw!E8</f>
        <v>14.239638431305103</v>
      </c>
      <c r="F7" s="461">
        <f>landbouw!F8</f>
        <v>4932.6285512497971</v>
      </c>
      <c r="G7" s="461">
        <f>landbouw!G8</f>
        <v>0</v>
      </c>
      <c r="H7" s="461">
        <f>landbouw!H8</f>
        <v>0</v>
      </c>
      <c r="I7" s="461">
        <f>landbouw!I8</f>
        <v>0</v>
      </c>
      <c r="J7" s="461">
        <f>landbouw!J8</f>
        <v>186.98378474469311</v>
      </c>
      <c r="K7" s="461">
        <f>landbouw!K8</f>
        <v>0</v>
      </c>
      <c r="L7" s="461">
        <f>landbouw!L8</f>
        <v>0</v>
      </c>
      <c r="M7" s="461">
        <f>landbouw!M8</f>
        <v>0</v>
      </c>
      <c r="N7" s="461">
        <f>landbouw!N8</f>
        <v>0</v>
      </c>
      <c r="O7" s="461">
        <f>landbouw!O8</f>
        <v>0</v>
      </c>
      <c r="P7" s="462">
        <f>landbouw!P8</f>
        <v>0</v>
      </c>
      <c r="Q7" s="460">
        <f t="shared" si="0"/>
        <v>34533.169076402985</v>
      </c>
    </row>
    <row r="8" spans="1:17">
      <c r="A8" s="460" t="s">
        <v>685</v>
      </c>
      <c r="B8" s="461">
        <f>industrie!B18</f>
        <v>247265.12718362393</v>
      </c>
      <c r="C8" s="461">
        <f>industrie!C18</f>
        <v>0</v>
      </c>
      <c r="D8" s="461">
        <f>industrie!D18</f>
        <v>381892.03479302977</v>
      </c>
      <c r="E8" s="461">
        <f>industrie!E18</f>
        <v>1762.6408111551073</v>
      </c>
      <c r="F8" s="461">
        <f>industrie!F18</f>
        <v>38247.869823458772</v>
      </c>
      <c r="G8" s="461">
        <f>industrie!G18</f>
        <v>0</v>
      </c>
      <c r="H8" s="461">
        <f>industrie!H18</f>
        <v>0</v>
      </c>
      <c r="I8" s="461">
        <f>industrie!I18</f>
        <v>0</v>
      </c>
      <c r="J8" s="461">
        <f>industrie!J18</f>
        <v>34007.870863904864</v>
      </c>
      <c r="K8" s="461">
        <f>industrie!K18</f>
        <v>0</v>
      </c>
      <c r="L8" s="461">
        <f>industrie!L18</f>
        <v>0</v>
      </c>
      <c r="M8" s="461">
        <f>industrie!M18</f>
        <v>0</v>
      </c>
      <c r="N8" s="461">
        <f>industrie!N18</f>
        <v>1502.0363621966621</v>
      </c>
      <c r="O8" s="461">
        <f>industrie!O18</f>
        <v>0</v>
      </c>
      <c r="P8" s="462">
        <f>industrie!P18</f>
        <v>0</v>
      </c>
      <c r="Q8" s="460">
        <f t="shared" si="0"/>
        <v>704677.57983736903</v>
      </c>
    </row>
    <row r="9" spans="1:17" s="466" customFormat="1">
      <c r="A9" s="464" t="s">
        <v>579</v>
      </c>
      <c r="B9" s="465">
        <f>transport!B14</f>
        <v>1.40729774888141</v>
      </c>
      <c r="C9" s="465">
        <f>transport!C14</f>
        <v>0</v>
      </c>
      <c r="D9" s="465">
        <f>transport!D14</f>
        <v>3.8191972668509169</v>
      </c>
      <c r="E9" s="465">
        <f>transport!E14</f>
        <v>222.15078853466491</v>
      </c>
      <c r="F9" s="465">
        <f>transport!F14</f>
        <v>0</v>
      </c>
      <c r="G9" s="465">
        <f>transport!G14</f>
        <v>44230.247264525518</v>
      </c>
      <c r="H9" s="465">
        <f>transport!H14</f>
        <v>8499.3258094874745</v>
      </c>
      <c r="I9" s="465">
        <f>transport!I14</f>
        <v>0</v>
      </c>
      <c r="J9" s="465">
        <f>transport!J14</f>
        <v>0</v>
      </c>
      <c r="K9" s="465">
        <f>transport!K14</f>
        <v>0</v>
      </c>
      <c r="L9" s="465">
        <f>transport!L14</f>
        <v>0</v>
      </c>
      <c r="M9" s="465">
        <f>transport!M14</f>
        <v>2358.3705331072051</v>
      </c>
      <c r="N9" s="465">
        <f>transport!N14</f>
        <v>0</v>
      </c>
      <c r="O9" s="465">
        <f>transport!O14</f>
        <v>0</v>
      </c>
      <c r="P9" s="465">
        <f>transport!P14</f>
        <v>0</v>
      </c>
      <c r="Q9" s="464">
        <f>SUM(B9:P9)</f>
        <v>55315.320890670599</v>
      </c>
    </row>
    <row r="10" spans="1:17">
      <c r="A10" s="460" t="s">
        <v>569</v>
      </c>
      <c r="B10" s="461">
        <f>transport!B54</f>
        <v>0</v>
      </c>
      <c r="C10" s="461">
        <f>transport!C54</f>
        <v>0</v>
      </c>
      <c r="D10" s="461">
        <f>transport!D54</f>
        <v>0</v>
      </c>
      <c r="E10" s="461">
        <f>transport!E54</f>
        <v>0</v>
      </c>
      <c r="F10" s="461">
        <f>transport!F54</f>
        <v>0</v>
      </c>
      <c r="G10" s="461">
        <f>transport!G54</f>
        <v>2808.6237937945116</v>
      </c>
      <c r="H10" s="461">
        <f>transport!H54</f>
        <v>0</v>
      </c>
      <c r="I10" s="461">
        <f>transport!I54</f>
        <v>0</v>
      </c>
      <c r="J10" s="461">
        <f>transport!J54</f>
        <v>0</v>
      </c>
      <c r="K10" s="461">
        <f>transport!K54</f>
        <v>0</v>
      </c>
      <c r="L10" s="461">
        <f>transport!L54</f>
        <v>0</v>
      </c>
      <c r="M10" s="461">
        <f>transport!M54</f>
        <v>123.33130390027127</v>
      </c>
      <c r="N10" s="461">
        <f>transport!N54</f>
        <v>0</v>
      </c>
      <c r="O10" s="461">
        <f>transport!O54</f>
        <v>0</v>
      </c>
      <c r="P10" s="462">
        <f>transport!P54</f>
        <v>0</v>
      </c>
      <c r="Q10" s="460">
        <f t="shared" si="0"/>
        <v>2931.955097694783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1328.03282622702</v>
      </c>
      <c r="C14" s="468"/>
      <c r="D14" s="468">
        <f>'SEAP template'!E25</f>
        <v>2992.4515304391002</v>
      </c>
      <c r="E14" s="468"/>
      <c r="F14" s="468"/>
      <c r="G14" s="468"/>
      <c r="H14" s="468"/>
      <c r="I14" s="468"/>
      <c r="J14" s="468"/>
      <c r="K14" s="468"/>
      <c r="L14" s="468"/>
      <c r="M14" s="468"/>
      <c r="N14" s="468"/>
      <c r="O14" s="468"/>
      <c r="P14" s="469"/>
      <c r="Q14" s="460">
        <f t="shared" si="0"/>
        <v>4320.4843566661202</v>
      </c>
    </row>
    <row r="15" spans="1:17" s="473" customFormat="1">
      <c r="A15" s="470" t="s">
        <v>573</v>
      </c>
      <c r="B15" s="471">
        <f ca="1">SUM(B4:B14)</f>
        <v>298426.17496958695</v>
      </c>
      <c r="C15" s="471">
        <f t="shared" ref="C15:Q15" ca="1" si="1">SUM(C4:C14)</f>
        <v>27887.785714285714</v>
      </c>
      <c r="D15" s="471">
        <f t="shared" ca="1" si="1"/>
        <v>492763.1073102848</v>
      </c>
      <c r="E15" s="471">
        <f t="shared" si="1"/>
        <v>4478.3715027842281</v>
      </c>
      <c r="F15" s="471">
        <f t="shared" ca="1" si="1"/>
        <v>50010.985430765519</v>
      </c>
      <c r="G15" s="471">
        <f t="shared" si="1"/>
        <v>47038.87105832003</v>
      </c>
      <c r="H15" s="471">
        <f t="shared" si="1"/>
        <v>8499.3258094874745</v>
      </c>
      <c r="I15" s="471">
        <f t="shared" si="1"/>
        <v>0</v>
      </c>
      <c r="J15" s="471">
        <f t="shared" si="1"/>
        <v>34194.854648649554</v>
      </c>
      <c r="K15" s="471">
        <f t="shared" si="1"/>
        <v>0</v>
      </c>
      <c r="L15" s="471">
        <f t="shared" ca="1" si="1"/>
        <v>0</v>
      </c>
      <c r="M15" s="471">
        <f t="shared" si="1"/>
        <v>2481.7018370074766</v>
      </c>
      <c r="N15" s="471">
        <f t="shared" ca="1" si="1"/>
        <v>30807.086838135878</v>
      </c>
      <c r="O15" s="471">
        <f t="shared" si="1"/>
        <v>175.09333333333336</v>
      </c>
      <c r="P15" s="471">
        <f t="shared" si="1"/>
        <v>324.13333333333333</v>
      </c>
      <c r="Q15" s="471">
        <f t="shared" ca="1" si="1"/>
        <v>997087.49178597424</v>
      </c>
    </row>
    <row r="17" spans="1:17">
      <c r="A17" s="474" t="s">
        <v>574</v>
      </c>
      <c r="B17" s="778">
        <f ca="1">huishoudens!B10</f>
        <v>0.21678921287909039</v>
      </c>
      <c r="C17" s="778">
        <f ca="1">huishoudens!C10</f>
        <v>0.23605292097245073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7106.1134412275733</v>
      </c>
      <c r="C22" s="461">
        <f t="shared" ref="C22:C32" ca="1" si="3">C4*$C$17</f>
        <v>0</v>
      </c>
      <c r="D22" s="461">
        <f t="shared" ref="D22:D32" si="4">D4*$D$17</f>
        <v>17894.349866676712</v>
      </c>
      <c r="E22" s="461">
        <f t="shared" ref="E22:E32" si="5">E4*$E$17</f>
        <v>523.63316665356433</v>
      </c>
      <c r="F22" s="461">
        <f t="shared" ref="F22:F32" si="6">F4*$F$17</f>
        <v>1052.0016014244866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26576.098075982332</v>
      </c>
    </row>
    <row r="23" spans="1:17">
      <c r="A23" s="460" t="s">
        <v>156</v>
      </c>
      <c r="B23" s="461">
        <f t="shared" ca="1" si="2"/>
        <v>3172.0444366164011</v>
      </c>
      <c r="C23" s="461">
        <f t="shared" ca="1" si="3"/>
        <v>0</v>
      </c>
      <c r="D23" s="461">
        <f t="shared" ca="1" si="4"/>
        <v>3896.3600948122094</v>
      </c>
      <c r="E23" s="461">
        <f t="shared" si="5"/>
        <v>39.177073424971098</v>
      </c>
      <c r="F23" s="461">
        <f t="shared" ca="1" si="6"/>
        <v>771.73844254271921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7879.3200473963007</v>
      </c>
    </row>
    <row r="24" spans="1:17">
      <c r="A24" s="460" t="s">
        <v>194</v>
      </c>
      <c r="B24" s="461">
        <f t="shared" ca="1" si="2"/>
        <v>197.11342391818414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197.11342391818414</v>
      </c>
    </row>
    <row r="25" spans="1:17">
      <c r="A25" s="460" t="s">
        <v>112</v>
      </c>
      <c r="B25" s="461">
        <f t="shared" ca="1" si="2"/>
        <v>327.68369977967444</v>
      </c>
      <c r="C25" s="461">
        <f t="shared" ca="1" si="3"/>
        <v>6582.9932773109258</v>
      </c>
      <c r="D25" s="461">
        <f t="shared" si="4"/>
        <v>0</v>
      </c>
      <c r="E25" s="461">
        <f t="shared" si="5"/>
        <v>3.2323979239062584</v>
      </c>
      <c r="F25" s="461">
        <f t="shared" si="6"/>
        <v>1317.0118231836959</v>
      </c>
      <c r="G25" s="461">
        <f t="shared" si="7"/>
        <v>0</v>
      </c>
      <c r="H25" s="461">
        <f t="shared" si="8"/>
        <v>0</v>
      </c>
      <c r="I25" s="461">
        <f t="shared" si="9"/>
        <v>0</v>
      </c>
      <c r="J25" s="461">
        <f t="shared" si="10"/>
        <v>66.192259799621354</v>
      </c>
      <c r="K25" s="461">
        <f t="shared" si="11"/>
        <v>0</v>
      </c>
      <c r="L25" s="461">
        <f t="shared" si="12"/>
        <v>0</v>
      </c>
      <c r="M25" s="461">
        <f t="shared" si="13"/>
        <v>0</v>
      </c>
      <c r="N25" s="461">
        <f t="shared" si="14"/>
        <v>0</v>
      </c>
      <c r="O25" s="461">
        <f t="shared" si="15"/>
        <v>0</v>
      </c>
      <c r="P25" s="462">
        <f t="shared" si="16"/>
        <v>0</v>
      </c>
      <c r="Q25" s="460">
        <f t="shared" ca="1" si="17"/>
        <v>8297.1134579978243</v>
      </c>
    </row>
    <row r="26" spans="1:17">
      <c r="A26" s="460" t="s">
        <v>685</v>
      </c>
      <c r="B26" s="461">
        <f t="shared" ca="1" si="2"/>
        <v>53604.412294586007</v>
      </c>
      <c r="C26" s="461">
        <f t="shared" ca="1" si="3"/>
        <v>0</v>
      </c>
      <c r="D26" s="461">
        <f t="shared" si="4"/>
        <v>77142.191028192014</v>
      </c>
      <c r="E26" s="461">
        <f t="shared" si="5"/>
        <v>400.11946413220937</v>
      </c>
      <c r="F26" s="461">
        <f t="shared" si="6"/>
        <v>10212.181242863493</v>
      </c>
      <c r="G26" s="461">
        <f t="shared" si="7"/>
        <v>0</v>
      </c>
      <c r="H26" s="461">
        <f t="shared" si="8"/>
        <v>0</v>
      </c>
      <c r="I26" s="461">
        <f t="shared" si="9"/>
        <v>0</v>
      </c>
      <c r="J26" s="461">
        <f t="shared" si="10"/>
        <v>12038.786285822322</v>
      </c>
      <c r="K26" s="461">
        <f t="shared" si="11"/>
        <v>0</v>
      </c>
      <c r="L26" s="461">
        <f t="shared" si="12"/>
        <v>0</v>
      </c>
      <c r="M26" s="461">
        <f t="shared" si="13"/>
        <v>0</v>
      </c>
      <c r="N26" s="461">
        <f t="shared" si="14"/>
        <v>0</v>
      </c>
      <c r="O26" s="461">
        <f t="shared" si="15"/>
        <v>0</v>
      </c>
      <c r="P26" s="462">
        <f t="shared" si="16"/>
        <v>0</v>
      </c>
      <c r="Q26" s="460">
        <f t="shared" ca="1" si="17"/>
        <v>153397.69031559603</v>
      </c>
    </row>
    <row r="27" spans="1:17" s="466" customFormat="1">
      <c r="A27" s="464" t="s">
        <v>579</v>
      </c>
      <c r="B27" s="772">
        <f t="shared" ca="1" si="2"/>
        <v>0.30508697126651668</v>
      </c>
      <c r="C27" s="465">
        <f t="shared" ca="1" si="3"/>
        <v>0</v>
      </c>
      <c r="D27" s="465">
        <f t="shared" si="4"/>
        <v>0.77147784790388529</v>
      </c>
      <c r="E27" s="465">
        <f t="shared" si="5"/>
        <v>50.42822899736894</v>
      </c>
      <c r="F27" s="465">
        <f t="shared" si="6"/>
        <v>0</v>
      </c>
      <c r="G27" s="465">
        <f t="shared" si="7"/>
        <v>11809.476019628313</v>
      </c>
      <c r="H27" s="465">
        <f t="shared" si="8"/>
        <v>2116.3321265623813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13977.312940007234</v>
      </c>
    </row>
    <row r="28" spans="1:17">
      <c r="A28" s="460" t="s">
        <v>569</v>
      </c>
      <c r="B28" s="461">
        <f t="shared" ca="1" si="2"/>
        <v>0</v>
      </c>
      <c r="C28" s="461">
        <f t="shared" ca="1" si="3"/>
        <v>0</v>
      </c>
      <c r="D28" s="461">
        <f t="shared" si="4"/>
        <v>0</v>
      </c>
      <c r="E28" s="461">
        <f t="shared" si="5"/>
        <v>0</v>
      </c>
      <c r="F28" s="461">
        <f t="shared" si="6"/>
        <v>0</v>
      </c>
      <c r="G28" s="461">
        <f t="shared" si="7"/>
        <v>749.90255294313465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749.90255294313465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287.90319107534947</v>
      </c>
      <c r="C32" s="461">
        <f t="shared" ca="1" si="3"/>
        <v>0</v>
      </c>
      <c r="D32" s="461">
        <f t="shared" si="4"/>
        <v>604.47520914869824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892.37840022404771</v>
      </c>
    </row>
    <row r="33" spans="1:17" s="473" customFormat="1">
      <c r="A33" s="470" t="s">
        <v>573</v>
      </c>
      <c r="B33" s="471">
        <f ca="1">SUM(B22:B32)</f>
        <v>64695.575574174458</v>
      </c>
      <c r="C33" s="471">
        <f t="shared" ref="C33:Q33" ca="1" si="18">SUM(C22:C32)</f>
        <v>6582.9932773109258</v>
      </c>
      <c r="D33" s="471">
        <f t="shared" ca="1" si="18"/>
        <v>99538.14767667753</v>
      </c>
      <c r="E33" s="471">
        <f t="shared" si="18"/>
        <v>1016.59033113202</v>
      </c>
      <c r="F33" s="471">
        <f t="shared" ca="1" si="18"/>
        <v>13352.933110014394</v>
      </c>
      <c r="G33" s="471">
        <f t="shared" si="18"/>
        <v>12559.378572571448</v>
      </c>
      <c r="H33" s="471">
        <f t="shared" si="18"/>
        <v>2116.3321265623813</v>
      </c>
      <c r="I33" s="471">
        <f t="shared" si="18"/>
        <v>0</v>
      </c>
      <c r="J33" s="471">
        <f t="shared" si="18"/>
        <v>12104.978545621943</v>
      </c>
      <c r="K33" s="471">
        <f t="shared" si="18"/>
        <v>0</v>
      </c>
      <c r="L33" s="471">
        <f t="shared" ca="1" si="18"/>
        <v>0</v>
      </c>
      <c r="M33" s="471">
        <f t="shared" si="18"/>
        <v>0</v>
      </c>
      <c r="N33" s="471">
        <f t="shared" ca="1" si="18"/>
        <v>0</v>
      </c>
      <c r="O33" s="471">
        <f t="shared" si="18"/>
        <v>0</v>
      </c>
      <c r="P33" s="471">
        <f t="shared" si="18"/>
        <v>0</v>
      </c>
      <c r="Q33" s="471">
        <f t="shared" ca="1" si="18"/>
        <v>211966.92921406508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7015.6739286058837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130.94999999999999</v>
      </c>
      <c r="C8" s="1037">
        <f>'SEAP template'!C76</f>
        <v>19390.5</v>
      </c>
      <c r="D8" s="1037">
        <f>'SEAP template'!D76</f>
        <v>22812.352941176472</v>
      </c>
      <c r="E8" s="1037">
        <f>'SEAP template'!E76</f>
        <v>0</v>
      </c>
      <c r="F8" s="1037">
        <f>'SEAP template'!F76</f>
        <v>0</v>
      </c>
      <c r="G8" s="1037">
        <f>'SEAP template'!G76</f>
        <v>0</v>
      </c>
      <c r="H8" s="1037">
        <f>'SEAP template'!H76</f>
        <v>0</v>
      </c>
      <c r="I8" s="1037">
        <f>'SEAP template'!I76</f>
        <v>0</v>
      </c>
      <c r="J8" s="1037">
        <f>'SEAP template'!J76</f>
        <v>154.05882352941177</v>
      </c>
      <c r="K8" s="1037">
        <f>'SEAP template'!K76</f>
        <v>0</v>
      </c>
      <c r="L8" s="1037">
        <f>'SEAP template'!L76</f>
        <v>0</v>
      </c>
      <c r="M8" s="1037">
        <f>'SEAP template'!M76</f>
        <v>0</v>
      </c>
      <c r="N8" s="1037">
        <f>'SEAP template'!N76</f>
        <v>0</v>
      </c>
      <c r="O8" s="1037">
        <f>'SEAP template'!O76</f>
        <v>0</v>
      </c>
      <c r="P8" s="1038">
        <f>'SEAP template'!Q76</f>
        <v>4608.0952941176474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7146.6239286058835</v>
      </c>
      <c r="C10" s="1041">
        <f>SUM(C4:C9)</f>
        <v>19390.5</v>
      </c>
      <c r="D10" s="1041">
        <f t="shared" ref="D10:H10" si="0">SUM(D8:D9)</f>
        <v>22812.352941176472</v>
      </c>
      <c r="E10" s="1041">
        <f t="shared" si="0"/>
        <v>0</v>
      </c>
      <c r="F10" s="1041">
        <f t="shared" si="0"/>
        <v>0</v>
      </c>
      <c r="G10" s="1041">
        <f t="shared" si="0"/>
        <v>0</v>
      </c>
      <c r="H10" s="1041">
        <f t="shared" si="0"/>
        <v>0</v>
      </c>
      <c r="I10" s="1041">
        <f>SUM(I8:I9)</f>
        <v>0</v>
      </c>
      <c r="J10" s="1041">
        <f>SUM(J8:J9)</f>
        <v>154.05882352941177</v>
      </c>
      <c r="K10" s="1041">
        <f t="shared" ref="K10:L10" si="1">SUM(K8:K9)</f>
        <v>0</v>
      </c>
      <c r="L10" s="1041">
        <f t="shared" si="1"/>
        <v>0</v>
      </c>
      <c r="M10" s="1041">
        <f>SUM(M8:M9)</f>
        <v>0</v>
      </c>
      <c r="N10" s="1041">
        <f>SUM(N8:N9)</f>
        <v>0</v>
      </c>
      <c r="O10" s="1041">
        <f>SUM(O8:O9)</f>
        <v>0</v>
      </c>
      <c r="P10" s="1041">
        <f>SUM(P8:P9)</f>
        <v>4608.0952941176474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0.21678921287909039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187.07142857142856</v>
      </c>
      <c r="C17" s="1044">
        <f>'SEAP template'!C87</f>
        <v>27700.714285714286</v>
      </c>
      <c r="D17" s="1038">
        <f>'SEAP template'!D87</f>
        <v>32589.075630252104</v>
      </c>
      <c r="E17" s="1038">
        <f>'SEAP template'!E87</f>
        <v>0</v>
      </c>
      <c r="F17" s="1038">
        <f>'SEAP template'!F87</f>
        <v>0</v>
      </c>
      <c r="G17" s="1038">
        <f>'SEAP template'!G87</f>
        <v>0</v>
      </c>
      <c r="H17" s="1038">
        <f>'SEAP template'!H87</f>
        <v>0</v>
      </c>
      <c r="I17" s="1038">
        <f>'SEAP template'!I87</f>
        <v>0</v>
      </c>
      <c r="J17" s="1038">
        <f>'SEAP template'!J87</f>
        <v>220.08403361344537</v>
      </c>
      <c r="K17" s="1038">
        <f>'SEAP template'!K87</f>
        <v>0</v>
      </c>
      <c r="L17" s="1038">
        <f>'SEAP template'!L87</f>
        <v>0</v>
      </c>
      <c r="M17" s="1038">
        <f>'SEAP template'!M87</f>
        <v>0</v>
      </c>
      <c r="N17" s="1038">
        <f>'SEAP template'!N87</f>
        <v>0</v>
      </c>
      <c r="O17" s="1038">
        <f>'SEAP template'!O87</f>
        <v>0</v>
      </c>
      <c r="P17" s="1038">
        <f>'SEAP template'!Q87</f>
        <v>6582.9932773109258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187.07142857142856</v>
      </c>
      <c r="C20" s="1041">
        <f>SUM(C17:C19)</f>
        <v>27700.714285714286</v>
      </c>
      <c r="D20" s="1041">
        <f t="shared" ref="D20:H20" si="2">SUM(D17:D19)</f>
        <v>32589.075630252104</v>
      </c>
      <c r="E20" s="1041">
        <f t="shared" si="2"/>
        <v>0</v>
      </c>
      <c r="F20" s="1041">
        <f t="shared" si="2"/>
        <v>0</v>
      </c>
      <c r="G20" s="1041">
        <f t="shared" si="2"/>
        <v>0</v>
      </c>
      <c r="H20" s="1041">
        <f t="shared" si="2"/>
        <v>0</v>
      </c>
      <c r="I20" s="1041">
        <f>SUM(I17:I19)</f>
        <v>0</v>
      </c>
      <c r="J20" s="1041">
        <f>SUM(J17:J19)</f>
        <v>220.08403361344537</v>
      </c>
      <c r="K20" s="1041">
        <f t="shared" ref="K20:L20" si="3">SUM(K17:K19)</f>
        <v>0</v>
      </c>
      <c r="L20" s="1041">
        <f t="shared" si="3"/>
        <v>0</v>
      </c>
      <c r="M20" s="1041">
        <f>SUM(M17:M19)</f>
        <v>0</v>
      </c>
      <c r="N20" s="1041">
        <f>SUM(N17:N19)</f>
        <v>0</v>
      </c>
      <c r="O20" s="1041">
        <f>SUM(O17:O19)</f>
        <v>0</v>
      </c>
      <c r="P20" s="1041">
        <f>SUM(P17:P19)</f>
        <v>6582.9932773109258</v>
      </c>
    </row>
    <row r="22" spans="1:16">
      <c r="A22" s="474" t="s">
        <v>932</v>
      </c>
      <c r="B22" s="778" t="s">
        <v>926</v>
      </c>
      <c r="C22" s="778">
        <f ca="1">'EF ele_warmte'!B22</f>
        <v>0.23605292097245073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0.21678921287909039</v>
      </c>
      <c r="C17" s="510">
        <f ca="1">'EF ele_warmte'!B22</f>
        <v>0.23605292097245073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2019-08-12T07:52:51Z</dcterms:modified>
</cp:coreProperties>
</file>