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C98" l="1"/>
  <c r="F101" s="1"/>
  <c r="B10"/>
  <c r="O9"/>
  <c r="O19"/>
  <c r="F20"/>
  <c r="O18"/>
  <c r="B17"/>
  <c r="B20" s="1"/>
  <c r="I102"/>
  <c r="H17" s="1"/>
  <c r="H20" s="1"/>
  <c r="E102"/>
  <c r="E17" s="1"/>
  <c r="E20" s="1"/>
  <c r="G102"/>
  <c r="C102"/>
  <c r="H102"/>
  <c r="D102"/>
  <c r="F102"/>
  <c r="B102"/>
  <c r="C17" s="1"/>
  <c r="I101"/>
  <c r="H8" s="1"/>
  <c r="H10" s="1"/>
  <c r="E101"/>
  <c r="E8" s="1"/>
  <c r="E10" s="1"/>
  <c r="H101"/>
  <c r="D101"/>
  <c r="B101"/>
  <c r="C8" s="1"/>
  <c r="N6" i="17"/>
  <c r="L6"/>
  <c r="F6"/>
  <c r="D6"/>
  <c r="C6"/>
  <c r="N16" i="16"/>
  <c r="L16"/>
  <c r="F16"/>
  <c r="D16"/>
  <c r="C16"/>
  <c r="B16"/>
  <c r="B13" i="15"/>
  <c r="G101" i="18" l="1"/>
  <c r="I8" s="1"/>
  <c r="C101"/>
  <c r="C10"/>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L19"/>
  <c r="L22" s="1"/>
  <c r="K19"/>
  <c r="K22" s="1"/>
  <c r="J19"/>
  <c r="I19"/>
  <c r="G19"/>
  <c r="F19"/>
  <c r="E19"/>
  <c r="D19"/>
  <c r="D22" s="1"/>
  <c r="Q48"/>
  <c r="P48"/>
  <c r="O48"/>
  <c r="M48"/>
  <c r="L48"/>
  <c r="K48"/>
  <c r="J48"/>
  <c r="G48"/>
  <c r="D48"/>
  <c r="Q18"/>
  <c r="Q22" s="1"/>
  <c r="P18"/>
  <c r="P22" s="1"/>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H56"/>
  <c r="Q56"/>
  <c r="I56"/>
  <c r="R44"/>
  <c r="Q26"/>
  <c r="N26"/>
  <c r="J26"/>
  <c r="I26"/>
  <c r="E25"/>
  <c r="D14" i="48" s="1"/>
  <c r="C25" i="14"/>
  <c r="B14" i="48" s="1"/>
  <c r="L26" i="14"/>
  <c r="H26"/>
  <c r="O22"/>
  <c r="G22"/>
  <c r="R12"/>
  <c r="F13" i="15"/>
  <c r="D13"/>
  <c r="C13"/>
  <c r="I10" i="18" l="1"/>
  <c r="I76" i="14"/>
  <c r="I8" i="56" s="1"/>
  <c r="I10" s="1"/>
  <c r="Q14" i="48"/>
  <c r="M78" i="14"/>
  <c r="M8" i="56"/>
  <c r="M10" s="1"/>
  <c r="H78" i="14"/>
  <c r="H9" i="56"/>
  <c r="H10" s="1"/>
  <c r="Q87" i="14"/>
  <c r="P17" i="56" s="1"/>
  <c r="D17"/>
  <c r="K78" i="14"/>
  <c r="K8" i="56"/>
  <c r="K10" s="1"/>
  <c r="O78" i="14"/>
  <c r="O9" i="56"/>
  <c r="L90" i="14"/>
  <c r="L17" i="56"/>
  <c r="L20" s="1"/>
  <c r="G90" i="14"/>
  <c r="G18" i="56"/>
  <c r="O90" i="14"/>
  <c r="O18" i="56"/>
  <c r="F90" i="14"/>
  <c r="M20" i="56"/>
  <c r="K20"/>
  <c r="L78" i="14"/>
  <c r="J76"/>
  <c r="B76" s="1"/>
  <c r="N20" i="56"/>
  <c r="N78" i="14"/>
  <c r="N8" i="56"/>
  <c r="N10" s="1"/>
  <c r="E8"/>
  <c r="E10" s="1"/>
  <c r="C77" i="14"/>
  <c r="C9" i="56" s="1"/>
  <c r="D9"/>
  <c r="D10" s="1"/>
  <c r="Q88" i="14"/>
  <c r="P18" i="56" s="1"/>
  <c r="D18"/>
  <c r="K90" i="14"/>
  <c r="K18" i="56"/>
  <c r="Q89" i="14"/>
  <c r="P19" i="56" s="1"/>
  <c r="I20"/>
  <c r="Q76" i="14"/>
  <c r="P8" i="56" s="1"/>
  <c r="L10"/>
  <c r="H20"/>
  <c r="F78" i="14"/>
  <c r="G10" i="56"/>
  <c r="O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E90"/>
  <c r="I90"/>
  <c r="M90"/>
  <c r="D90"/>
  <c r="B8" i="56" l="1"/>
  <c r="B10" s="1"/>
  <c r="B78" i="14"/>
  <c r="Q78"/>
  <c r="B9" i="6" s="1"/>
  <c r="P9" i="56"/>
  <c r="P10" s="1"/>
  <c r="P20"/>
  <c r="Q90" i="14"/>
  <c r="B17" i="6" s="1"/>
  <c r="D20" i="56"/>
  <c r="J8"/>
  <c r="J10" s="1"/>
  <c r="J78" i="14"/>
  <c r="J90"/>
  <c r="J17" i="56"/>
  <c r="J20" s="1"/>
  <c r="C20"/>
  <c r="C76" i="14"/>
  <c r="C90"/>
  <c r="B87"/>
  <c r="B90" l="1"/>
  <c r="B17" i="56"/>
  <c r="B20" s="1"/>
  <c r="C8"/>
  <c r="C10" s="1"/>
  <c r="C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L10" i="14"/>
  <c r="L16" s="1"/>
  <c r="L27" s="1"/>
  <c r="K5" i="48"/>
  <c r="D30"/>
  <c r="D31"/>
  <c r="D29"/>
  <c r="D28"/>
  <c r="D24"/>
  <c r="D32"/>
  <c r="L29"/>
  <c r="L31"/>
  <c r="L28"/>
  <c r="L32"/>
  <c r="L27"/>
  <c r="L22"/>
  <c r="L30"/>
  <c r="L24"/>
  <c r="P5"/>
  <c r="P23" s="1"/>
  <c r="Q10" i="14"/>
  <c r="K29" i="48"/>
  <c r="K28"/>
  <c r="K32"/>
  <c r="K27"/>
  <c r="K31"/>
  <c r="K26"/>
  <c r="K24"/>
  <c r="K30"/>
  <c r="K25"/>
  <c r="K22"/>
  <c r="J10" i="14"/>
  <c r="J16" s="1"/>
  <c r="J27" s="1"/>
  <c r="I5" i="48"/>
  <c r="J32"/>
  <c r="J30"/>
  <c r="J24"/>
  <c r="J27"/>
  <c r="J31"/>
  <c r="J29"/>
  <c r="J28"/>
  <c r="P4"/>
  <c r="Q11" i="14"/>
  <c r="C24"/>
  <c r="C26" s="1"/>
  <c r="B7" i="48"/>
  <c r="O4"/>
  <c r="P11" i="14"/>
  <c r="I29" i="48"/>
  <c r="I26"/>
  <c r="I32"/>
  <c r="I31"/>
  <c r="I25"/>
  <c r="I27"/>
  <c r="I24"/>
  <c r="I28"/>
  <c r="I22"/>
  <c r="I30"/>
  <c r="N46" i="14"/>
  <c r="B38" i="13"/>
  <c r="B50" s="1"/>
  <c r="H32" i="48"/>
  <c r="H25"/>
  <c r="H29"/>
  <c r="H26"/>
  <c r="H24"/>
  <c r="H28"/>
  <c r="H22"/>
  <c r="H30"/>
  <c r="H23"/>
  <c r="D11" i="14"/>
  <c r="C4" i="48"/>
  <c r="G32"/>
  <c r="G25"/>
  <c r="G26"/>
  <c r="G29"/>
  <c r="G30"/>
  <c r="G22"/>
  <c r="G24"/>
  <c r="G23"/>
  <c r="C11" i="14"/>
  <c r="B4" i="48"/>
  <c r="F30"/>
  <c r="F28"/>
  <c r="F24"/>
  <c r="F32"/>
  <c r="F27"/>
  <c r="F29"/>
  <c r="F31"/>
  <c r="N24"/>
  <c r="N32"/>
  <c r="N30"/>
  <c r="N31"/>
  <c r="N28"/>
  <c r="N29"/>
  <c r="N27"/>
  <c r="C19" i="14"/>
  <c r="B10" i="48"/>
  <c r="E32"/>
  <c r="E31"/>
  <c r="E24"/>
  <c r="E29"/>
  <c r="E28"/>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12" l="1"/>
  <c r="K54" i="14" s="1"/>
  <c r="K56" s="1"/>
  <c r="J7" i="48"/>
  <c r="J25" s="1"/>
  <c r="K24" i="14"/>
  <c r="K26" s="1"/>
  <c r="P22" i="48"/>
  <c r="I23"/>
  <c r="I15"/>
  <c r="O5"/>
  <c r="O23" s="1"/>
  <c r="P10" i="14"/>
  <c r="J46"/>
  <c r="J61" s="1"/>
  <c r="J63" s="1"/>
  <c r="L46"/>
  <c r="L61" s="1"/>
  <c r="L63" s="1"/>
  <c r="G11"/>
  <c r="F4" i="48"/>
  <c r="F22" s="1"/>
  <c r="I18" i="14"/>
  <c r="H13" i="48"/>
  <c r="H31" s="1"/>
  <c r="O22"/>
  <c r="K23"/>
  <c r="K33" s="1"/>
  <c r="K15"/>
  <c r="P8"/>
  <c r="P26" s="1"/>
  <c r="Q13" i="14"/>
  <c r="Q16" s="1"/>
  <c r="Q27" s="1"/>
  <c r="H18"/>
  <c r="G13" i="48"/>
  <c r="N18" i="14"/>
  <c r="M13" i="48"/>
  <c r="M31" s="1"/>
  <c r="M22"/>
  <c r="M32"/>
  <c r="M24"/>
  <c r="M26"/>
  <c r="M29"/>
  <c r="M30"/>
  <c r="M25"/>
  <c r="M23"/>
  <c r="I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P13"/>
  <c r="O8" i="48"/>
  <c r="E12" i="13"/>
  <c r="F41" i="14" s="1"/>
  <c r="F11"/>
  <c r="E4" i="48"/>
  <c r="H19" i="14"/>
  <c r="G10" i="48"/>
  <c r="R18" i="14"/>
  <c r="K11"/>
  <c r="J4" i="48"/>
  <c r="N20" i="14"/>
  <c r="M9" i="48"/>
  <c r="E7"/>
  <c r="E25" s="1"/>
  <c r="F24" i="14"/>
  <c r="F26" s="1"/>
  <c r="G31" i="48"/>
  <c r="Q13"/>
  <c r="E9"/>
  <c r="E27" s="1"/>
  <c r="F20" i="14"/>
  <c r="F22" s="1"/>
  <c r="P15" i="48"/>
  <c r="N52" i="14"/>
  <c r="N61" s="1"/>
  <c r="P16"/>
  <c r="P27" s="1"/>
  <c r="E12" i="17"/>
  <c r="F54" i="14" s="1"/>
  <c r="F56" s="1"/>
  <c r="H14" i="22"/>
  <c r="H52" i="14"/>
  <c r="H61" s="1"/>
  <c r="N19"/>
  <c r="N22" s="1"/>
  <c r="N27" s="1"/>
  <c r="N63" s="1"/>
  <c r="M10" i="48"/>
  <c r="M28" s="1"/>
  <c r="D9"/>
  <c r="D27" s="1"/>
  <c r="E20" i="14"/>
  <c r="E22" s="1"/>
  <c r="B9" i="48"/>
  <c r="C20" i="14"/>
  <c r="P33" i="48"/>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M27" i="48" l="1"/>
  <c r="M33" s="1"/>
  <c r="M15"/>
  <c r="E22"/>
  <c r="Q4"/>
  <c r="G28"/>
  <c r="Q10"/>
  <c r="H20" i="14"/>
  <c r="H22" s="1"/>
  <c r="H27" s="1"/>
  <c r="H63" s="1"/>
  <c r="G9" i="48"/>
  <c r="R19" i="14"/>
  <c r="K10"/>
  <c r="J5" i="48"/>
  <c r="J23" s="1"/>
  <c r="O26"/>
  <c r="O33" s="1"/>
  <c r="O15"/>
  <c r="C22" i="14"/>
  <c r="J22" i="48"/>
  <c r="E5"/>
  <c r="E23" s="1"/>
  <c r="F10" i="14"/>
  <c r="I20"/>
  <c r="I22" s="1"/>
  <c r="I27" s="1"/>
  <c r="I63" s="1"/>
  <c r="H9" i="48"/>
  <c r="E46" i="14"/>
  <c r="E61" s="1"/>
  <c r="R1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E8" i="48"/>
  <c r="E26" s="1"/>
  <c r="F13" i="14"/>
  <c r="H27" i="48"/>
  <c r="H33" s="1"/>
  <c r="H15"/>
  <c r="G27"/>
  <c r="G33" s="1"/>
  <c r="G15"/>
  <c r="K16" i="14"/>
  <c r="K27" s="1"/>
  <c r="Q9" i="48"/>
  <c r="R20" i="14"/>
  <c r="K13"/>
  <c r="J8" i="48"/>
  <c r="J26" s="1"/>
  <c r="Q5"/>
  <c r="F16" i="14"/>
  <c r="F27" s="1"/>
  <c r="R10"/>
  <c r="E33" i="48"/>
  <c r="C27" i="14"/>
  <c r="B3" i="6" s="1"/>
  <c r="B12" s="1"/>
  <c r="J33"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15" i="48"/>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<sst xmlns="http://schemas.openxmlformats.org/spreadsheetml/2006/main" count="2729" uniqueCount="1036">
  <si>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</si>
  <si>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</si>
  <si>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</si>
  <si>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</si>
  <si>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</si>
  <si>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</si>
  <si>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</si>
  <si>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</si>
  <si>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</si>
  <si>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</si>
  <si>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</si>
  <si>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</si>
  <si>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</si>
  <si>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</si>
  <si>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</si>
  <si>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</si>
  <si>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</si>
  <si>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</si>
  <si>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</si>
  <si>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</si>
  <si>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</si>
  <si>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</si>
  <si>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</si>
  <si>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</si>
  <si>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</si>
  <si>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</si>
  <si>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</si>
  <si>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</si>
  <si>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</si>
  <si>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</si>
  <si>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</si>
  <si>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</si>
  <si>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</si>
  <si>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</si>
  <si>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</si>
  <si>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</si>
  <si>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</si>
  <si>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</si>
  <si>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</si>
  <si>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</si>
  <si>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</si>
  <si>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</si>
  <si>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</si>
  <si>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</si>
  <si>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</si>
  <si>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</si>
  <si>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</si>
  <si>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</si>
  <si>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</si>
  <si>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</si>
  <si>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</si>
  <si>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</si>
  <si>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</si>
  <si>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</si>
  <si>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</si>
  <si>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</si>
  <si>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</si>
  <si>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</si>
  <si>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</si>
  <si>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</si>
  <si>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</si>
  <si>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</si>
  <si>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</si>
  <si>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</si>
  <si>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</si>
  <si>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</si>
  <si>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</si>
  <si>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</si>
  <si>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</si>
  <si>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</si>
  <si>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</si>
  <si>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</si>
  <si>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</si>
  <si>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</si>
  <si>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</si>
  <si>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</si>
  <si>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</si>
  <si>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</si>
  <si>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</si>
  <si>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</si>
  <si>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</si>
  <si>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</si>
  <si>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</si>
  <si>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</si>
  <si>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</si>
  <si>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</si>
  <si>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</si>
  <si>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</si>
  <si>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</si>
  <si>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</si>
  <si>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</si>
  <si>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</si>
  <si>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</si>
  <si>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</si>
  <si>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</si>
  <si>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</si>
  <si>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</si>
  <si>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</si>
  <si>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</si>
  <si>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</si>
  <si>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</si>
  <si>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</si>
  <si>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</si>
  <si>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</si>
  <si>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</si>
  <si>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</si>
  <si>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</si>
  <si>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</si>
  <si>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</si>
  <si>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</si>
  <si>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</si>
  <si>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</si>
  <si>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</si>
  <si>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</si>
  <si>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</si>
  <si>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</si>
  <si>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</si>
  <si>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</si>
  <si>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</si>
  <si>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</si>
  <si>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</si>
  <si>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</si>
  <si>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</si>
  <si>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</si>
  <si>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</si>
  <si>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</si>
  <si>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</si>
  <si>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</si>
  <si>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</si>
  <si>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</si>
  <si>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</si>
  <si>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</si>
  <si>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</si>
  <si>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</si>
  <si>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</si>
  <si>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</si>
  <si>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</si>
  <si>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</si>
  <si>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</si>
  <si>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</si>
  <si>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</si>
  <si>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</si>
  <si>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</si>
  <si>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</si>
  <si>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</si>
  <si>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</si>
  <si>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</si>
  <si>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</si>
  <si>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</si>
  <si>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</si>
  <si>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</si>
  <si>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</si>
  <si>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</si>
  <si>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</si>
  <si>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</si>
  <si>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</si>
  <si>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</si>
  <si>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</si>
  <si>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</si>
  <si>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</si>
  <si>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</si>
  <si>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</si>
  <si>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</si>
  <si>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</si>
  <si>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</si>
  <si>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</si>
  <si>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</si>
  <si>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</si>
  <si>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</si>
  <si>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</si>
  <si>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</si>
  <si>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</si>
  <si>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</si>
  <si>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</si>
  <si>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</si>
  <si>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</si>
  <si>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</si>
  <si>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</si>
  <si>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</si>
  <si>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</si>
  <si>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</si>
  <si>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</si>
  <si>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</si>
  <si>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</si>
  <si>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</si>
  <si>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</si>
  <si>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</si>
  <si>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</si>
  <si>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</si>
  <si>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</si>
  <si>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</si>
  <si>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</si>
  <si>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</si>
  <si>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</si>
  <si>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</si>
  <si>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</si>
  <si>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</si>
  <si>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</si>
  <si>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</si>
  <si>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</si>
  <si>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</si>
  <si>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</si>
  <si>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</si>
  <si>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</si>
  <si>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</si>
  <si>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</si>
  <si>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</si>
  <si>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</si>
  <si>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</si>
  <si>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</si>
  <si>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</si>
  <si>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</si>
  <si>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</si>
  <si>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</si>
  <si>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</si>
  <si>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</si>
  <si>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</si>
  <si>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</si>
  <si>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</si>
  <si>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</si>
  <si>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</si>
  <si>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</si>
  <si>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</si>
  <si>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</si>
  <si>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</si>
  <si>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</si>
  <si>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</si>
  <si>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</si>
  <si>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</si>
  <si>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</si>
  <si>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</si>
  <si>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</si>
  <si>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</si>
  <si>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</si>
  <si>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</si>
  <si>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</si>
  <si>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</si>
  <si>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</si>
  <si>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</si>
  <si>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</si>
  <si>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</si>
  <si>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</si>
  <si>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</si>
  <si>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</si>
  <si>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</si>
  <si>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</si>
  <si>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</si>
  <si>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</si>
  <si>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</si>
  <si>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</si>
  <si>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</si>
  <si>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</si>
  <si>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</si>
  <si>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</si>
  <si>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</si>
  <si>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</si>
  <si>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</si>
  <si>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</si>
  <si>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</si>
  <si>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</si>
  <si>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</si>
  <si>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</si>
  <si>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</si>
  <si>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</si>
  <si>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</si>
  <si>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</si>
  <si>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</si>
  <si>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</si>
  <si>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</si>
  <si>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</si>
  <si>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</si>
  <si>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</si>
  <si>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</si>
  <si>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</si>
  <si>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</si>
  <si>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</si>
  <si>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</si>
  <si>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</si>
  <si>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</si>
  <si>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</si>
  <si>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</si>
  <si>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</si>
  <si>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</si>
  <si>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</si>
  <si>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</si>
  <si>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</si>
  <si>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</si>
  <si>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</si>
  <si>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</si>
  <si>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</si>
  <si>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</si>
  <si>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</si>
  <si>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</si>
  <si>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</si>
  <si>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</si>
  <si>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</si>
  <si>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</si>
  <si>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</si>
  <si>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</si>
  <si>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</si>
  <si>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</si>
  <si>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</si>
  <si>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</si>
  <si>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</si>
  <si>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</si>
  <si>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</si>
  <si>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</si>
  <si>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</si>
  <si>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</si>
  <si>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</si>
  <si>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</si>
  <si>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</si>
  <si>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</si>
  <si>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</si>
  <si>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</si>
  <si>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</si>
  <si>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</si>
  <si>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</si>
  <si>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</si>
  <si>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</si>
  <si>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</si>
  <si>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</si>
  <si>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</si>
  <si>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</si>
  <si>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</si>
  <si>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</si>
  <si>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</si>
  <si>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</si>
  <si>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</si>
  <si>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</si>
  <si>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</si>
  <si>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</si>
  <si>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</si>
  <si>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</si>
  <si>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</si>
  <si>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</si>
  <si>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</si>
  <si>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</si>
  <si>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</si>
  <si>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</si>
  <si>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</si>
  <si>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</si>
  <si>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</si>
  <si>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</si>
  <si>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</si>
  <si>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</si>
  <si>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</si>
  <si>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</si>
  <si>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</si>
  <si>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</si>
  <si>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</si>
  <si>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</si>
  <si>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</si>
  <si>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</si>
  <si>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</si>
  <si>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</si>
  <si>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</si>
  <si>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</si>
  <si>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</si>
  <si>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</si>
  <si>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</si>
  <si>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</si>
  <si>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</si>
  <si>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</si>
  <si>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</si>
  <si>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</si>
  <si>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</si>
  <si>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</si>
  <si>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</si>
  <si>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</si>
  <si>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</si>
  <si>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</si>
  <si>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</si>
  <si>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</si>
  <si>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</si>
  <si>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</si>
  <si>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</si>
  <si>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</si>
  <si>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</si>
  <si>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</si>
  <si>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</si>
  <si>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</si>
  <si>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</si>
  <si>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</si>
  <si>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</si>
  <si>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</si>
  <si>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</si>
  <si>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</si>
  <si>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</si>
  <si>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</si>
  <si>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</si>
  <si>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</si>
  <si>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</si>
  <si>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</si>
  <si>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</si>
  <si>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</si>
  <si>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</si>
  <si>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</si>
  <si>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</si>
  <si>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</si>
  <si>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</si>
  <si>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</si>
  <si>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</si>
  <si>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</si>
  <si>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</si>
  <si>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</si>
  <si>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</si>
  <si>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</si>
  <si>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</si>
  <si>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</si>
  <si>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</si>
  <si>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</si>
  <si>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</si>
  <si>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</si>
  <si>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</si>
  <si>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</si>
  <si>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</si>
  <si>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</si>
  <si>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</si>
  <si>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</si>
  <si>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</si>
  <si>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</si>
  <si>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</si>
  <si>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</si>
  <si>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</si>
  <si>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</si>
  <si>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</si>
  <si>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</si>
  <si>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</si>
  <si>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</si>
  <si>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</si>
  <si>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</si>
  <si>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</si>
  <si>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</si>
  <si>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</si>
  <si>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</si>
  <si>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</si>
  <si>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</si>
  <si>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</si>
  <si>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</si>
  <si>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</si>
  <si>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</si>
  <si>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</si>
  <si>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</si>
  <si>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</si>
  <si>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</si>
  <si>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</si>
  <si>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</si>
  <si>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</si>
  <si>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</si>
  <si>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</si>
  <si>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</si>
  <si>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</si>
  <si>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</si>
  <si>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</si>
  <si>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</si>
  <si>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</si>
  <si>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</si>
  <si>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</si>
  <si>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</si>
  <si>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</si>
  <si>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</si>
  <si>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</si>
  <si>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</si>
  <si>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</si>
  <si>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</si>
  <si>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</si>
  <si>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</si>
  <si>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</si>
  <si>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</si>
  <si>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</si>
  <si>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</si>
  <si>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</si>
  <si>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</si>
  <si>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</si>
  <si>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</si>
  <si>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</si>
  <si>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</si>
  <si>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</si>
  <si>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</si>
  <si>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</si>
  <si>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</si>
  <si>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</si>
  <si>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</si>
  <si>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</si>
  <si>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</si>
  <si>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</si>
  <si>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</si>
  <si>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</si>
  <si>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</si>
  <si>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</si>
  <si>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</si>
  <si>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</si>
  <si>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</si>
  <si>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</si>
  <si>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</si>
  <si>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</si>
  <si>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</si>
  <si>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</si>
  <si>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</si>
  <si>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</si>
  <si>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</si>
  <si>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</si>
  <si>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</si>
  <si>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</si>
  <si>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</si>
  <si>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</si>
  <si>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</si>
  <si>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</si>
  <si>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</si>
  <si>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</si>
  <si>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</si>
  <si>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</si>
  <si>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</si>
  <si>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</si>
  <si>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</si>
  <si>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</si>
  <si>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</si>
  <si>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</si>
  <si>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</si>
  <si>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</si>
  <si>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</si>
  <si>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</si>
  <si>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</si>
  <si>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</si>
  <si>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</si>
  <si>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</si>
  <si>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</si>
  <si>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</si>
  <si>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</si>
  <si>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</si>
  <si>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</si>
  <si>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</si>
  <si>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</si>
  <si>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</si>
  <si>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</si>
  <si>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</si>
  <si>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</si>
  <si>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</si>
  <si>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</si>
  <si>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</si>
  <si>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</si>
  <si>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</si>
  <si>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</si>
  <si>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</si>
  <si>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</si>
  <si>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</si>
  <si>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</si>
  <si>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</si>
  <si>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</si>
  <si>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</si>
  <si>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</si>
  <si>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</si>
  <si>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</si>
  <si>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</si>
  <si>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</si>
  <si>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</si>
  <si>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</si>
  <si>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</si>
  <si>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</si>
  <si>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</si>
  <si>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</si>
  <si>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</si>
  <si>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</si>
  <si>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</si>
  <si>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</si>
  <si>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</si>
  <si>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</si>
  <si>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</si>
  <si>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</si>
  <si>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</si>
  <si>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</si>
  <si>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</si>
  <si>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</si>
  <si>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</si>
  <si>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</si>
  <si>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</si>
  <si>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</si>
  <si>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</si>
  <si>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</si>
  <si>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</si>
  <si>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</si>
  <si>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</si>
  <si>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</si>
  <si>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</si>
  <si>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</si>
  <si>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</si>
  <si>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</si>
  <si>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</si>
  <si>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</si>
  <si>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</si>
  <si>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</si>
  <si>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</si>
  <si>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</si>
  <si>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</si>
  <si>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</si>
  <si>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</si>
  <si>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</si>
  <si>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</si>
  <si>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</si>
  <si>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</si>
  <si>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</si>
  <si>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</si>
  <si>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</si>
  <si>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</si>
  <si>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</si>
  <si>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</si>
  <si>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</si>
  <si>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</si>
  <si>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</si>
  <si>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</si>
  <si>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</si>
  <si>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</si>
  <si>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</si>
  <si>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</si>
  <si>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</si>
  <si>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</si>
  <si>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</si>
  <si>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</si>
  <si>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</si>
  <si>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</si>
  <si>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</si>
  <si>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</si>
  <si>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</si>
  <si>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</si>
  <si>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</si>
  <si>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</si>
  <si>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</si>
  <si>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</si>
  <si>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</si>
  <si>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</si>
  <si>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</si>
  <si>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</si>
  <si>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</si>
  <si>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</si>
  <si>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</si>
  <si>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</si>
  <si>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</si>
  <si>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</si>
  <si>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</si>
  <si>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</si>
  <si>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</si>
  <si>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</si>
  <si>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</si>
  <si>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</si>
  <si>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</si>
  <si>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</si>
  <si>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</si>
  <si>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</si>
  <si>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</si>
  <si>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</si>
  <si>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</si>
  <si>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</si>
  <si>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</si>
  <si>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</si>
  <si>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</si>
  <si>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</si>
  <si>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</si>
  <si>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</si>
  <si>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</si>
  <si>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</si>
  <si>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</si>
  <si>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</si>
  <si>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</si>
  <si>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</si>
  <si>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</si>
  <si>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</si>
  <si>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</si>
  <si>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</si>
  <si>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</si>
  <si>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</si>
  <si>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</si>
  <si>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</si>
  <si>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</si>
  <si>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</si>
  <si>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</si>
  <si>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</si>
  <si>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</si>
  <si>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</si>
  <si>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</si>
  <si>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</si>
  <si>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</si>
  <si>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</si>
  <si>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</si>
  <si>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</si>
  <si>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</si>
  <si>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</si>
  <si>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</si>
  <si>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</si>
  <si>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</si>
  <si>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</si>
  <si>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</si>
  <si>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</si>
  <si>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</si>
  <si>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</si>
  <si>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</si>
  <si>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</si>
  <si>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</si>
  <si>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</si>
  <si>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</si>
  <si>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</si>
  <si>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</si>
  <si>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</si>
  <si>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</si>
  <si>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</si>
  <si>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</si>
  <si>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</si>
  <si>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</si>
  <si>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</si>
  <si>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</si>
  <si>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</si>
  <si>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</si>
  <si>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</si>
  <si>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</si>
  <si>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</si>
  <si>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</si>
  <si>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</si>
  <si>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</si>
  <si>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</si>
  <si>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</si>
  <si>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</si>
  <si>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</si>
  <si>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</si>
  <si>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</si>
  <si>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</si>
  <si>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</si>
  <si>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</si>
  <si>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</si>
  <si>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</si>
  <si>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</si>
  <si>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</si>
  <si>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</si>
  <si>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</si>
  <si>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</si>
  <si>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</si>
  <si>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</si>
  <si>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</si>
  <si>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</si>
  <si>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</si>
  <si>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</si>
  <si>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</si>
  <si>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</si>
  <si>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</si>
  <si>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</si>
  <si>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</si>
  <si>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</si>
  <si>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</si>
  <si>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</si>
  <si>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</si>
  <si>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</si>
  <si>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</si>
  <si>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</si>
  <si>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</si>
  <si>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</si>
  <si>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</si>
  <si>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</si>
  <si>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</si>
  <si>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</si>
  <si>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</si>
  <si>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</si>
  <si>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</si>
  <si>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</si>
  <si>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</si>
  <si>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</si>
  <si>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</si>
  <si>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</si>
  <si>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</si>
  <si>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</si>
  <si>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</si>
  <si>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</si>
  <si>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</si>
  <si>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</si>
  <si>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</si>
  <si>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</si>
  <si>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</si>
  <si>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</si>
  <si>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</si>
  <si>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</si>
  <si>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</si>
  <si>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</si>
  <si>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</si>
  <si>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</si>
  <si>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</si>
  <si>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</si>
  <si>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</si>
  <si>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</si>
  <si>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</si>
  <si>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</si>
  <si>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</si>
  <si>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</si>
  <si>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</si>
  <si>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</si>
  <si>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</si>
  <si>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</si>
  <si>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</si>
  <si>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</si>
  <si>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</si>
  <si>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</si>
  <si>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</si>
  <si>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</si>
  <si>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</si>
  <si>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</si>
  <si>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</si>
  <si>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</si>
  <si>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</si>
  <si>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</si>
  <si>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</si>
  <si>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</si>
  <si>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</si>
  <si>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</si>
  <si>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</si>
  <si>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</si>
  <si>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</si>
  <si>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</si>
  <si>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</si>
  <si>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</si>
  <si>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</si>
  <si>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</si>
  <si>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</si>
  <si>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</si>
  <si>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</si>
  <si>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</si>
  <si>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</si>
  <si>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</si>
  <si>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</si>
  <si>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</si>
  <si>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</si>
  <si>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</si>
  <si>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</si>
  <si>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</si>
  <si>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</si>
  <si>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</si>
  <si>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</si>
  <si>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</si>
  <si>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</si>
  <si>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</si>
  <si>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</si>
  <si>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</si>
  <si>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</si>
  <si>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</si>
  <si>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</si>
  <si>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</si>
  <si>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</si>
  <si>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</si>
  <si>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</si>
  <si>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</si>
  <si>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</si>
  <si>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</si>
  <si>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</si>
  <si>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</si>
  <si>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</si>
  <si>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</si>
  <si>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</si>
  <si>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</si>
  <si>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</si>
  <si>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</si>
  <si>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</si>
  <si>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</si>
  <si>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</si>
  <si>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</si>
  <si>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</si>
  <si>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</si>
  <si>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</si>
  <si>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</si>
  <si>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</si>
  <si>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</si>
  <si>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</si>
  <si>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</si>
  <si>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</si>
  <si>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</si>
  <si>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</si>
  <si>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</si>
  <si>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</si>
  <si>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</si>
  <si>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</si>
  <si>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</si>
  <si>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</si>
  <si>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</si>
  <si>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</si>
  <si>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</si>
  <si>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</si>
  <si>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</si>
  <si>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</si>
  <si>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</si>
  <si>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</si>
  <si>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</si>
  <si>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</si>
  <si>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</si>
  <si>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</si>
  <si>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</si>
  <si>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</si>
  <si>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</si>
  <si>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</si>
  <si>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</si>
  <si>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</si>
  <si>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</si>
  <si>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</si>
  <si>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</si>
  <si>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</si>
  <si>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</si>
  <si>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</si>
  <si>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</si>
  <si>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</si>
  <si>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</si>
  <si>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</si>
  <si>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</si>
  <si>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</si>
  <si>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</si>
  <si>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</si>
  <si>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</si>
  <si>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</si>
  <si>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</si>
  <si>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</si>
  <si>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</si>
  <si>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</si>
  <si>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</si>
  <si>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</si>
  <si>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</si>
  <si>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</si>
  <si>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</si>
  <si>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</si>
  <si>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</si>
  <si>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</si>
  <si>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</si>
  <si>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</si>
  <si>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</si>
  <si>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</si>
  <si>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</si>
  <si>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</si>
  <si>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</si>
  <si>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</si>
  <si>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</si>
  <si>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</si>
  <si>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</si>
  <si>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</si>
  <si>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</si>
  <si>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</si>
  <si>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</si>
  <si>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</si>
  <si>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</si>
  <si>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</si>
  <si>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</si>
  <si>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12035</t>
  </si>
  <si>
    <t>SINT-KATELIJNE-WAVER</t>
  </si>
  <si>
    <t>Paarden&amp;pony's 200 - 600 kg</t>
  </si>
  <si>
    <t>Paarden&amp;pony's &lt; 200 kg</t>
  </si>
  <si>
    <t>op basis van VEA (maart 2018) en Inventaris Hernieuwbare Energiebronnen (juni 2018)</t>
  </si>
  <si>
    <t>VEA (juni 2018)</t>
  </si>
  <si>
    <t>Verlinden Dirk</t>
  </si>
  <si>
    <t>Berlaarbaan 498, 2861 Onze-Lieve-Vrouw-Waver</t>
  </si>
  <si>
    <t>WKK-0076 Verlinden Dirk</t>
  </si>
  <si>
    <t>interne verbrandingsmotor</t>
  </si>
  <si>
    <t>WKK interne verbrandinsgmotor (gas)</t>
  </si>
  <si>
    <t>IVERLEK</t>
  </si>
  <si>
    <t>Tomaver bvba</t>
  </si>
  <si>
    <t>Boterhoek 1, 2861 Onze-Lieve-Vrouw-Waver</t>
  </si>
  <si>
    <t>WKK-0088 Tomaver</t>
  </si>
  <si>
    <t>Wervic bvba</t>
  </si>
  <si>
    <t>Erfstraat 41, 2861 Onze-Lieve-Vrouw-Waver</t>
  </si>
  <si>
    <t>WKK-0101 Wervic</t>
  </si>
  <si>
    <t>Celson bvba</t>
  </si>
  <si>
    <t>Boterhoek 21, 2861 Onze-Lieve-Vrouw-Waver</t>
  </si>
  <si>
    <t>WKK-0114 Celson bvba</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</si>
  <si>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</si>
  <si>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</si>
  <si>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</si>
  <si>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</si>
  <si>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</si>
  <si>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</si>
  <si>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</si>
  <si>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</si>
  <si>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</si>
  <si>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WKK interne verbrandinsgmotor (vloeibaar)</t>
  </si>
  <si>
    <t>eilandwerking</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</si>
  <si>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</si>
  <si>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</si>
  <si>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</si>
  <si>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</si>
  <si>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</si>
  <si>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</si>
  <si>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</si>
  <si>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</si>
  <si>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</si>
  <si>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</si>
  <si>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</si>
  <si>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</si>
  <si>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</si>
  <si>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</si>
  <si>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</si>
  <si>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</si>
  <si>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</si>
  <si>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</si>
  <si>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</si>
  <si>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</si>
  <si>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</si>
  <si>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</si>
  <si>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Proefstation voor Groenteteelt</t>
  </si>
  <si>
    <t>Duffelsesteenweg 101 , 2860 Sint-Katelijne-Waver</t>
  </si>
  <si>
    <t>WKK-0308 Proefstation voor Groenteteelt</t>
  </si>
  <si>
    <t>Paul Geerts bvba</t>
  </si>
  <si>
    <t>Heivelden 33 , 2861 Onze-Lieve-Vrouw-Waver</t>
  </si>
  <si>
    <t>WKK-0272 Paul Geerts</t>
  </si>
  <si>
    <t>Eddy Van De Kerkhof</t>
  </si>
  <si>
    <t>Hoogstraat 344 , 2570 Duffel</t>
  </si>
  <si>
    <t>WKK-0359 Eddy Van De Kerkhof</t>
  </si>
  <si>
    <t>Heivelden 4 , 2861 Onze-Lieve-Vrouw-Waver</t>
  </si>
  <si>
    <t>Hydroponic</t>
  </si>
  <si>
    <t>Erfstraat 71 , 2861 Onze-Lieve-Vrouw-Waver</t>
  </si>
  <si>
    <t>WKK-0314 Hydroponic</t>
  </si>
  <si>
    <t>Ceulemans Slacenter bvba</t>
  </si>
  <si>
    <t>Hageweg 5 , 2860 Sint-Katelijne-Waver</t>
  </si>
  <si>
    <t>WKK-0326 Ceulemans Slacenter</t>
  </si>
  <si>
    <t>De Becker Elektrogroep</t>
  </si>
  <si>
    <t>Z.4 Broekooi 300, 1730 Asse</t>
  </si>
  <si>
    <t>WKK-0329 Costermans</t>
  </si>
  <si>
    <t>Koelarenveld 4 , 2861 Onze-Lieve-Vrouw-Waver</t>
  </si>
  <si>
    <t>De Weerdt Frans</t>
  </si>
  <si>
    <t>Waverstraat 17, 2860 Sint-Katelijne-Waver</t>
  </si>
  <si>
    <t>WKK-0053 De Weerdt</t>
  </si>
  <si>
    <t>Groeikracht Waver NV</t>
  </si>
  <si>
    <t>Klemlei 9, 2861 Onze-Lieve-Vrouw-Waver</t>
  </si>
  <si>
    <t>WKK-0070 Groeikracht Waver</t>
  </si>
  <si>
    <t>Verschueren Guido bvba</t>
  </si>
  <si>
    <t>Kleuterstraat 49 , 2860 Sint-Katelijne-Waver</t>
  </si>
  <si>
    <t>WKK-0367 Guido Verschueren</t>
  </si>
  <si>
    <t>De Arend BVBA</t>
  </si>
  <si>
    <t>Berkenhoekstraat 14 , 2861 Onze-Lieve-Vrouw-Waver</t>
  </si>
  <si>
    <t>WKK-0339 De Arend</t>
  </si>
  <si>
    <t>Wim Vertommen/Den Overkant</t>
  </si>
  <si>
    <t>Koelarenveld 5, 2861 Onze-Lieve-Vrouw-Waver</t>
  </si>
  <si>
    <t>WKK-0095 Wim Vertommen-Den Overkant</t>
  </si>
  <si>
    <t>Krikato BVBA</t>
  </si>
  <si>
    <t>Uilelei 7 , 2861 Onze-Lieve-Vrouw-Waver</t>
  </si>
  <si>
    <t>WKK-0089 Krikato</t>
  </si>
  <si>
    <t>Jozef De Weerdt BVBA</t>
  </si>
  <si>
    <t>WKK-0090 Jozef De Weerdt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</si>
</sst>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12035</v>
      </c>
      <c r="B6" s="397"/>
      <c r="C6" s="398"/>
    </row>
    <row r="7" spans="1:7" s="395" customFormat="1" ht="15.75" customHeight="1">
      <c r="A7" s="399" t="str">
        <f>txtMunicipality</f>
        <v>SINT-KATELIJNE-WAVER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55026.674778193308</v>
      </c>
      <c r="D10" s="688">
        <f ca="1">tertiair!C16</f>
        <v>1542.8571428571429</v>
      </c>
      <c r="E10" s="688">
        <f ca="1">tertiair!D16</f>
        <v>46252.596923617682</v>
      </c>
      <c r="F10" s="688">
        <f>tertiair!E16</f>
        <v>436.91052627150088</v>
      </c>
      <c r="G10" s="688">
        <f ca="1">tertiair!F16</f>
        <v>10770.758150843234</v>
      </c>
      <c r="H10" s="688">
        <f>tertiair!G16</f>
        <v>0</v>
      </c>
      <c r="I10" s="688">
        <f>tertiair!H16</f>
        <v>0</v>
      </c>
      <c r="J10" s="688">
        <f>tertiair!I16</f>
        <v>0</v>
      </c>
      <c r="K10" s="688">
        <f>tertiair!J16</f>
        <v>0</v>
      </c>
      <c r="L10" s="688">
        <f>tertiair!K16</f>
        <v>0</v>
      </c>
      <c r="M10" s="688">
        <f ca="1">tertiair!L16</f>
        <v>0</v>
      </c>
      <c r="N10" s="688">
        <f>tertiair!M16</f>
        <v>0</v>
      </c>
      <c r="O10" s="688">
        <f ca="1">tertiair!N16</f>
        <v>1347.9640485856146</v>
      </c>
      <c r="P10" s="688">
        <f>tertiair!O16</f>
        <v>3.1266666666666669</v>
      </c>
      <c r="Q10" s="689">
        <f>tertiair!P16</f>
        <v>0</v>
      </c>
      <c r="R10" s="691">
        <f ca="1">SUM(C10:Q10)</f>
        <v>115380.88823703515</v>
      </c>
      <c r="S10" s="68"/>
    </row>
    <row r="11" spans="1:19" s="457" customFormat="1">
      <c r="A11" s="803" t="s">
        <v>225</v>
      </c>
      <c r="B11" s="808"/>
      <c r="C11" s="688">
        <f>huishoudens!B8</f>
        <v>36973.35516313152</v>
      </c>
      <c r="D11" s="688">
        <f>huishoudens!C8</f>
        <v>0</v>
      </c>
      <c r="E11" s="688">
        <f>huishoudens!D8</f>
        <v>85140.90956375534</v>
      </c>
      <c r="F11" s="688">
        <f>huishoudens!E8</f>
        <v>3563.3202012024944</v>
      </c>
      <c r="G11" s="688">
        <f>huishoudens!F8</f>
        <v>30606.690591082297</v>
      </c>
      <c r="H11" s="688">
        <f>huishoudens!G8</f>
        <v>0</v>
      </c>
      <c r="I11" s="688">
        <f>huishoudens!H8</f>
        <v>0</v>
      </c>
      <c r="J11" s="688">
        <f>huishoudens!I8</f>
        <v>0</v>
      </c>
      <c r="K11" s="688">
        <f>huishoudens!J8</f>
        <v>1341.1732999141786</v>
      </c>
      <c r="L11" s="688">
        <f>huishoudens!K8</f>
        <v>0</v>
      </c>
      <c r="M11" s="688">
        <f>huishoudens!L8</f>
        <v>0</v>
      </c>
      <c r="N11" s="688">
        <f>huishoudens!M8</f>
        <v>0</v>
      </c>
      <c r="O11" s="688">
        <f>huishoudens!N8</f>
        <v>9720.5081901485064</v>
      </c>
      <c r="P11" s="688">
        <f>huishoudens!O8</f>
        <v>137.57333333333335</v>
      </c>
      <c r="Q11" s="689">
        <f>huishoudens!P8</f>
        <v>495.73333333333335</v>
      </c>
      <c r="R11" s="691">
        <f>SUM(C11:Q11)</f>
        <v>167979.26367590102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5330.7837604821125</v>
      </c>
      <c r="D13" s="688">
        <f>industrie!C18</f>
        <v>0</v>
      </c>
      <c r="E13" s="688">
        <f>industrie!D18</f>
        <v>7743.9102153838267</v>
      </c>
      <c r="F13" s="688">
        <f>industrie!E18</f>
        <v>43.747130453520271</v>
      </c>
      <c r="G13" s="688">
        <f>industrie!F18</f>
        <v>1838.2436263730033</v>
      </c>
      <c r="H13" s="688">
        <f>industrie!G18</f>
        <v>0</v>
      </c>
      <c r="I13" s="688">
        <f>industrie!H18</f>
        <v>0</v>
      </c>
      <c r="J13" s="688">
        <f>industrie!I18</f>
        <v>0</v>
      </c>
      <c r="K13" s="688">
        <f>industrie!J18</f>
        <v>23.207654375363859</v>
      </c>
      <c r="L13" s="688">
        <f>industrie!K18</f>
        <v>0</v>
      </c>
      <c r="M13" s="688">
        <f>industrie!L18</f>
        <v>0</v>
      </c>
      <c r="N13" s="688">
        <f>industrie!M18</f>
        <v>0</v>
      </c>
      <c r="O13" s="688">
        <f>industrie!N18</f>
        <v>206.7129557836941</v>
      </c>
      <c r="P13" s="688">
        <f>industrie!O18</f>
        <v>0</v>
      </c>
      <c r="Q13" s="689">
        <f>industrie!P18</f>
        <v>0</v>
      </c>
      <c r="R13" s="691">
        <f>SUM(C13:Q13)</f>
        <v>15186.605342851522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97330.813701806939</v>
      </c>
      <c r="D16" s="721">
        <f t="shared" ref="D16:R16" ca="1" si="0">SUM(D9:D15)</f>
        <v>1542.8571428571429</v>
      </c>
      <c r="E16" s="721">
        <f t="shared" ca="1" si="0"/>
        <v>139137.41670275686</v>
      </c>
      <c r="F16" s="721">
        <f t="shared" si="0"/>
        <v>4043.9778579275153</v>
      </c>
      <c r="G16" s="721">
        <f t="shared" ca="1" si="0"/>
        <v>43215.692368298536</v>
      </c>
      <c r="H16" s="721">
        <f t="shared" si="0"/>
        <v>0</v>
      </c>
      <c r="I16" s="721">
        <f t="shared" si="0"/>
        <v>0</v>
      </c>
      <c r="J16" s="721">
        <f t="shared" si="0"/>
        <v>0</v>
      </c>
      <c r="K16" s="721">
        <f t="shared" si="0"/>
        <v>1364.3809542895424</v>
      </c>
      <c r="L16" s="721">
        <f t="shared" si="0"/>
        <v>0</v>
      </c>
      <c r="M16" s="721">
        <f t="shared" ca="1" si="0"/>
        <v>0</v>
      </c>
      <c r="N16" s="721">
        <f t="shared" si="0"/>
        <v>0</v>
      </c>
      <c r="O16" s="721">
        <f t="shared" ca="1" si="0"/>
        <v>11275.185194517815</v>
      </c>
      <c r="P16" s="721">
        <f t="shared" si="0"/>
        <v>140.70000000000002</v>
      </c>
      <c r="Q16" s="721">
        <f t="shared" si="0"/>
        <v>495.73333333333335</v>
      </c>
      <c r="R16" s="721">
        <f t="shared" ca="1" si="0"/>
        <v>298546.75725578773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2596.8614276315943</v>
      </c>
      <c r="I19" s="688">
        <f>transport!H54</f>
        <v>0</v>
      </c>
      <c r="J19" s="688">
        <f>transport!I54</f>
        <v>0</v>
      </c>
      <c r="K19" s="688">
        <f>transport!J54</f>
        <v>0</v>
      </c>
      <c r="L19" s="688">
        <f>transport!K54</f>
        <v>0</v>
      </c>
      <c r="M19" s="688">
        <f>transport!L54</f>
        <v>0</v>
      </c>
      <c r="N19" s="688">
        <f>transport!M54</f>
        <v>114.03246907818398</v>
      </c>
      <c r="O19" s="688">
        <f>transport!N54</f>
        <v>0</v>
      </c>
      <c r="P19" s="688">
        <f>transport!O54</f>
        <v>0</v>
      </c>
      <c r="Q19" s="689">
        <f>transport!P54</f>
        <v>0</v>
      </c>
      <c r="R19" s="691">
        <f>SUM(C19:Q19)</f>
        <v>2710.8938967097783</v>
      </c>
      <c r="S19" s="68"/>
    </row>
    <row r="20" spans="1:19" s="457" customFormat="1">
      <c r="A20" s="803" t="s">
        <v>307</v>
      </c>
      <c r="B20" s="808"/>
      <c r="C20" s="688">
        <f>transport!B14</f>
        <v>1.5857698762196042</v>
      </c>
      <c r="D20" s="688">
        <f>transport!C14</f>
        <v>0</v>
      </c>
      <c r="E20" s="688">
        <f>transport!D14</f>
        <v>4.472088035479473</v>
      </c>
      <c r="F20" s="688">
        <f>transport!E14</f>
        <v>258.44984932401201</v>
      </c>
      <c r="G20" s="688">
        <f>transport!F14</f>
        <v>0</v>
      </c>
      <c r="H20" s="688">
        <f>transport!G14</f>
        <v>48702.782034024298</v>
      </c>
      <c r="I20" s="688">
        <f>transport!H14</f>
        <v>9918.536489964943</v>
      </c>
      <c r="J20" s="688">
        <f>transport!I14</f>
        <v>0</v>
      </c>
      <c r="K20" s="688">
        <f>transport!J14</f>
        <v>0</v>
      </c>
      <c r="L20" s="688">
        <f>transport!K14</f>
        <v>0</v>
      </c>
      <c r="M20" s="688">
        <f>transport!L14</f>
        <v>0</v>
      </c>
      <c r="N20" s="688">
        <f>transport!M14</f>
        <v>2622.4500213477786</v>
      </c>
      <c r="O20" s="688">
        <f>transport!N14</f>
        <v>0</v>
      </c>
      <c r="P20" s="688">
        <f>transport!O14</f>
        <v>0</v>
      </c>
      <c r="Q20" s="689">
        <f>transport!P14</f>
        <v>0</v>
      </c>
      <c r="R20" s="691">
        <f>SUM(C20:Q20)</f>
        <v>61508.27625257273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1.5857698762196042</v>
      </c>
      <c r="D22" s="806">
        <f t="shared" ref="D22:R22" si="1">SUM(D18:D21)</f>
        <v>0</v>
      </c>
      <c r="E22" s="806">
        <f t="shared" si="1"/>
        <v>4.472088035479473</v>
      </c>
      <c r="F22" s="806">
        <f t="shared" si="1"/>
        <v>258.44984932401201</v>
      </c>
      <c r="G22" s="806">
        <f t="shared" si="1"/>
        <v>0</v>
      </c>
      <c r="H22" s="806">
        <f t="shared" si="1"/>
        <v>51299.643461655891</v>
      </c>
      <c r="I22" s="806">
        <f t="shared" si="1"/>
        <v>9918.536489964943</v>
      </c>
      <c r="J22" s="806">
        <f t="shared" si="1"/>
        <v>0</v>
      </c>
      <c r="K22" s="806">
        <f t="shared" si="1"/>
        <v>0</v>
      </c>
      <c r="L22" s="806">
        <f t="shared" si="1"/>
        <v>0</v>
      </c>
      <c r="M22" s="806">
        <f t="shared" si="1"/>
        <v>0</v>
      </c>
      <c r="N22" s="806">
        <f t="shared" si="1"/>
        <v>2736.4824904259626</v>
      </c>
      <c r="O22" s="806">
        <f t="shared" si="1"/>
        <v>0</v>
      </c>
      <c r="P22" s="806">
        <f t="shared" si="1"/>
        <v>0</v>
      </c>
      <c r="Q22" s="806">
        <f t="shared" si="1"/>
        <v>0</v>
      </c>
      <c r="R22" s="806">
        <f t="shared" si="1"/>
        <v>64219.170149282509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6555.4258273105916</v>
      </c>
      <c r="D24" s="688">
        <f>+landbouw!C8</f>
        <v>213014.25</v>
      </c>
      <c r="E24" s="688">
        <f>+landbouw!D8</f>
        <v>66001.163757808506</v>
      </c>
      <c r="F24" s="688">
        <f>+landbouw!E8</f>
        <v>61.756503572650438</v>
      </c>
      <c r="G24" s="688">
        <f>+landbouw!F8</f>
        <v>9782.5300292822285</v>
      </c>
      <c r="H24" s="688">
        <f>+landbouw!G8</f>
        <v>0</v>
      </c>
      <c r="I24" s="688">
        <f>+landbouw!H8</f>
        <v>0</v>
      </c>
      <c r="J24" s="688">
        <f>+landbouw!I8</f>
        <v>0</v>
      </c>
      <c r="K24" s="688">
        <f>+landbouw!J8</f>
        <v>810.93806042341942</v>
      </c>
      <c r="L24" s="688">
        <f>+landbouw!K8</f>
        <v>0</v>
      </c>
      <c r="M24" s="688">
        <f>+landbouw!L8</f>
        <v>0</v>
      </c>
      <c r="N24" s="688">
        <f>+landbouw!M8</f>
        <v>0</v>
      </c>
      <c r="O24" s="688">
        <f>+landbouw!N8</f>
        <v>0</v>
      </c>
      <c r="P24" s="688">
        <f>+landbouw!O8</f>
        <v>0</v>
      </c>
      <c r="Q24" s="689">
        <f>+landbouw!P8</f>
        <v>0</v>
      </c>
      <c r="R24" s="691">
        <f>SUM(C24:Q24)</f>
        <v>296226.06417839736</v>
      </c>
      <c r="S24" s="68"/>
    </row>
    <row r="25" spans="1:19" s="457" customFormat="1" ht="15" thickBot="1">
      <c r="A25" s="825" t="s">
        <v>912</v>
      </c>
      <c r="B25" s="1001"/>
      <c r="C25" s="1002">
        <f>IF(Onbekend_ele_kWh="---",0,Onbekend_ele_kWh)/1000+IF(REST_rest_ele_kWh="---",0,REST_rest_ele_kWh)/1000</f>
        <v>1092.0708794563302</v>
      </c>
      <c r="D25" s="1002"/>
      <c r="E25" s="1002">
        <f>IF(onbekend_gas_kWh="---",0,onbekend_gas_kWh)/1000+IF(REST_rest_gas_kWh="---",0,REST_rest_gas_kWh)/1000</f>
        <v>3290.5689494810699</v>
      </c>
      <c r="F25" s="1002"/>
      <c r="G25" s="1002"/>
      <c r="H25" s="1002"/>
      <c r="I25" s="1002"/>
      <c r="J25" s="1002"/>
      <c r="K25" s="1002"/>
      <c r="L25" s="1002"/>
      <c r="M25" s="1002"/>
      <c r="N25" s="1002"/>
      <c r="O25" s="1002"/>
      <c r="P25" s="1002"/>
      <c r="Q25" s="1003"/>
      <c r="R25" s="691">
        <f>SUM(C25:Q25)</f>
        <v>4382.6398289374001</v>
      </c>
      <c r="S25" s="68"/>
    </row>
    <row r="26" spans="1:19" s="457" customFormat="1" ht="15.75" thickBot="1">
      <c r="A26" s="694" t="s">
        <v>913</v>
      </c>
      <c r="B26" s="811"/>
      <c r="C26" s="806">
        <f>SUM(C24:C25)</f>
        <v>7647.4967067669222</v>
      </c>
      <c r="D26" s="806">
        <f t="shared" ref="D26:R26" si="2">SUM(D24:D25)</f>
        <v>213014.25</v>
      </c>
      <c r="E26" s="806">
        <f t="shared" si="2"/>
        <v>69291.732707289571</v>
      </c>
      <c r="F26" s="806">
        <f t="shared" si="2"/>
        <v>61.756503572650438</v>
      </c>
      <c r="G26" s="806">
        <f t="shared" si="2"/>
        <v>9782.5300292822285</v>
      </c>
      <c r="H26" s="806">
        <f t="shared" si="2"/>
        <v>0</v>
      </c>
      <c r="I26" s="806">
        <f t="shared" si="2"/>
        <v>0</v>
      </c>
      <c r="J26" s="806">
        <f t="shared" si="2"/>
        <v>0</v>
      </c>
      <c r="K26" s="806">
        <f t="shared" si="2"/>
        <v>810.93806042341942</v>
      </c>
      <c r="L26" s="806">
        <f t="shared" si="2"/>
        <v>0</v>
      </c>
      <c r="M26" s="806">
        <f t="shared" si="2"/>
        <v>0</v>
      </c>
      <c r="N26" s="806">
        <f t="shared" si="2"/>
        <v>0</v>
      </c>
      <c r="O26" s="806">
        <f t="shared" si="2"/>
        <v>0</v>
      </c>
      <c r="P26" s="806">
        <f t="shared" si="2"/>
        <v>0</v>
      </c>
      <c r="Q26" s="806">
        <f t="shared" si="2"/>
        <v>0</v>
      </c>
      <c r="R26" s="806">
        <f t="shared" si="2"/>
        <v>300608.70400733477</v>
      </c>
      <c r="S26" s="68"/>
    </row>
    <row r="27" spans="1:19" s="457" customFormat="1" ht="17.25" thickTop="1" thickBot="1">
      <c r="A27" s="695" t="s">
        <v>116</v>
      </c>
      <c r="B27" s="798"/>
      <c r="C27" s="696">
        <f ca="1">C22+C16+C26</f>
        <v>104979.89617845009</v>
      </c>
      <c r="D27" s="696">
        <f t="shared" ref="D27:R27" ca="1" si="3">D22+D16+D26</f>
        <v>214557.10714285713</v>
      </c>
      <c r="E27" s="696">
        <f t="shared" ca="1" si="3"/>
        <v>208433.62149808192</v>
      </c>
      <c r="F27" s="696">
        <f t="shared" si="3"/>
        <v>4364.1842108241772</v>
      </c>
      <c r="G27" s="696">
        <f t="shared" ca="1" si="3"/>
        <v>52998.222397580765</v>
      </c>
      <c r="H27" s="696">
        <f t="shared" si="3"/>
        <v>51299.643461655891</v>
      </c>
      <c r="I27" s="696">
        <f t="shared" si="3"/>
        <v>9918.536489964943</v>
      </c>
      <c r="J27" s="696">
        <f t="shared" si="3"/>
        <v>0</v>
      </c>
      <c r="K27" s="696">
        <f t="shared" si="3"/>
        <v>2175.3190147129617</v>
      </c>
      <c r="L27" s="696">
        <f t="shared" si="3"/>
        <v>0</v>
      </c>
      <c r="M27" s="696">
        <f t="shared" ca="1" si="3"/>
        <v>0</v>
      </c>
      <c r="N27" s="696">
        <f t="shared" si="3"/>
        <v>2736.4824904259626</v>
      </c>
      <c r="O27" s="696">
        <f t="shared" ca="1" si="3"/>
        <v>11275.185194517815</v>
      </c>
      <c r="P27" s="696">
        <f t="shared" si="3"/>
        <v>140.70000000000002</v>
      </c>
      <c r="Q27" s="696">
        <f t="shared" si="3"/>
        <v>495.73333333333335</v>
      </c>
      <c r="R27" s="696">
        <f t="shared" ca="1" si="3"/>
        <v>663374.63141240506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11240.515210270545</v>
      </c>
      <c r="D40" s="688">
        <f ca="1">tertiair!C20</f>
        <v>330.93022577220864</v>
      </c>
      <c r="E40" s="688">
        <f ca="1">tertiair!D20</f>
        <v>9343.0245785707721</v>
      </c>
      <c r="F40" s="688">
        <f>tertiair!E20</f>
        <v>99.178689463630704</v>
      </c>
      <c r="G40" s="688">
        <f ca="1">tertiair!F20</f>
        <v>2875.7924262751435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23889.441130352301</v>
      </c>
    </row>
    <row r="41" spans="1:18">
      <c r="A41" s="816" t="s">
        <v>225</v>
      </c>
      <c r="B41" s="823"/>
      <c r="C41" s="688">
        <f ca="1">huishoudens!B12</f>
        <v>7552.6926306405521</v>
      </c>
      <c r="D41" s="688">
        <f ca="1">huishoudens!C12</f>
        <v>0</v>
      </c>
      <c r="E41" s="688">
        <f>huishoudens!D12</f>
        <v>17198.463731878579</v>
      </c>
      <c r="F41" s="688">
        <f>huishoudens!E12</f>
        <v>808.8736856729663</v>
      </c>
      <c r="G41" s="688">
        <f>huishoudens!F12</f>
        <v>8171.9863878189735</v>
      </c>
      <c r="H41" s="688">
        <f>huishoudens!G12</f>
        <v>0</v>
      </c>
      <c r="I41" s="688">
        <f>huishoudens!H12</f>
        <v>0</v>
      </c>
      <c r="J41" s="688">
        <f>huishoudens!I12</f>
        <v>0</v>
      </c>
      <c r="K41" s="688">
        <f>huishoudens!J12</f>
        <v>474.77534816961924</v>
      </c>
      <c r="L41" s="688">
        <f>huishoudens!K12</f>
        <v>0</v>
      </c>
      <c r="M41" s="688">
        <f>huishoudens!L12</f>
        <v>0</v>
      </c>
      <c r="N41" s="688">
        <f>huishoudens!M12</f>
        <v>0</v>
      </c>
      <c r="O41" s="688">
        <f>huishoudens!N12</f>
        <v>0</v>
      </c>
      <c r="P41" s="688">
        <f>huishoudens!O12</f>
        <v>0</v>
      </c>
      <c r="Q41" s="763">
        <f>huishoudens!P12</f>
        <v>0</v>
      </c>
      <c r="R41" s="844">
        <f t="shared" ca="1" si="4"/>
        <v>34206.791784180692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1088.9401582759021</v>
      </c>
      <c r="D43" s="688">
        <f ca="1">industrie!C22</f>
        <v>0</v>
      </c>
      <c r="E43" s="688">
        <f>industrie!D22</f>
        <v>1564.269863507533</v>
      </c>
      <c r="F43" s="688">
        <f>industrie!E22</f>
        <v>9.9305986129491011</v>
      </c>
      <c r="G43" s="688">
        <f>industrie!F22</f>
        <v>490.81104824159189</v>
      </c>
      <c r="H43" s="688">
        <f>industrie!G22</f>
        <v>0</v>
      </c>
      <c r="I43" s="688">
        <f>industrie!H22</f>
        <v>0</v>
      </c>
      <c r="J43" s="688">
        <f>industrie!I22</f>
        <v>0</v>
      </c>
      <c r="K43" s="688">
        <f>industrie!J22</f>
        <v>8.2155096488788057</v>
      </c>
      <c r="L43" s="688">
        <f>industrie!K22</f>
        <v>0</v>
      </c>
      <c r="M43" s="688">
        <f>industrie!L22</f>
        <v>0</v>
      </c>
      <c r="N43" s="688">
        <f>industrie!M22</f>
        <v>0</v>
      </c>
      <c r="O43" s="688">
        <f>industrie!N22</f>
        <v>0</v>
      </c>
      <c r="P43" s="688">
        <f>industrie!O22</f>
        <v>0</v>
      </c>
      <c r="Q43" s="763">
        <f>industrie!P22</f>
        <v>0</v>
      </c>
      <c r="R43" s="843">
        <f t="shared" ca="1" si="4"/>
        <v>3162.1671782868548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19882.147999187</v>
      </c>
      <c r="D46" s="721">
        <f t="shared" ref="D46:Q46" ca="1" si="5">SUM(D39:D45)</f>
        <v>330.93022577220864</v>
      </c>
      <c r="E46" s="721">
        <f t="shared" ca="1" si="5"/>
        <v>28105.758173956881</v>
      </c>
      <c r="F46" s="721">
        <f t="shared" si="5"/>
        <v>917.98297374954609</v>
      </c>
      <c r="G46" s="721">
        <f t="shared" ca="1" si="5"/>
        <v>11538.58986233571</v>
      </c>
      <c r="H46" s="721">
        <f t="shared" si="5"/>
        <v>0</v>
      </c>
      <c r="I46" s="721">
        <f t="shared" si="5"/>
        <v>0</v>
      </c>
      <c r="J46" s="721">
        <f t="shared" si="5"/>
        <v>0</v>
      </c>
      <c r="K46" s="721">
        <f t="shared" si="5"/>
        <v>482.99085781849806</v>
      </c>
      <c r="L46" s="721">
        <f t="shared" si="5"/>
        <v>0</v>
      </c>
      <c r="M46" s="721">
        <f t="shared" ca="1" si="5"/>
        <v>0</v>
      </c>
      <c r="N46" s="721">
        <f t="shared" si="5"/>
        <v>0</v>
      </c>
      <c r="O46" s="721">
        <f t="shared" ca="1" si="5"/>
        <v>0</v>
      </c>
      <c r="P46" s="721">
        <f t="shared" si="5"/>
        <v>0</v>
      </c>
      <c r="Q46" s="721">
        <f t="shared" si="5"/>
        <v>0</v>
      </c>
      <c r="R46" s="721">
        <f ca="1">SUM(R39:R45)</f>
        <v>61258.400092819851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693.36200117763576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693.36200117763576</v>
      </c>
    </row>
    <row r="50" spans="1:18">
      <c r="A50" s="819" t="s">
        <v>307</v>
      </c>
      <c r="B50" s="829"/>
      <c r="C50" s="1008">
        <f ca="1">transport!B18</f>
        <v>0.32393144752950215</v>
      </c>
      <c r="D50" s="1008">
        <f>transport!C18</f>
        <v>0</v>
      </c>
      <c r="E50" s="1008">
        <f>transport!D18</f>
        <v>0.90336178316685356</v>
      </c>
      <c r="F50" s="1008">
        <f>transport!E18</f>
        <v>58.66811579655073</v>
      </c>
      <c r="G50" s="1008">
        <f>transport!F18</f>
        <v>0</v>
      </c>
      <c r="H50" s="1008">
        <f>transport!G18</f>
        <v>13003.642803084489</v>
      </c>
      <c r="I50" s="1008">
        <f>transport!H18</f>
        <v>2469.7155860012708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15533.253798113008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0.32393144752950215</v>
      </c>
      <c r="D52" s="721">
        <f t="shared" ref="D52:Q52" ca="1" si="6">SUM(D48:D51)</f>
        <v>0</v>
      </c>
      <c r="E52" s="721">
        <f t="shared" si="6"/>
        <v>0.90336178316685356</v>
      </c>
      <c r="F52" s="721">
        <f t="shared" si="6"/>
        <v>58.66811579655073</v>
      </c>
      <c r="G52" s="721">
        <f t="shared" si="6"/>
        <v>0</v>
      </c>
      <c r="H52" s="721">
        <f t="shared" si="6"/>
        <v>13697.004804262126</v>
      </c>
      <c r="I52" s="721">
        <f t="shared" si="6"/>
        <v>2469.7155860012708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16226.615799290645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1339.1026083023735</v>
      </c>
      <c r="D54" s="1008">
        <f ca="1">+landbouw!C12</f>
        <v>45689.812677442947</v>
      </c>
      <c r="E54" s="1008">
        <f>+landbouw!D12</f>
        <v>13332.23507907732</v>
      </c>
      <c r="F54" s="1008">
        <f>+landbouw!E12</f>
        <v>14.018726310991649</v>
      </c>
      <c r="G54" s="1008">
        <f>+landbouw!F12</f>
        <v>2611.935517818355</v>
      </c>
      <c r="H54" s="1008">
        <f>+landbouw!G12</f>
        <v>0</v>
      </c>
      <c r="I54" s="1008">
        <f>+landbouw!H12</f>
        <v>0</v>
      </c>
      <c r="J54" s="1008">
        <f>+landbouw!I12</f>
        <v>0</v>
      </c>
      <c r="K54" s="1008">
        <f>+landbouw!J12</f>
        <v>287.07207338989048</v>
      </c>
      <c r="L54" s="1008">
        <f>+landbouw!K12</f>
        <v>0</v>
      </c>
      <c r="M54" s="1008">
        <f>+landbouw!L12</f>
        <v>0</v>
      </c>
      <c r="N54" s="1008">
        <f>+landbouw!M12</f>
        <v>0</v>
      </c>
      <c r="O54" s="1008">
        <f>+landbouw!N12</f>
        <v>0</v>
      </c>
      <c r="P54" s="1008">
        <f>+landbouw!O12</f>
        <v>0</v>
      </c>
      <c r="Q54" s="1009">
        <f>+landbouw!P12</f>
        <v>0</v>
      </c>
      <c r="R54" s="720">
        <f ca="1">SUM(C54:Q54)</f>
        <v>63274.17668234188</v>
      </c>
    </row>
    <row r="55" spans="1:18" ht="15" thickBot="1">
      <c r="A55" s="819" t="s">
        <v>912</v>
      </c>
      <c r="B55" s="829"/>
      <c r="C55" s="1008">
        <f ca="1">C25*'EF ele_warmte'!B12</f>
        <v>223.08161233989529</v>
      </c>
      <c r="D55" s="1008"/>
      <c r="E55" s="1008">
        <f>E25*EF_CO2_aardgas</f>
        <v>664.69492779517611</v>
      </c>
      <c r="F55" s="1008"/>
      <c r="G55" s="1008"/>
      <c r="H55" s="1008"/>
      <c r="I55" s="1008"/>
      <c r="J55" s="1008"/>
      <c r="K55" s="1008"/>
      <c r="L55" s="1008"/>
      <c r="M55" s="1008"/>
      <c r="N55" s="1008"/>
      <c r="O55" s="1008"/>
      <c r="P55" s="1008"/>
      <c r="Q55" s="1009"/>
      <c r="R55" s="720">
        <f ca="1">SUM(C55:Q55)</f>
        <v>887.7765401350714</v>
      </c>
    </row>
    <row r="56" spans="1:18" ht="15.75" thickBot="1">
      <c r="A56" s="817" t="s">
        <v>913</v>
      </c>
      <c r="B56" s="830"/>
      <c r="C56" s="721">
        <f ca="1">SUM(C54:C55)</f>
        <v>1562.1842206422689</v>
      </c>
      <c r="D56" s="721">
        <f t="shared" ref="D56:Q56" ca="1" si="7">SUM(D54:D55)</f>
        <v>45689.812677442947</v>
      </c>
      <c r="E56" s="721">
        <f t="shared" si="7"/>
        <v>13996.930006872495</v>
      </c>
      <c r="F56" s="721">
        <f t="shared" si="7"/>
        <v>14.018726310991649</v>
      </c>
      <c r="G56" s="721">
        <f t="shared" si="7"/>
        <v>2611.935517818355</v>
      </c>
      <c r="H56" s="721">
        <f t="shared" si="7"/>
        <v>0</v>
      </c>
      <c r="I56" s="721">
        <f t="shared" si="7"/>
        <v>0</v>
      </c>
      <c r="J56" s="721">
        <f t="shared" si="7"/>
        <v>0</v>
      </c>
      <c r="K56" s="721">
        <f t="shared" si="7"/>
        <v>287.07207338989048</v>
      </c>
      <c r="L56" s="721">
        <f t="shared" si="7"/>
        <v>0</v>
      </c>
      <c r="M56" s="721">
        <f t="shared" si="7"/>
        <v>0</v>
      </c>
      <c r="N56" s="721">
        <f t="shared" si="7"/>
        <v>0</v>
      </c>
      <c r="O56" s="721">
        <f t="shared" si="7"/>
        <v>0</v>
      </c>
      <c r="P56" s="721">
        <f t="shared" si="7"/>
        <v>0</v>
      </c>
      <c r="Q56" s="722">
        <f t="shared" si="7"/>
        <v>0</v>
      </c>
      <c r="R56" s="723">
        <f ca="1">SUM(R54:R55)</f>
        <v>64161.95322247695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21444.656151276798</v>
      </c>
      <c r="D61" s="729">
        <f t="shared" ref="D61:Q61" ca="1" si="8">D46+D52+D56</f>
        <v>46020.742903215156</v>
      </c>
      <c r="E61" s="729">
        <f t="shared" ca="1" si="8"/>
        <v>42103.591542612543</v>
      </c>
      <c r="F61" s="729">
        <f t="shared" si="8"/>
        <v>990.66981585708845</v>
      </c>
      <c r="G61" s="729">
        <f t="shared" ca="1" si="8"/>
        <v>14150.525380154064</v>
      </c>
      <c r="H61" s="729">
        <f t="shared" si="8"/>
        <v>13697.004804262126</v>
      </c>
      <c r="I61" s="729">
        <f t="shared" si="8"/>
        <v>2469.7155860012708</v>
      </c>
      <c r="J61" s="729">
        <f t="shared" si="8"/>
        <v>0</v>
      </c>
      <c r="K61" s="729">
        <f t="shared" si="8"/>
        <v>770.06293120838859</v>
      </c>
      <c r="L61" s="729">
        <f t="shared" si="8"/>
        <v>0</v>
      </c>
      <c r="M61" s="729">
        <f t="shared" ca="1" si="8"/>
        <v>0</v>
      </c>
      <c r="N61" s="729">
        <f t="shared" si="8"/>
        <v>0</v>
      </c>
      <c r="O61" s="729">
        <f t="shared" ca="1" si="8"/>
        <v>0</v>
      </c>
      <c r="P61" s="729">
        <f t="shared" si="8"/>
        <v>0</v>
      </c>
      <c r="Q61" s="729">
        <f t="shared" si="8"/>
        <v>0</v>
      </c>
      <c r="R61" s="729">
        <f ca="1">R46+R52+R56</f>
        <v>141646.96911458747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0.20427393178998859</v>
      </c>
      <c r="D63" s="773">
        <f t="shared" ca="1" si="9"/>
        <v>0.2144918130005056</v>
      </c>
      <c r="E63" s="1010">
        <f t="shared" ca="1" si="9"/>
        <v>0.20199999999999999</v>
      </c>
      <c r="F63" s="773">
        <f t="shared" si="9"/>
        <v>0.22700000000000006</v>
      </c>
      <c r="G63" s="773">
        <f t="shared" ca="1" si="9"/>
        <v>0.26700000000000002</v>
      </c>
      <c r="H63" s="773">
        <f t="shared" si="9"/>
        <v>0.26700000000000007</v>
      </c>
      <c r="I63" s="773">
        <f t="shared" si="9"/>
        <v>0.249</v>
      </c>
      <c r="J63" s="773">
        <f t="shared" si="9"/>
        <v>0</v>
      </c>
      <c r="K63" s="773">
        <f t="shared" si="9"/>
        <v>0.35400000000000009</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7757.8583956943858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16443.957002926894</v>
      </c>
      <c r="C76" s="739">
        <f>'lokale energieproductie'!B8*IFERROR(SUM(D76:H76)/SUM(D76:O76),0)</f>
        <v>138649.66799707312</v>
      </c>
      <c r="D76" s="1020">
        <f>'lokale energieproductie'!C8</f>
        <v>158246.07177934033</v>
      </c>
      <c r="E76" s="1021">
        <f>'lokale energieproductie'!D8</f>
        <v>0</v>
      </c>
      <c r="F76" s="1021">
        <f>'lokale energieproductie'!E8</f>
        <v>4871.1846878044771</v>
      </c>
      <c r="G76" s="1021">
        <f>'lokale energieproductie'!F8</f>
        <v>0</v>
      </c>
      <c r="H76" s="1021">
        <f>'lokale energieproductie'!G8</f>
        <v>0</v>
      </c>
      <c r="I76" s="1021">
        <f>'lokale energieproductie'!I8</f>
        <v>19333.694264774356</v>
      </c>
      <c r="J76" s="1021">
        <f>'lokale energieproductie'!J8</f>
        <v>12.1375033749281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33266.312811070544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24201.815398621278</v>
      </c>
      <c r="C78" s="744">
        <f>SUM(C72:C77)</f>
        <v>138649.66799707312</v>
      </c>
      <c r="D78" s="745">
        <f t="shared" ref="D78:H78" si="10">SUM(D76:D77)</f>
        <v>158246.07177934033</v>
      </c>
      <c r="E78" s="745">
        <f t="shared" si="10"/>
        <v>0</v>
      </c>
      <c r="F78" s="745">
        <f t="shared" si="10"/>
        <v>4871.1846878044771</v>
      </c>
      <c r="G78" s="745">
        <f t="shared" si="10"/>
        <v>0</v>
      </c>
      <c r="H78" s="745">
        <f t="shared" si="10"/>
        <v>0</v>
      </c>
      <c r="I78" s="745">
        <f>SUM(I76:I77)</f>
        <v>19333.694264774356</v>
      </c>
      <c r="J78" s="745">
        <f>SUM(J76:J77)</f>
        <v>12.1375033749281</v>
      </c>
      <c r="K78" s="745">
        <f t="shared" ref="K78:L78" si="11">SUM(K76:K77)</f>
        <v>0</v>
      </c>
      <c r="L78" s="745">
        <f t="shared" si="11"/>
        <v>0</v>
      </c>
      <c r="M78" s="745">
        <f>SUM(M76:M77)</f>
        <v>0</v>
      </c>
      <c r="N78" s="745">
        <f>SUM(N76:N77)</f>
        <v>0</v>
      </c>
      <c r="O78" s="854">
        <f>SUM(O76:O77)</f>
        <v>0</v>
      </c>
      <c r="P78" s="746">
        <v>0</v>
      </c>
      <c r="Q78" s="746">
        <f>SUM(Q76:Q77)</f>
        <v>33266.312811070544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22748.632282787392</v>
      </c>
      <c r="C87" s="755">
        <f>'lokale energieproductie'!B17*IFERROR(SUM(D87:H87)/SUM(D87:O87),0)</f>
        <v>191808.47486006975</v>
      </c>
      <c r="D87" s="766">
        <f>'lokale energieproductie'!C17</f>
        <v>218918.21393494532</v>
      </c>
      <c r="E87" s="766">
        <f>'lokale energieproductie'!D17</f>
        <v>0</v>
      </c>
      <c r="F87" s="766">
        <f>'lokale energieproductie'!E17</f>
        <v>6738.815312195522</v>
      </c>
      <c r="G87" s="766">
        <f>'lokale energieproductie'!F17</f>
        <v>0</v>
      </c>
      <c r="H87" s="766">
        <f>'lokale energieproductie'!G17</f>
        <v>0</v>
      </c>
      <c r="I87" s="766">
        <f>'lokale energieproductie'!I17</f>
        <v>26746.305735225636</v>
      </c>
      <c r="J87" s="766">
        <f>'lokale energieproductie'!J17</f>
        <v>16.791068053643329</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46020.742903215156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22748.632282787392</v>
      </c>
      <c r="C90" s="744">
        <f>SUM(C87:C89)</f>
        <v>191808.47486006975</v>
      </c>
      <c r="D90" s="744">
        <f t="shared" ref="D90:H90" si="12">SUM(D87:D89)</f>
        <v>218918.21393494532</v>
      </c>
      <c r="E90" s="744">
        <f t="shared" si="12"/>
        <v>0</v>
      </c>
      <c r="F90" s="744">
        <f t="shared" si="12"/>
        <v>6738.815312195522</v>
      </c>
      <c r="G90" s="744">
        <f t="shared" si="12"/>
        <v>0</v>
      </c>
      <c r="H90" s="744">
        <f t="shared" si="12"/>
        <v>0</v>
      </c>
      <c r="I90" s="744">
        <f>SUM(I87:I89)</f>
        <v>26746.305735225636</v>
      </c>
      <c r="J90" s="744">
        <f>SUM(J87:J89)</f>
        <v>16.791068053643329</v>
      </c>
      <c r="K90" s="744">
        <f t="shared" ref="K90:L90" si="13">SUM(K87:K89)</f>
        <v>0</v>
      </c>
      <c r="L90" s="744">
        <f t="shared" si="13"/>
        <v>0</v>
      </c>
      <c r="M90" s="744">
        <f>SUM(M87:M89)</f>
        <v>0</v>
      </c>
      <c r="N90" s="744">
        <f>SUM(N87:N89)</f>
        <v>0</v>
      </c>
      <c r="O90" s="744">
        <f>SUM(O87:O89)</f>
        <v>0</v>
      </c>
      <c r="P90" s="744">
        <v>0</v>
      </c>
      <c r="Q90" s="744">
        <f>SUM(Q87:Q89)</f>
        <v>46020.742903215156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36973.35516313152</v>
      </c>
      <c r="C4" s="461">
        <f>huishoudens!C8</f>
        <v>0</v>
      </c>
      <c r="D4" s="461">
        <f>huishoudens!D8</f>
        <v>85140.90956375534</v>
      </c>
      <c r="E4" s="461">
        <f>huishoudens!E8</f>
        <v>3563.3202012024944</v>
      </c>
      <c r="F4" s="461">
        <f>huishoudens!F8</f>
        <v>30606.690591082297</v>
      </c>
      <c r="G4" s="461">
        <f>huishoudens!G8</f>
        <v>0</v>
      </c>
      <c r="H4" s="461">
        <f>huishoudens!H8</f>
        <v>0</v>
      </c>
      <c r="I4" s="461">
        <f>huishoudens!I8</f>
        <v>0</v>
      </c>
      <c r="J4" s="461">
        <f>huishoudens!J8</f>
        <v>1341.1732999141786</v>
      </c>
      <c r="K4" s="461">
        <f>huishoudens!K8</f>
        <v>0</v>
      </c>
      <c r="L4" s="461">
        <f>huishoudens!L8</f>
        <v>0</v>
      </c>
      <c r="M4" s="461">
        <f>huishoudens!M8</f>
        <v>0</v>
      </c>
      <c r="N4" s="461">
        <f>huishoudens!N8</f>
        <v>9720.5081901485064</v>
      </c>
      <c r="O4" s="461">
        <f>huishoudens!O8</f>
        <v>137.57333333333335</v>
      </c>
      <c r="P4" s="462">
        <f>huishoudens!P8</f>
        <v>495.73333333333335</v>
      </c>
      <c r="Q4" s="463">
        <f>SUM(B4:P4)</f>
        <v>167979.26367590102</v>
      </c>
    </row>
    <row r="5" spans="1:17">
      <c r="A5" s="460" t="s">
        <v>156</v>
      </c>
      <c r="B5" s="461">
        <f ca="1">tertiair!B16</f>
        <v>53403.143778193305</v>
      </c>
      <c r="C5" s="461">
        <f ca="1">tertiair!C16</f>
        <v>1542.8571428571429</v>
      </c>
      <c r="D5" s="461">
        <f ca="1">tertiair!D16</f>
        <v>46252.596923617682</v>
      </c>
      <c r="E5" s="461">
        <f>tertiair!E16</f>
        <v>436.91052627150088</v>
      </c>
      <c r="F5" s="461">
        <f ca="1">tertiair!F16</f>
        <v>10770.758150843234</v>
      </c>
      <c r="G5" s="461">
        <f>tertiair!G16</f>
        <v>0</v>
      </c>
      <c r="H5" s="461">
        <f>tertiair!H16</f>
        <v>0</v>
      </c>
      <c r="I5" s="461">
        <f>tertiair!I16</f>
        <v>0</v>
      </c>
      <c r="J5" s="461">
        <f>tertiair!J16</f>
        <v>0</v>
      </c>
      <c r="K5" s="461">
        <f>tertiair!K16</f>
        <v>0</v>
      </c>
      <c r="L5" s="461">
        <f ca="1">tertiair!L16</f>
        <v>0</v>
      </c>
      <c r="M5" s="461">
        <f>tertiair!M16</f>
        <v>0</v>
      </c>
      <c r="N5" s="461">
        <f ca="1">tertiair!N16</f>
        <v>1347.9640485856146</v>
      </c>
      <c r="O5" s="461">
        <f>tertiair!O16</f>
        <v>3.1266666666666669</v>
      </c>
      <c r="P5" s="462">
        <f>tertiair!P16</f>
        <v>0</v>
      </c>
      <c r="Q5" s="460">
        <f t="shared" ref="Q5:Q14" ca="1" si="0">SUM(B5:P5)</f>
        <v>113757.35723703516</v>
      </c>
    </row>
    <row r="6" spans="1:17">
      <c r="A6" s="460" t="s">
        <v>194</v>
      </c>
      <c r="B6" s="461">
        <f>'openbare verlichting'!B8</f>
        <v>1623.5309999999999</v>
      </c>
      <c r="C6" s="461"/>
      <c r="D6" s="461"/>
      <c r="E6" s="461"/>
      <c r="F6" s="461"/>
      <c r="G6" s="461"/>
      <c r="H6" s="461"/>
      <c r="I6" s="461"/>
      <c r="J6" s="461"/>
      <c r="K6" s="461"/>
      <c r="L6" s="461"/>
      <c r="M6" s="461"/>
      <c r="N6" s="461"/>
      <c r="O6" s="461"/>
      <c r="P6" s="462"/>
      <c r="Q6" s="460">
        <f t="shared" si="0"/>
        <v>1623.5309999999999</v>
      </c>
    </row>
    <row r="7" spans="1:17">
      <c r="A7" s="460" t="s">
        <v>112</v>
      </c>
      <c r="B7" s="461">
        <f>landbouw!B8</f>
        <v>6555.4258273105916</v>
      </c>
      <c r="C7" s="461">
        <f>landbouw!C8</f>
        <v>213014.25</v>
      </c>
      <c r="D7" s="461">
        <f>landbouw!D8</f>
        <v>66001.163757808506</v>
      </c>
      <c r="E7" s="461">
        <f>landbouw!E8</f>
        <v>61.756503572650438</v>
      </c>
      <c r="F7" s="461">
        <f>landbouw!F8</f>
        <v>9782.5300292822285</v>
      </c>
      <c r="G7" s="461">
        <f>landbouw!G8</f>
        <v>0</v>
      </c>
      <c r="H7" s="461">
        <f>landbouw!H8</f>
        <v>0</v>
      </c>
      <c r="I7" s="461">
        <f>landbouw!I8</f>
        <v>0</v>
      </c>
      <c r="J7" s="461">
        <f>landbouw!J8</f>
        <v>810.93806042341942</v>
      </c>
      <c r="K7" s="461">
        <f>landbouw!K8</f>
        <v>0</v>
      </c>
      <c r="L7" s="461">
        <f>landbouw!L8</f>
        <v>0</v>
      </c>
      <c r="M7" s="461">
        <f>landbouw!M8</f>
        <v>0</v>
      </c>
      <c r="N7" s="461">
        <f>landbouw!N8</f>
        <v>0</v>
      </c>
      <c r="O7" s="461">
        <f>landbouw!O8</f>
        <v>0</v>
      </c>
      <c r="P7" s="462">
        <f>landbouw!P8</f>
        <v>0</v>
      </c>
      <c r="Q7" s="460">
        <f t="shared" si="0"/>
        <v>296226.06417839736</v>
      </c>
    </row>
    <row r="8" spans="1:17">
      <c r="A8" s="460" t="s">
        <v>685</v>
      </c>
      <c r="B8" s="461">
        <f>industrie!B18</f>
        <v>5330.7837604821125</v>
      </c>
      <c r="C8" s="461">
        <f>industrie!C18</f>
        <v>0</v>
      </c>
      <c r="D8" s="461">
        <f>industrie!D18</f>
        <v>7743.9102153838267</v>
      </c>
      <c r="E8" s="461">
        <f>industrie!E18</f>
        <v>43.747130453520271</v>
      </c>
      <c r="F8" s="461">
        <f>industrie!F18</f>
        <v>1838.2436263730033</v>
      </c>
      <c r="G8" s="461">
        <f>industrie!G18</f>
        <v>0</v>
      </c>
      <c r="H8" s="461">
        <f>industrie!H18</f>
        <v>0</v>
      </c>
      <c r="I8" s="461">
        <f>industrie!I18</f>
        <v>0</v>
      </c>
      <c r="J8" s="461">
        <f>industrie!J18</f>
        <v>23.207654375363859</v>
      </c>
      <c r="K8" s="461">
        <f>industrie!K18</f>
        <v>0</v>
      </c>
      <c r="L8" s="461">
        <f>industrie!L18</f>
        <v>0</v>
      </c>
      <c r="M8" s="461">
        <f>industrie!M18</f>
        <v>0</v>
      </c>
      <c r="N8" s="461">
        <f>industrie!N18</f>
        <v>206.7129557836941</v>
      </c>
      <c r="O8" s="461">
        <f>industrie!O18</f>
        <v>0</v>
      </c>
      <c r="P8" s="462">
        <f>industrie!P18</f>
        <v>0</v>
      </c>
      <c r="Q8" s="460">
        <f t="shared" si="0"/>
        <v>15186.605342851522</v>
      </c>
    </row>
    <row r="9" spans="1:17" s="466" customFormat="1">
      <c r="A9" s="464" t="s">
        <v>579</v>
      </c>
      <c r="B9" s="465">
        <f>transport!B14</f>
        <v>1.5857698762196042</v>
      </c>
      <c r="C9" s="465">
        <f>transport!C14</f>
        <v>0</v>
      </c>
      <c r="D9" s="465">
        <f>transport!D14</f>
        <v>4.472088035479473</v>
      </c>
      <c r="E9" s="465">
        <f>transport!E14</f>
        <v>258.44984932401201</v>
      </c>
      <c r="F9" s="465">
        <f>transport!F14</f>
        <v>0</v>
      </c>
      <c r="G9" s="465">
        <f>transport!G14</f>
        <v>48702.782034024298</v>
      </c>
      <c r="H9" s="465">
        <f>transport!H14</f>
        <v>9918.536489964943</v>
      </c>
      <c r="I9" s="465">
        <f>transport!I14</f>
        <v>0</v>
      </c>
      <c r="J9" s="465">
        <f>transport!J14</f>
        <v>0</v>
      </c>
      <c r="K9" s="465">
        <f>transport!K14</f>
        <v>0</v>
      </c>
      <c r="L9" s="465">
        <f>transport!L14</f>
        <v>0</v>
      </c>
      <c r="M9" s="465">
        <f>transport!M14</f>
        <v>2622.4500213477786</v>
      </c>
      <c r="N9" s="465">
        <f>transport!N14</f>
        <v>0</v>
      </c>
      <c r="O9" s="465">
        <f>transport!O14</f>
        <v>0</v>
      </c>
      <c r="P9" s="465">
        <f>transport!P14</f>
        <v>0</v>
      </c>
      <c r="Q9" s="464">
        <f>SUM(B9:P9)</f>
        <v>61508.27625257273</v>
      </c>
    </row>
    <row r="10" spans="1:17">
      <c r="A10" s="460" t="s">
        <v>569</v>
      </c>
      <c r="B10" s="461">
        <f>transport!B54</f>
        <v>0</v>
      </c>
      <c r="C10" s="461">
        <f>transport!C54</f>
        <v>0</v>
      </c>
      <c r="D10" s="461">
        <f>transport!D54</f>
        <v>0</v>
      </c>
      <c r="E10" s="461">
        <f>transport!E54</f>
        <v>0</v>
      </c>
      <c r="F10" s="461">
        <f>transport!F54</f>
        <v>0</v>
      </c>
      <c r="G10" s="461">
        <f>transport!G54</f>
        <v>2596.8614276315943</v>
      </c>
      <c r="H10" s="461">
        <f>transport!H54</f>
        <v>0</v>
      </c>
      <c r="I10" s="461">
        <f>transport!I54</f>
        <v>0</v>
      </c>
      <c r="J10" s="461">
        <f>transport!J54</f>
        <v>0</v>
      </c>
      <c r="K10" s="461">
        <f>transport!K54</f>
        <v>0</v>
      </c>
      <c r="L10" s="461">
        <f>transport!L54</f>
        <v>0</v>
      </c>
      <c r="M10" s="461">
        <f>transport!M54</f>
        <v>114.03246907818398</v>
      </c>
      <c r="N10" s="461">
        <f>transport!N54</f>
        <v>0</v>
      </c>
      <c r="O10" s="461">
        <f>transport!O54</f>
        <v>0</v>
      </c>
      <c r="P10" s="462">
        <f>transport!P54</f>
        <v>0</v>
      </c>
      <c r="Q10" s="460">
        <f t="shared" si="0"/>
        <v>2710.8938967097783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1092.0708794563302</v>
      </c>
      <c r="C14" s="468"/>
      <c r="D14" s="468">
        <f>'SEAP template'!E25</f>
        <v>3290.5689494810699</v>
      </c>
      <c r="E14" s="468"/>
      <c r="F14" s="468"/>
      <c r="G14" s="468"/>
      <c r="H14" s="468"/>
      <c r="I14" s="468"/>
      <c r="J14" s="468"/>
      <c r="K14" s="468"/>
      <c r="L14" s="468"/>
      <c r="M14" s="468"/>
      <c r="N14" s="468"/>
      <c r="O14" s="468"/>
      <c r="P14" s="469"/>
      <c r="Q14" s="460">
        <f t="shared" si="0"/>
        <v>4382.6398289374001</v>
      </c>
    </row>
    <row r="15" spans="1:17" s="473" customFormat="1">
      <c r="A15" s="470" t="s">
        <v>573</v>
      </c>
      <c r="B15" s="471">
        <f ca="1">SUM(B4:B14)</f>
        <v>104979.89617845009</v>
      </c>
      <c r="C15" s="471">
        <f t="shared" ref="C15:Q15" ca="1" si="1">SUM(C4:C14)</f>
        <v>214557.10714285713</v>
      </c>
      <c r="D15" s="471">
        <f t="shared" ca="1" si="1"/>
        <v>208433.62149808192</v>
      </c>
      <c r="E15" s="471">
        <f t="shared" si="1"/>
        <v>4364.1842108241772</v>
      </c>
      <c r="F15" s="471">
        <f t="shared" ca="1" si="1"/>
        <v>52998.222397580765</v>
      </c>
      <c r="G15" s="471">
        <f t="shared" si="1"/>
        <v>51299.643461655891</v>
      </c>
      <c r="H15" s="471">
        <f t="shared" si="1"/>
        <v>9918.536489964943</v>
      </c>
      <c r="I15" s="471">
        <f t="shared" si="1"/>
        <v>0</v>
      </c>
      <c r="J15" s="471">
        <f t="shared" si="1"/>
        <v>2175.3190147129617</v>
      </c>
      <c r="K15" s="471">
        <f t="shared" si="1"/>
        <v>0</v>
      </c>
      <c r="L15" s="471">
        <f t="shared" ca="1" si="1"/>
        <v>0</v>
      </c>
      <c r="M15" s="471">
        <f t="shared" si="1"/>
        <v>2736.4824904259626</v>
      </c>
      <c r="N15" s="471">
        <f t="shared" ca="1" si="1"/>
        <v>11275.185194517815</v>
      </c>
      <c r="O15" s="471">
        <f t="shared" si="1"/>
        <v>140.70000000000002</v>
      </c>
      <c r="P15" s="471">
        <f t="shared" si="1"/>
        <v>495.73333333333335</v>
      </c>
      <c r="Q15" s="471">
        <f t="shared" ca="1" si="1"/>
        <v>663374.63141240494</v>
      </c>
    </row>
    <row r="17" spans="1:17">
      <c r="A17" s="474" t="s">
        <v>574</v>
      </c>
      <c r="B17" s="778">
        <f ca="1">huishoudens!B10</f>
        <v>0.20427393178998862</v>
      </c>
      <c r="C17" s="778">
        <f ca="1">huishoudens!C10</f>
        <v>0.2144918130005056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7552.6926306405521</v>
      </c>
      <c r="C22" s="461">
        <f t="shared" ref="C22:C32" ca="1" si="3">C4*$C$17</f>
        <v>0</v>
      </c>
      <c r="D22" s="461">
        <f t="shared" ref="D22:D32" si="4">D4*$D$17</f>
        <v>17198.463731878579</v>
      </c>
      <c r="E22" s="461">
        <f t="shared" ref="E22:E32" si="5">E4*$E$17</f>
        <v>808.8736856729663</v>
      </c>
      <c r="F22" s="461">
        <f t="shared" ref="F22:F32" si="6">F4*$F$17</f>
        <v>8171.9863878189735</v>
      </c>
      <c r="G22" s="461">
        <f t="shared" ref="G22:G32" si="7">G4*$G$17</f>
        <v>0</v>
      </c>
      <c r="H22" s="461">
        <f t="shared" ref="H22:H32" si="8">H4*$H$17</f>
        <v>0</v>
      </c>
      <c r="I22" s="461">
        <f t="shared" ref="I22:I32" si="9">I4*$I$17</f>
        <v>0</v>
      </c>
      <c r="J22" s="461">
        <f t="shared" ref="J22:J32" si="10">J4*$J$17</f>
        <v>474.77534816961924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34206.791784180692</v>
      </c>
    </row>
    <row r="23" spans="1:17">
      <c r="A23" s="460" t="s">
        <v>156</v>
      </c>
      <c r="B23" s="461">
        <f t="shared" ca="1" si="2"/>
        <v>10908.870149517614</v>
      </c>
      <c r="C23" s="461">
        <f t="shared" ca="1" si="3"/>
        <v>330.93022577220864</v>
      </c>
      <c r="D23" s="461">
        <f t="shared" ca="1" si="4"/>
        <v>9343.0245785707721</v>
      </c>
      <c r="E23" s="461">
        <f t="shared" si="5"/>
        <v>99.178689463630704</v>
      </c>
      <c r="F23" s="461">
        <f t="shared" ca="1" si="6"/>
        <v>2875.7924262751435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23557.796069599372</v>
      </c>
    </row>
    <row r="24" spans="1:17">
      <c r="A24" s="460" t="s">
        <v>194</v>
      </c>
      <c r="B24" s="461">
        <f t="shared" ca="1" si="2"/>
        <v>331.64506075293201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331.64506075293201</v>
      </c>
    </row>
    <row r="25" spans="1:17">
      <c r="A25" s="460" t="s">
        <v>112</v>
      </c>
      <c r="B25" s="461">
        <f t="shared" ca="1" si="2"/>
        <v>1339.1026083023735</v>
      </c>
      <c r="C25" s="461">
        <f t="shared" ca="1" si="3"/>
        <v>45689.812677442947</v>
      </c>
      <c r="D25" s="461">
        <f t="shared" si="4"/>
        <v>13332.23507907732</v>
      </c>
      <c r="E25" s="461">
        <f t="shared" si="5"/>
        <v>14.018726310991649</v>
      </c>
      <c r="F25" s="461">
        <f t="shared" si="6"/>
        <v>2611.935517818355</v>
      </c>
      <c r="G25" s="461">
        <f t="shared" si="7"/>
        <v>0</v>
      </c>
      <c r="H25" s="461">
        <f t="shared" si="8"/>
        <v>0</v>
      </c>
      <c r="I25" s="461">
        <f t="shared" si="9"/>
        <v>0</v>
      </c>
      <c r="J25" s="461">
        <f t="shared" si="10"/>
        <v>287.07207338989048</v>
      </c>
      <c r="K25" s="461">
        <f t="shared" si="11"/>
        <v>0</v>
      </c>
      <c r="L25" s="461">
        <f t="shared" si="12"/>
        <v>0</v>
      </c>
      <c r="M25" s="461">
        <f t="shared" si="13"/>
        <v>0</v>
      </c>
      <c r="N25" s="461">
        <f t="shared" si="14"/>
        <v>0</v>
      </c>
      <c r="O25" s="461">
        <f t="shared" si="15"/>
        <v>0</v>
      </c>
      <c r="P25" s="462">
        <f t="shared" si="16"/>
        <v>0</v>
      </c>
      <c r="Q25" s="460">
        <f t="shared" ca="1" si="17"/>
        <v>63274.17668234188</v>
      </c>
    </row>
    <row r="26" spans="1:17">
      <c r="A26" s="460" t="s">
        <v>685</v>
      </c>
      <c r="B26" s="461">
        <f t="shared" ca="1" si="2"/>
        <v>1088.9401582759021</v>
      </c>
      <c r="C26" s="461">
        <f t="shared" ca="1" si="3"/>
        <v>0</v>
      </c>
      <c r="D26" s="461">
        <f t="shared" si="4"/>
        <v>1564.269863507533</v>
      </c>
      <c r="E26" s="461">
        <f t="shared" si="5"/>
        <v>9.9305986129491011</v>
      </c>
      <c r="F26" s="461">
        <f t="shared" si="6"/>
        <v>490.81104824159189</v>
      </c>
      <c r="G26" s="461">
        <f t="shared" si="7"/>
        <v>0</v>
      </c>
      <c r="H26" s="461">
        <f t="shared" si="8"/>
        <v>0</v>
      </c>
      <c r="I26" s="461">
        <f t="shared" si="9"/>
        <v>0</v>
      </c>
      <c r="J26" s="461">
        <f t="shared" si="10"/>
        <v>8.2155096488788057</v>
      </c>
      <c r="K26" s="461">
        <f t="shared" si="11"/>
        <v>0</v>
      </c>
      <c r="L26" s="461">
        <f t="shared" si="12"/>
        <v>0</v>
      </c>
      <c r="M26" s="461">
        <f t="shared" si="13"/>
        <v>0</v>
      </c>
      <c r="N26" s="461">
        <f t="shared" si="14"/>
        <v>0</v>
      </c>
      <c r="O26" s="461">
        <f t="shared" si="15"/>
        <v>0</v>
      </c>
      <c r="P26" s="462">
        <f t="shared" si="16"/>
        <v>0</v>
      </c>
      <c r="Q26" s="460">
        <f t="shared" ca="1" si="17"/>
        <v>3162.1671782868548</v>
      </c>
    </row>
    <row r="27" spans="1:17" s="466" customFormat="1">
      <c r="A27" s="464" t="s">
        <v>579</v>
      </c>
      <c r="B27" s="772">
        <f t="shared" ca="1" si="2"/>
        <v>0.32393144752950215</v>
      </c>
      <c r="C27" s="465">
        <f t="shared" ca="1" si="3"/>
        <v>0</v>
      </c>
      <c r="D27" s="465">
        <f t="shared" si="4"/>
        <v>0.90336178316685356</v>
      </c>
      <c r="E27" s="465">
        <f t="shared" si="5"/>
        <v>58.66811579655073</v>
      </c>
      <c r="F27" s="465">
        <f t="shared" si="6"/>
        <v>0</v>
      </c>
      <c r="G27" s="465">
        <f t="shared" si="7"/>
        <v>13003.642803084489</v>
      </c>
      <c r="H27" s="465">
        <f t="shared" si="8"/>
        <v>2469.7155860012708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15533.253798113008</v>
      </c>
    </row>
    <row r="28" spans="1:17">
      <c r="A28" s="460" t="s">
        <v>569</v>
      </c>
      <c r="B28" s="461">
        <f t="shared" ca="1" si="2"/>
        <v>0</v>
      </c>
      <c r="C28" s="461">
        <f t="shared" ca="1" si="3"/>
        <v>0</v>
      </c>
      <c r="D28" s="461">
        <f t="shared" si="4"/>
        <v>0</v>
      </c>
      <c r="E28" s="461">
        <f t="shared" si="5"/>
        <v>0</v>
      </c>
      <c r="F28" s="461">
        <f t="shared" si="6"/>
        <v>0</v>
      </c>
      <c r="G28" s="461">
        <f t="shared" si="7"/>
        <v>693.36200117763576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693.36200117763576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223.08161233989529</v>
      </c>
      <c r="C32" s="461">
        <f t="shared" ca="1" si="3"/>
        <v>0</v>
      </c>
      <c r="D32" s="461">
        <f t="shared" si="4"/>
        <v>664.69492779517611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887.7765401350714</v>
      </c>
    </row>
    <row r="33" spans="1:17" s="473" customFormat="1">
      <c r="A33" s="470" t="s">
        <v>573</v>
      </c>
      <c r="B33" s="471">
        <f ca="1">SUM(B22:B32)</f>
        <v>21444.656151276798</v>
      </c>
      <c r="C33" s="471">
        <f t="shared" ref="C33:Q33" ca="1" si="18">SUM(C22:C32)</f>
        <v>46020.742903215156</v>
      </c>
      <c r="D33" s="471">
        <f t="shared" ca="1" si="18"/>
        <v>42103.59154261255</v>
      </c>
      <c r="E33" s="471">
        <f t="shared" si="18"/>
        <v>990.66981585708845</v>
      </c>
      <c r="F33" s="471">
        <f t="shared" ca="1" si="18"/>
        <v>14150.525380154066</v>
      </c>
      <c r="G33" s="471">
        <f t="shared" si="18"/>
        <v>13697.004804262126</v>
      </c>
      <c r="H33" s="471">
        <f t="shared" si="18"/>
        <v>2469.7155860012708</v>
      </c>
      <c r="I33" s="471">
        <f t="shared" si="18"/>
        <v>0</v>
      </c>
      <c r="J33" s="471">
        <f t="shared" si="18"/>
        <v>770.06293120838848</v>
      </c>
      <c r="K33" s="471">
        <f t="shared" si="18"/>
        <v>0</v>
      </c>
      <c r="L33" s="471">
        <f t="shared" ca="1" si="18"/>
        <v>0</v>
      </c>
      <c r="M33" s="471">
        <f t="shared" si="18"/>
        <v>0</v>
      </c>
      <c r="N33" s="471">
        <f t="shared" ca="1" si="18"/>
        <v>0</v>
      </c>
      <c r="O33" s="471">
        <f t="shared" si="18"/>
        <v>0</v>
      </c>
      <c r="P33" s="471">
        <f t="shared" si="18"/>
        <v>0</v>
      </c>
      <c r="Q33" s="471">
        <f t="shared" ca="1" si="18"/>
        <v>141646.96911458741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7757.8583956943858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16443.957002926894</v>
      </c>
      <c r="C8" s="1037">
        <f>'SEAP template'!C76</f>
        <v>138649.66799707312</v>
      </c>
      <c r="D8" s="1037">
        <f>'SEAP template'!D76</f>
        <v>158246.07177934033</v>
      </c>
      <c r="E8" s="1037">
        <f>'SEAP template'!E76</f>
        <v>0</v>
      </c>
      <c r="F8" s="1037">
        <f>'SEAP template'!F76</f>
        <v>4871.1846878044771</v>
      </c>
      <c r="G8" s="1037">
        <f>'SEAP template'!G76</f>
        <v>0</v>
      </c>
      <c r="H8" s="1037">
        <f>'SEAP template'!H76</f>
        <v>0</v>
      </c>
      <c r="I8" s="1037">
        <f>'SEAP template'!I76</f>
        <v>19333.694264774356</v>
      </c>
      <c r="J8" s="1037">
        <f>'SEAP template'!J76</f>
        <v>12.1375033749281</v>
      </c>
      <c r="K8" s="1037">
        <f>'SEAP template'!K76</f>
        <v>0</v>
      </c>
      <c r="L8" s="1037">
        <f>'SEAP template'!L76</f>
        <v>0</v>
      </c>
      <c r="M8" s="1037">
        <f>'SEAP template'!M76</f>
        <v>0</v>
      </c>
      <c r="N8" s="1037">
        <f>'SEAP template'!N76</f>
        <v>0</v>
      </c>
      <c r="O8" s="1037">
        <f>'SEAP template'!O76</f>
        <v>0</v>
      </c>
      <c r="P8" s="1038">
        <f>'SEAP template'!Q76</f>
        <v>33266.312811070544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24201.815398621278</v>
      </c>
      <c r="C10" s="1041">
        <f>SUM(C4:C9)</f>
        <v>138649.66799707312</v>
      </c>
      <c r="D10" s="1041">
        <f t="shared" ref="D10:H10" si="0">SUM(D8:D9)</f>
        <v>158246.07177934033</v>
      </c>
      <c r="E10" s="1041">
        <f t="shared" si="0"/>
        <v>0</v>
      </c>
      <c r="F10" s="1041">
        <f t="shared" si="0"/>
        <v>4871.1846878044771</v>
      </c>
      <c r="G10" s="1041">
        <f t="shared" si="0"/>
        <v>0</v>
      </c>
      <c r="H10" s="1041">
        <f t="shared" si="0"/>
        <v>0</v>
      </c>
      <c r="I10" s="1041">
        <f>SUM(I8:I9)</f>
        <v>19333.694264774356</v>
      </c>
      <c r="J10" s="1041">
        <f>SUM(J8:J9)</f>
        <v>12.1375033749281</v>
      </c>
      <c r="K10" s="1041">
        <f t="shared" ref="K10:L10" si="1">SUM(K8:K9)</f>
        <v>0</v>
      </c>
      <c r="L10" s="1041">
        <f t="shared" si="1"/>
        <v>0</v>
      </c>
      <c r="M10" s="1041">
        <f>SUM(M8:M9)</f>
        <v>0</v>
      </c>
      <c r="N10" s="1041">
        <f>SUM(N8:N9)</f>
        <v>0</v>
      </c>
      <c r="O10" s="1041">
        <f>SUM(O8:O9)</f>
        <v>0</v>
      </c>
      <c r="P10" s="1041">
        <f>SUM(P8:P9)</f>
        <v>33266.312811070544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0.20427393178998862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22748.632282787392</v>
      </c>
      <c r="C17" s="1044">
        <f>'SEAP template'!C87</f>
        <v>191808.47486006975</v>
      </c>
      <c r="D17" s="1038">
        <f>'SEAP template'!D87</f>
        <v>218918.21393494532</v>
      </c>
      <c r="E17" s="1038">
        <f>'SEAP template'!E87</f>
        <v>0</v>
      </c>
      <c r="F17" s="1038">
        <f>'SEAP template'!F87</f>
        <v>6738.815312195522</v>
      </c>
      <c r="G17" s="1038">
        <f>'SEAP template'!G87</f>
        <v>0</v>
      </c>
      <c r="H17" s="1038">
        <f>'SEAP template'!H87</f>
        <v>0</v>
      </c>
      <c r="I17" s="1038">
        <f>'SEAP template'!I87</f>
        <v>26746.305735225636</v>
      </c>
      <c r="J17" s="1038">
        <f>'SEAP template'!J87</f>
        <v>16.791068053643329</v>
      </c>
      <c r="K17" s="1038">
        <f>'SEAP template'!K87</f>
        <v>0</v>
      </c>
      <c r="L17" s="1038">
        <f>'SEAP template'!L87</f>
        <v>0</v>
      </c>
      <c r="M17" s="1038">
        <f>'SEAP template'!M87</f>
        <v>0</v>
      </c>
      <c r="N17" s="1038">
        <f>'SEAP template'!N87</f>
        <v>0</v>
      </c>
      <c r="O17" s="1038">
        <f>'SEAP template'!O87</f>
        <v>0</v>
      </c>
      <c r="P17" s="1038">
        <f>'SEAP template'!Q87</f>
        <v>46020.742903215156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22748.632282787392</v>
      </c>
      <c r="C20" s="1041">
        <f>SUM(C17:C19)</f>
        <v>191808.47486006975</v>
      </c>
      <c r="D20" s="1041">
        <f t="shared" ref="D20:H20" si="2">SUM(D17:D19)</f>
        <v>218918.21393494532</v>
      </c>
      <c r="E20" s="1041">
        <f t="shared" si="2"/>
        <v>0</v>
      </c>
      <c r="F20" s="1041">
        <f t="shared" si="2"/>
        <v>6738.815312195522</v>
      </c>
      <c r="G20" s="1041">
        <f t="shared" si="2"/>
        <v>0</v>
      </c>
      <c r="H20" s="1041">
        <f t="shared" si="2"/>
        <v>0</v>
      </c>
      <c r="I20" s="1041">
        <f>SUM(I17:I19)</f>
        <v>26746.305735225636</v>
      </c>
      <c r="J20" s="1041">
        <f>SUM(J17:J19)</f>
        <v>16.791068053643329</v>
      </c>
      <c r="K20" s="1041">
        <f t="shared" ref="K20:L20" si="3">SUM(K17:K19)</f>
        <v>0</v>
      </c>
      <c r="L20" s="1041">
        <f t="shared" si="3"/>
        <v>0</v>
      </c>
      <c r="M20" s="1041">
        <f>SUM(M17:M19)</f>
        <v>0</v>
      </c>
      <c r="N20" s="1041">
        <f>SUM(N17:N19)</f>
        <v>0</v>
      </c>
      <c r="O20" s="1041">
        <f>SUM(O17:O19)</f>
        <v>0</v>
      </c>
      <c r="P20" s="1041">
        <f>SUM(P17:P19)</f>
        <v>46020.742903215156</v>
      </c>
    </row>
    <row r="22" spans="1:16">
      <c r="A22" s="474" t="s">
        <v>932</v>
      </c>
      <c r="B22" s="778" t="s">
        <v>926</v>
      </c>
      <c r="C22" s="778">
        <f ca="1">'EF ele_warmte'!B22</f>
        <v>0.2144918130005056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0.20427393178998862</v>
      </c>
      <c r="C17" s="510">
        <f ca="1">'EF ele_warmte'!B22</f>
        <v>0.2144918130005056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0.20427393178998862</v>
      </c>
      <c r="C17" s="510">
        <f ca="1">'EF ele_warmte'!B22</f>
        <v>0.2144918130005056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0.20427393178998862</v>
      </c>
      <c r="C29" s="511">
        <f ca="1">'EF ele_warmte'!B22</f>
        <v>0.2144918130005056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12035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7882</v>
      </c>
      <c r="C9" s="338">
        <v>8507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1106</v>
      </c>
    </row>
    <row r="15" spans="1:6">
      <c r="A15" s="1286" t="s">
        <v>184</v>
      </c>
      <c r="B15" s="335">
        <v>3</v>
      </c>
    </row>
    <row r="16" spans="1:6">
      <c r="A16" s="1286" t="s">
        <v>6</v>
      </c>
      <c r="B16" s="335">
        <v>285</v>
      </c>
    </row>
    <row r="17" spans="1:6">
      <c r="A17" s="1286" t="s">
        <v>7</v>
      </c>
      <c r="B17" s="335">
        <v>157</v>
      </c>
    </row>
    <row r="18" spans="1:6">
      <c r="A18" s="1286" t="s">
        <v>8</v>
      </c>
      <c r="B18" s="335">
        <v>294</v>
      </c>
    </row>
    <row r="19" spans="1:6">
      <c r="A19" s="1286" t="s">
        <v>9</v>
      </c>
      <c r="B19" s="335">
        <v>220</v>
      </c>
    </row>
    <row r="20" spans="1:6">
      <c r="A20" s="1286" t="s">
        <v>10</v>
      </c>
      <c r="B20" s="335">
        <v>305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126</v>
      </c>
    </row>
    <row r="27" spans="1:6">
      <c r="A27" s="1286" t="s">
        <v>17</v>
      </c>
      <c r="B27" s="335">
        <v>1</v>
      </c>
    </row>
    <row r="28" spans="1:6" s="341" customFormat="1">
      <c r="A28" s="1287" t="s">
        <v>18</v>
      </c>
      <c r="B28" s="1287">
        <v>30003</v>
      </c>
    </row>
    <row r="29" spans="1:6">
      <c r="A29" s="1287" t="s">
        <v>944</v>
      </c>
      <c r="B29" s="1287">
        <v>443</v>
      </c>
      <c r="C29" s="341"/>
      <c r="D29" s="341"/>
      <c r="E29" s="341"/>
      <c r="F29" s="341"/>
    </row>
    <row r="30" spans="1:6">
      <c r="A30" s="1282" t="s">
        <v>945</v>
      </c>
      <c r="B30" s="1282">
        <v>74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29700972.040004399</v>
      </c>
      <c r="E38" s="335">
        <v>6</v>
      </c>
      <c r="F38" s="335">
        <v>485831.05855055101</v>
      </c>
    </row>
    <row r="39" spans="1:6">
      <c r="A39" s="1286" t="s">
        <v>30</v>
      </c>
      <c r="B39" s="1286" t="s">
        <v>31</v>
      </c>
      <c r="C39" s="335">
        <v>4812</v>
      </c>
      <c r="D39" s="335">
        <v>94391252.287977099</v>
      </c>
      <c r="E39" s="335">
        <v>7560</v>
      </c>
      <c r="F39" s="335">
        <v>33384016.536831301</v>
      </c>
    </row>
    <row r="40" spans="1:6">
      <c r="A40" s="1286" t="s">
        <v>30</v>
      </c>
      <c r="B40" s="1286" t="s">
        <v>29</v>
      </c>
      <c r="C40" s="335">
        <v>0</v>
      </c>
      <c r="D40" s="335">
        <v>0</v>
      </c>
      <c r="E40" s="335">
        <v>0</v>
      </c>
      <c r="F40" s="335">
        <v>0</v>
      </c>
    </row>
    <row r="41" spans="1:6">
      <c r="A41" s="1286" t="s">
        <v>32</v>
      </c>
      <c r="B41" s="1286" t="s">
        <v>33</v>
      </c>
      <c r="C41" s="335">
        <v>44</v>
      </c>
      <c r="D41" s="335">
        <v>2151980.0618277299</v>
      </c>
      <c r="E41" s="335">
        <v>113</v>
      </c>
      <c r="F41" s="335">
        <v>1443636.07995064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373344.308303378</v>
      </c>
      <c r="E44" s="335">
        <v>12</v>
      </c>
      <c r="F44" s="335">
        <v>524114.58665345598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40</v>
      </c>
      <c r="D48" s="335">
        <v>5644645.8188925004</v>
      </c>
      <c r="E48" s="335">
        <v>57</v>
      </c>
      <c r="F48" s="335">
        <v>2878332.59794077</v>
      </c>
    </row>
    <row r="49" spans="1:6">
      <c r="A49" s="1286" t="s">
        <v>32</v>
      </c>
      <c r="B49" s="1286" t="s">
        <v>40</v>
      </c>
      <c r="C49" s="335">
        <v>0</v>
      </c>
      <c r="D49" s="335">
        <v>0</v>
      </c>
      <c r="E49" s="335">
        <v>0</v>
      </c>
      <c r="F49" s="335">
        <v>0</v>
      </c>
    </row>
    <row r="50" spans="1:6">
      <c r="A50" s="1286" t="s">
        <v>32</v>
      </c>
      <c r="B50" s="1286" t="s">
        <v>41</v>
      </c>
      <c r="C50" s="335">
        <v>8</v>
      </c>
      <c r="D50" s="335">
        <v>415296.125149147</v>
      </c>
      <c r="E50" s="335">
        <v>15</v>
      </c>
      <c r="F50" s="335">
        <v>484700.49593724601</v>
      </c>
    </row>
    <row r="51" spans="1:6">
      <c r="A51" s="1286" t="s">
        <v>42</v>
      </c>
      <c r="B51" s="1286" t="s">
        <v>43</v>
      </c>
      <c r="C51" s="335">
        <v>54</v>
      </c>
      <c r="D51" s="335">
        <v>478802451.48810202</v>
      </c>
      <c r="E51" s="335">
        <v>185</v>
      </c>
      <c r="F51" s="335">
        <v>6321950.98780791</v>
      </c>
    </row>
    <row r="52" spans="1:6">
      <c r="A52" s="1286" t="s">
        <v>42</v>
      </c>
      <c r="B52" s="1286" t="s">
        <v>29</v>
      </c>
      <c r="C52" s="335">
        <v>9</v>
      </c>
      <c r="D52" s="335">
        <v>9090824.7717426904</v>
      </c>
      <c r="E52" s="335">
        <v>14</v>
      </c>
      <c r="F52" s="335">
        <v>233474.83950268201</v>
      </c>
    </row>
    <row r="53" spans="1:6">
      <c r="A53" s="1286" t="s">
        <v>44</v>
      </c>
      <c r="B53" s="1286" t="s">
        <v>45</v>
      </c>
      <c r="C53" s="335">
        <v>97</v>
      </c>
      <c r="D53" s="335">
        <v>3290568.94948107</v>
      </c>
      <c r="E53" s="335">
        <v>181</v>
      </c>
      <c r="F53" s="335">
        <v>1092070.8794563301</v>
      </c>
    </row>
    <row r="54" spans="1:6">
      <c r="A54" s="1286" t="s">
        <v>46</v>
      </c>
      <c r="B54" s="1286" t="s">
        <v>47</v>
      </c>
      <c r="C54" s="335">
        <v>0</v>
      </c>
      <c r="D54" s="335">
        <v>0</v>
      </c>
      <c r="E54" s="335">
        <v>1</v>
      </c>
      <c r="F54" s="335">
        <v>1623531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30</v>
      </c>
      <c r="D57" s="335">
        <v>2863428.9309343202</v>
      </c>
      <c r="E57" s="335">
        <v>56</v>
      </c>
      <c r="F57" s="335">
        <v>503760.99136437097</v>
      </c>
    </row>
    <row r="58" spans="1:6">
      <c r="A58" s="1286" t="s">
        <v>49</v>
      </c>
      <c r="B58" s="1286" t="s">
        <v>51</v>
      </c>
      <c r="C58" s="335">
        <v>32</v>
      </c>
      <c r="D58" s="335">
        <v>7852246.69756262</v>
      </c>
      <c r="E58" s="335">
        <v>35</v>
      </c>
      <c r="F58" s="335">
        <v>1729590.67230185</v>
      </c>
    </row>
    <row r="59" spans="1:6">
      <c r="A59" s="1286" t="s">
        <v>49</v>
      </c>
      <c r="B59" s="1286" t="s">
        <v>52</v>
      </c>
      <c r="C59" s="335">
        <v>79</v>
      </c>
      <c r="D59" s="335">
        <v>5037658.8254085602</v>
      </c>
      <c r="E59" s="335">
        <v>160</v>
      </c>
      <c r="F59" s="335">
        <v>29408970.871369701</v>
      </c>
    </row>
    <row r="60" spans="1:6">
      <c r="A60" s="1286" t="s">
        <v>49</v>
      </c>
      <c r="B60" s="1286" t="s">
        <v>53</v>
      </c>
      <c r="C60" s="335">
        <v>67</v>
      </c>
      <c r="D60" s="335">
        <v>5033240.3379923198</v>
      </c>
      <c r="E60" s="335">
        <v>126</v>
      </c>
      <c r="F60" s="335">
        <v>2872649.0438614502</v>
      </c>
    </row>
    <row r="61" spans="1:6">
      <c r="A61" s="1286" t="s">
        <v>49</v>
      </c>
      <c r="B61" s="1286" t="s">
        <v>54</v>
      </c>
      <c r="C61" s="335">
        <v>109</v>
      </c>
      <c r="D61" s="335">
        <v>5429998.3617048701</v>
      </c>
      <c r="E61" s="335">
        <v>234</v>
      </c>
      <c r="F61" s="335">
        <v>3606732.1391881201</v>
      </c>
    </row>
    <row r="62" spans="1:6">
      <c r="A62" s="1286" t="s">
        <v>49</v>
      </c>
      <c r="B62" s="1286" t="s">
        <v>55</v>
      </c>
      <c r="C62" s="335">
        <v>6</v>
      </c>
      <c r="D62" s="335">
        <v>2381714.71358418</v>
      </c>
      <c r="E62" s="335">
        <v>11</v>
      </c>
      <c r="F62" s="335">
        <v>621893.83308941405</v>
      </c>
    </row>
    <row r="63" spans="1:6">
      <c r="A63" s="1286" t="s">
        <v>49</v>
      </c>
      <c r="B63" s="1286" t="s">
        <v>29</v>
      </c>
      <c r="C63" s="335">
        <v>127</v>
      </c>
      <c r="D63" s="335">
        <v>26100505.047815301</v>
      </c>
      <c r="E63" s="335">
        <v>176</v>
      </c>
      <c r="F63" s="335">
        <v>13579546.227018399</v>
      </c>
    </row>
    <row r="64" spans="1:6">
      <c r="A64" s="1286" t="s">
        <v>56</v>
      </c>
      <c r="B64" s="1286" t="s">
        <v>57</v>
      </c>
      <c r="C64" s="335">
        <v>0</v>
      </c>
      <c r="D64" s="335">
        <v>0</v>
      </c>
      <c r="E64" s="335">
        <v>0</v>
      </c>
      <c r="F64" s="335">
        <v>0</v>
      </c>
    </row>
    <row r="65" spans="1:6">
      <c r="A65" s="1286" t="s">
        <v>56</v>
      </c>
      <c r="B65" s="1286" t="s">
        <v>29</v>
      </c>
      <c r="C65" s="335">
        <v>3</v>
      </c>
      <c r="D65" s="335">
        <v>171645.97029934099</v>
      </c>
      <c r="E65" s="335">
        <v>5</v>
      </c>
      <c r="F65" s="335">
        <v>72242.104547727999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368533.38769513898</v>
      </c>
      <c r="E68" s="335">
        <v>15</v>
      </c>
      <c r="F68" s="335">
        <v>840519.38828878605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60674461</v>
      </c>
      <c r="E73" s="335">
        <v>71680464.487665668</v>
      </c>
    </row>
    <row r="74" spans="1:6">
      <c r="A74" s="1286" t="s">
        <v>64</v>
      </c>
      <c r="B74" s="1286" t="s">
        <v>772</v>
      </c>
      <c r="C74" s="1297" t="s">
        <v>766</v>
      </c>
      <c r="D74" s="335">
        <v>4200716.2140390752</v>
      </c>
      <c r="E74" s="335">
        <v>5539265.7813266115</v>
      </c>
    </row>
    <row r="75" spans="1:6">
      <c r="A75" s="1286" t="s">
        <v>65</v>
      </c>
      <c r="B75" s="1286" t="s">
        <v>771</v>
      </c>
      <c r="C75" s="1297" t="s">
        <v>767</v>
      </c>
      <c r="D75" s="335">
        <v>14694727</v>
      </c>
      <c r="E75" s="335">
        <v>16905058.577839609</v>
      </c>
    </row>
    <row r="76" spans="1:6">
      <c r="A76" s="1286" t="s">
        <v>65</v>
      </c>
      <c r="B76" s="1286" t="s">
        <v>772</v>
      </c>
      <c r="C76" s="1297" t="s">
        <v>768</v>
      </c>
      <c r="D76" s="335">
        <v>301874.21403907519</v>
      </c>
      <c r="E76" s="335">
        <v>492064.90704583691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713245.57192184962</v>
      </c>
      <c r="C83" s="335">
        <v>671407.63101007068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3589.338626300218</v>
      </c>
    </row>
    <row r="92" spans="1:6">
      <c r="A92" s="1282" t="s">
        <v>69</v>
      </c>
      <c r="B92" s="338">
        <v>4168.5197693941682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3367</v>
      </c>
    </row>
    <row r="98" spans="1:6">
      <c r="A98" s="1286" t="s">
        <v>72</v>
      </c>
      <c r="B98" s="335">
        <v>10</v>
      </c>
    </row>
    <row r="99" spans="1:6">
      <c r="A99" s="1286" t="s">
        <v>73</v>
      </c>
      <c r="B99" s="335">
        <v>75</v>
      </c>
    </row>
    <row r="100" spans="1:6">
      <c r="A100" s="1286" t="s">
        <v>74</v>
      </c>
      <c r="B100" s="335">
        <v>535</v>
      </c>
    </row>
    <row r="101" spans="1:6">
      <c r="A101" s="1286" t="s">
        <v>75</v>
      </c>
      <c r="B101" s="335">
        <v>63</v>
      </c>
    </row>
    <row r="102" spans="1:6">
      <c r="A102" s="1286" t="s">
        <v>76</v>
      </c>
      <c r="B102" s="335">
        <v>94</v>
      </c>
    </row>
    <row r="103" spans="1:6">
      <c r="A103" s="1286" t="s">
        <v>77</v>
      </c>
      <c r="B103" s="335">
        <v>187</v>
      </c>
    </row>
    <row r="104" spans="1:6">
      <c r="A104" s="1286" t="s">
        <v>78</v>
      </c>
      <c r="B104" s="335">
        <v>2851</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79</v>
      </c>
    </row>
    <row r="130" spans="1:6">
      <c r="A130" s="1286" t="s">
        <v>295</v>
      </c>
      <c r="B130" s="335">
        <v>2</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104979.89617845009</v>
      </c>
      <c r="C3" s="44" t="s">
        <v>170</v>
      </c>
      <c r="D3" s="44"/>
      <c r="E3" s="157"/>
      <c r="F3" s="44"/>
      <c r="G3" s="44"/>
      <c r="H3" s="44"/>
      <c r="I3" s="44"/>
      <c r="J3" s="44"/>
      <c r="K3" s="97"/>
    </row>
    <row r="4" spans="1:11">
      <c r="A4" s="365" t="s">
        <v>171</v>
      </c>
      <c r="B4" s="50">
        <f>IF(ISERROR('SEAP template'!B78+'SEAP template'!C78),0,'SEAP template'!B78+'SEAP template'!C78)</f>
        <v>162851.48339569441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33266.312811070544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0.20427393178998862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46020.742903215156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214557.10714285713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0.2144918130005056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1623.5309999999999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1623.5309999999999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0.20427393178998862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331.64506075293201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33384.016536831303</v>
      </c>
      <c r="C5" s="18">
        <f>IF(ISERROR('Eigen informatie GS &amp; warmtenet'!B57),0,'Eigen informatie GS &amp; warmtenet'!B57)</f>
        <v>0</v>
      </c>
      <c r="D5" s="31">
        <f>(SUM(HH_hh_gas_kWh,HH_rest_gas_kWh)/1000)*0.902</f>
        <v>85140.90956375534</v>
      </c>
      <c r="E5" s="18">
        <f>B46*B57</f>
        <v>3563.3202012024944</v>
      </c>
      <c r="F5" s="18">
        <f>B51*B62</f>
        <v>30606.690591082297</v>
      </c>
      <c r="G5" s="19"/>
      <c r="H5" s="18"/>
      <c r="I5" s="18"/>
      <c r="J5" s="18">
        <f>B50*B61+C50*C61</f>
        <v>1341.1732999141786</v>
      </c>
      <c r="K5" s="18"/>
      <c r="L5" s="18"/>
      <c r="M5" s="18"/>
      <c r="N5" s="18">
        <f>B48*B59+C48*C59</f>
        <v>9720.5081901485064</v>
      </c>
      <c r="O5" s="18">
        <f>B69*B70*B71</f>
        <v>137.57333333333335</v>
      </c>
      <c r="P5" s="18">
        <f>B77*B78*B79/1000-B77*B78*B79/1000/B80</f>
        <v>495.73333333333335</v>
      </c>
    </row>
    <row r="6" spans="1:16">
      <c r="A6" s="17" t="s">
        <v>639</v>
      </c>
      <c r="B6" s="780">
        <f>kWh_PV_kleiner_dan_10kW</f>
        <v>3589.338626300218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36973.35516313152</v>
      </c>
      <c r="C8" s="22">
        <f>C5</f>
        <v>0</v>
      </c>
      <c r="D8" s="22">
        <f>D5</f>
        <v>85140.90956375534</v>
      </c>
      <c r="E8" s="22">
        <f>E5</f>
        <v>3563.3202012024944</v>
      </c>
      <c r="F8" s="22">
        <f>F5</f>
        <v>30606.690591082297</v>
      </c>
      <c r="G8" s="22"/>
      <c r="H8" s="22"/>
      <c r="I8" s="22"/>
      <c r="J8" s="22">
        <f>J5</f>
        <v>1341.1732999141786</v>
      </c>
      <c r="K8" s="22"/>
      <c r="L8" s="22">
        <f>L5</f>
        <v>0</v>
      </c>
      <c r="M8" s="22">
        <f>M5</f>
        <v>0</v>
      </c>
      <c r="N8" s="22">
        <f>N5</f>
        <v>9720.5081901485064</v>
      </c>
      <c r="O8" s="22">
        <f>O5</f>
        <v>137.57333333333335</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0.20427393178998862</v>
      </c>
      <c r="C10" s="26">
        <f ca="1">'EF ele_warmte'!B22</f>
        <v>0.2144918130005056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7552.6926306405521</v>
      </c>
      <c r="C12" s="24">
        <f ca="1">C10*C8</f>
        <v>0</v>
      </c>
      <c r="D12" s="24">
        <f>D8*D10</f>
        <v>17198.463731878579</v>
      </c>
      <c r="E12" s="24">
        <f>E10*E8</f>
        <v>808.8736856729663</v>
      </c>
      <c r="F12" s="24">
        <f>F10*F8</f>
        <v>8171.9863878189735</v>
      </c>
      <c r="G12" s="24"/>
      <c r="H12" s="24"/>
      <c r="I12" s="24"/>
      <c r="J12" s="24">
        <f>J10*J8</f>
        <v>474.77534816961924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3367</v>
      </c>
      <c r="C18" s="169" t="s">
        <v>111</v>
      </c>
      <c r="D18" s="231"/>
      <c r="E18" s="16"/>
    </row>
    <row r="19" spans="1:7">
      <c r="A19" s="174" t="s">
        <v>72</v>
      </c>
      <c r="B19" s="38">
        <f>aantalw2001_ander</f>
        <v>10</v>
      </c>
      <c r="C19" s="169" t="s">
        <v>111</v>
      </c>
      <c r="D19" s="232"/>
      <c r="E19" s="16"/>
    </row>
    <row r="20" spans="1:7">
      <c r="A20" s="174" t="s">
        <v>73</v>
      </c>
      <c r="B20" s="38">
        <f>aantalw2001_propaan</f>
        <v>75</v>
      </c>
      <c r="C20" s="170">
        <f>IF(ISERROR(B20/SUM($B$20,$B$21,$B$22)*100),0,B20/SUM($B$20,$B$21,$B$22)*100)</f>
        <v>11.144130757800893</v>
      </c>
      <c r="D20" s="232"/>
      <c r="E20" s="16"/>
    </row>
    <row r="21" spans="1:7">
      <c r="A21" s="174" t="s">
        <v>74</v>
      </c>
      <c r="B21" s="38">
        <f>aantalw2001_elektriciteit</f>
        <v>535</v>
      </c>
      <c r="C21" s="170">
        <f>IF(ISERROR(B21/SUM($B$20,$B$21,$B$22)*100),0,B21/SUM($B$20,$B$21,$B$22)*100)</f>
        <v>79.494799405646361</v>
      </c>
      <c r="D21" s="232"/>
      <c r="E21" s="16"/>
    </row>
    <row r="22" spans="1:7">
      <c r="A22" s="174" t="s">
        <v>75</v>
      </c>
      <c r="B22" s="38">
        <f>aantalw2001_hout</f>
        <v>63</v>
      </c>
      <c r="C22" s="170">
        <f>IF(ISERROR(B22/SUM($B$20,$B$21,$B$22)*100),0,B22/SUM($B$20,$B$21,$B$22)*100)</f>
        <v>9.3610698365527494</v>
      </c>
      <c r="D22" s="232"/>
      <c r="E22" s="16"/>
    </row>
    <row r="23" spans="1:7">
      <c r="A23" s="174" t="s">
        <v>76</v>
      </c>
      <c r="B23" s="38">
        <f>aantalw2001_niet_gespec</f>
        <v>94</v>
      </c>
      <c r="C23" s="169" t="s">
        <v>111</v>
      </c>
      <c r="D23" s="231"/>
      <c r="E23" s="16"/>
    </row>
    <row r="24" spans="1:7">
      <c r="A24" s="174" t="s">
        <v>77</v>
      </c>
      <c r="B24" s="38">
        <f>aantalw2001_steenkool</f>
        <v>187</v>
      </c>
      <c r="C24" s="169" t="s">
        <v>111</v>
      </c>
      <c r="D24" s="232"/>
      <c r="E24" s="16"/>
    </row>
    <row r="25" spans="1:7">
      <c r="A25" s="174" t="s">
        <v>78</v>
      </c>
      <c r="B25" s="38">
        <f>aantalw2001_stookolie</f>
        <v>2851</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7882</v>
      </c>
      <c r="C28" s="37"/>
      <c r="D28" s="231"/>
    </row>
    <row r="29" spans="1:7" s="16" customFormat="1">
      <c r="A29" s="233" t="s">
        <v>666</v>
      </c>
      <c r="B29" s="38">
        <f>SUM(HH_hh_gas_aantal,HH_rest_gas_aantal)</f>
        <v>4812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4812</v>
      </c>
      <c r="C32" s="170">
        <f>IF(ISERROR(B32/SUM($B$32,$B$34,$B$35,$B$36,$B$38,$B$39)*100),0,B32/SUM($B$32,$B$34,$B$35,$B$36,$B$38,$B$39)*100)</f>
        <v>61.252545824847246</v>
      </c>
      <c r="D32" s="236"/>
      <c r="G32" s="16"/>
    </row>
    <row r="33" spans="1:7">
      <c r="A33" s="174" t="s">
        <v>72</v>
      </c>
      <c r="B33" s="35" t="s">
        <v>111</v>
      </c>
      <c r="C33" s="170"/>
      <c r="D33" s="236"/>
      <c r="G33" s="16"/>
    </row>
    <row r="34" spans="1:7">
      <c r="A34" s="174" t="s">
        <v>73</v>
      </c>
      <c r="B34" s="34">
        <f>IF((($B$28-$B$32-$B$39-$B$77-$B$38)*C20/100)&lt;0,0,($B$28-$B$32-$B$39-$B$77-$B$38)*C20/100)</f>
        <v>161.70133729569096</v>
      </c>
      <c r="C34" s="170">
        <f>IF(ISERROR(B34/SUM($B$32,$B$34,$B$35,$B$36,$B$38,$B$39)*100),0,B34/SUM($B$32,$B$34,$B$35,$B$36,$B$38,$B$39)*100)</f>
        <v>2.0583164116050274</v>
      </c>
      <c r="D34" s="236"/>
      <c r="G34" s="16"/>
    </row>
    <row r="35" spans="1:7">
      <c r="A35" s="174" t="s">
        <v>74</v>
      </c>
      <c r="B35" s="34">
        <f>IF((($B$28-$B$32-$B$39-$B$77-$B$38)*C21/100)&lt;0,0,($B$28-$B$32-$B$39-$B$77-$B$38)*C21/100)</f>
        <v>1153.4695393759287</v>
      </c>
      <c r="C35" s="170">
        <f>IF(ISERROR(B35/SUM($B$32,$B$34,$B$35,$B$36,$B$38,$B$39)*100),0,B35/SUM($B$32,$B$34,$B$35,$B$36,$B$38,$B$39)*100)</f>
        <v>14.682657069449192</v>
      </c>
      <c r="D35" s="236"/>
      <c r="G35" s="16"/>
    </row>
    <row r="36" spans="1:7">
      <c r="A36" s="174" t="s">
        <v>75</v>
      </c>
      <c r="B36" s="34">
        <f>IF((($B$28-$B$32-$B$39-$B$77-$B$38)*C22/100)&lt;0,0,($B$28-$B$32-$B$39-$B$77-$B$38)*C22/100)</f>
        <v>135.8291233283804</v>
      </c>
      <c r="C36" s="170">
        <f>IF(ISERROR(B36/SUM($B$32,$B$34,$B$35,$B$36,$B$38,$B$39)*100),0,B36/SUM($B$32,$B$34,$B$35,$B$36,$B$38,$B$39)*100)</f>
        <v>1.7289857857482229</v>
      </c>
      <c r="D36" s="236"/>
      <c r="G36" s="16"/>
    </row>
    <row r="37" spans="1:7">
      <c r="A37" s="174" t="s">
        <v>76</v>
      </c>
      <c r="B37" s="35" t="s">
        <v>111</v>
      </c>
      <c r="C37" s="170"/>
      <c r="D37" s="176"/>
      <c r="G37" s="16"/>
    </row>
    <row r="38" spans="1:7">
      <c r="A38" s="174" t="s">
        <v>77</v>
      </c>
      <c r="B38" s="34">
        <f>IF((B24-(B29-B18)*0.1)&lt;0,0,B24-(B29-B18)*0.1)</f>
        <v>42.5</v>
      </c>
      <c r="C38" s="170">
        <f>IF(ISERROR(B38/SUM($B$32,$B$34,$B$35,$B$36,$B$38,$B$39)*100),0,B38/SUM($B$32,$B$34,$B$35,$B$36,$B$38,$B$39)*100)</f>
        <v>0.54098778004073322</v>
      </c>
      <c r="D38" s="237"/>
      <c r="G38" s="16"/>
    </row>
    <row r="39" spans="1:7">
      <c r="A39" s="174" t="s">
        <v>78</v>
      </c>
      <c r="B39" s="34">
        <f>IF((B25-(B29-B18))&lt;0,0,B25-(B29-B18)*0.9)</f>
        <v>1550.5</v>
      </c>
      <c r="C39" s="170">
        <f>IF(ISERROR(B39/SUM($B$32,$B$34,$B$35,$B$36,$B$38,$B$39)*100),0,B39/SUM($B$32,$B$34,$B$35,$B$36,$B$38,$B$39)*100)</f>
        <v>19.736507128309572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4812</v>
      </c>
      <c r="C44" s="35" t="s">
        <v>111</v>
      </c>
      <c r="D44" s="177"/>
    </row>
    <row r="45" spans="1:7">
      <c r="A45" s="174" t="s">
        <v>72</v>
      </c>
      <c r="B45" s="34" t="str">
        <f t="shared" si="0"/>
        <v>-</v>
      </c>
      <c r="C45" s="35" t="s">
        <v>111</v>
      </c>
      <c r="D45" s="177"/>
    </row>
    <row r="46" spans="1:7">
      <c r="A46" s="174" t="s">
        <v>73</v>
      </c>
      <c r="B46" s="34">
        <f t="shared" si="0"/>
        <v>161.70133729569096</v>
      </c>
      <c r="C46" s="35" t="s">
        <v>111</v>
      </c>
      <c r="D46" s="177"/>
    </row>
    <row r="47" spans="1:7">
      <c r="A47" s="174" t="s">
        <v>74</v>
      </c>
      <c r="B47" s="34">
        <f t="shared" si="0"/>
        <v>1153.4695393759287</v>
      </c>
      <c r="C47" s="35" t="s">
        <v>111</v>
      </c>
      <c r="D47" s="177"/>
    </row>
    <row r="48" spans="1:7">
      <c r="A48" s="174" t="s">
        <v>75</v>
      </c>
      <c r="B48" s="34">
        <f t="shared" si="0"/>
        <v>135.8291233283804</v>
      </c>
      <c r="C48" s="34">
        <f>B48*10</f>
        <v>1358.2912332838041</v>
      </c>
      <c r="D48" s="237"/>
    </row>
    <row r="49" spans="1:6">
      <c r="A49" s="174" t="s">
        <v>76</v>
      </c>
      <c r="B49" s="34" t="str">
        <f t="shared" si="0"/>
        <v>-</v>
      </c>
      <c r="C49" s="35" t="s">
        <v>111</v>
      </c>
      <c r="D49" s="237"/>
    </row>
    <row r="50" spans="1:6">
      <c r="A50" s="174" t="s">
        <v>77</v>
      </c>
      <c r="B50" s="34">
        <f t="shared" si="0"/>
        <v>42.5</v>
      </c>
      <c r="C50" s="34">
        <f>B50*2</f>
        <v>85</v>
      </c>
      <c r="D50" s="237"/>
    </row>
    <row r="51" spans="1:6">
      <c r="A51" s="174" t="s">
        <v>78</v>
      </c>
      <c r="B51" s="34">
        <f t="shared" si="0"/>
        <v>1550.5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52323.143778193305</v>
      </c>
      <c r="C5" s="18">
        <f>IF(ISERROR('Eigen informatie GS &amp; warmtenet'!B58),0,'Eigen informatie GS &amp; warmtenet'!B58)</f>
        <v>0</v>
      </c>
      <c r="D5" s="31">
        <f>SUM(D6:D12)</f>
        <v>49338.311209331965</v>
      </c>
      <c r="E5" s="18">
        <f>SUM(E6:E12)</f>
        <v>436.91052627150088</v>
      </c>
      <c r="F5" s="18">
        <f>SUM(F6:F12)</f>
        <v>10770.758150843234</v>
      </c>
      <c r="G5" s="19"/>
      <c r="H5" s="18"/>
      <c r="I5" s="18"/>
      <c r="J5" s="18">
        <f>SUM(J6:J12)</f>
        <v>0</v>
      </c>
      <c r="K5" s="18"/>
      <c r="L5" s="18"/>
      <c r="M5" s="18"/>
      <c r="N5" s="18">
        <f>SUM(N6:N12)</f>
        <v>1347.9640485856146</v>
      </c>
      <c r="O5" s="18">
        <f>B38*B39*B40</f>
        <v>3.1266666666666669</v>
      </c>
      <c r="P5" s="18">
        <f>B46*B47*B48/1000-B46*B47*B48/1000/B49</f>
        <v>0</v>
      </c>
      <c r="R5" s="33"/>
    </row>
    <row r="6" spans="1:18">
      <c r="A6" s="33" t="s">
        <v>54</v>
      </c>
      <c r="B6" s="38">
        <f>B26</f>
        <v>3606.7321391881201</v>
      </c>
      <c r="C6" s="34"/>
      <c r="D6" s="38">
        <f>IF(ISERROR(TER_kantoor_gas_kWh/1000),0,TER_kantoor_gas_kWh/1000)*0.902</f>
        <v>4897.8585222577931</v>
      </c>
      <c r="E6" s="34">
        <f>$C$26*'E Balans VL '!I12/100/3.6*1000000</f>
        <v>5.9193784379060563</v>
      </c>
      <c r="F6" s="34">
        <f>$C$26*('E Balans VL '!L12+'E Balans VL '!N12)/100/3.6*1000000</f>
        <v>425.14885741142552</v>
      </c>
      <c r="G6" s="35"/>
      <c r="H6" s="34"/>
      <c r="I6" s="34"/>
      <c r="J6" s="34">
        <f>$C$26*('E Balans VL '!D12+'E Balans VL '!E12)/100/3.6*1000000</f>
        <v>0</v>
      </c>
      <c r="K6" s="34"/>
      <c r="L6" s="34"/>
      <c r="M6" s="34"/>
      <c r="N6" s="34">
        <f>$C$26*'E Balans VL '!Y12/100/3.6*1000000</f>
        <v>0.72872314944804484</v>
      </c>
      <c r="O6" s="34"/>
      <c r="P6" s="34"/>
      <c r="R6" s="33"/>
    </row>
    <row r="7" spans="1:18">
      <c r="A7" s="33" t="s">
        <v>53</v>
      </c>
      <c r="B7" s="38">
        <f t="shared" ref="B7:B12" si="0">B27</f>
        <v>2872.6490438614501</v>
      </c>
      <c r="C7" s="34"/>
      <c r="D7" s="38">
        <f>IF(ISERROR(TER_horeca_gas_kWh/1000),0,TER_horeca_gas_kWh/1000)*0.902</f>
        <v>4539.9827848690729</v>
      </c>
      <c r="E7" s="34">
        <f>$C$27*'E Balans VL '!I9/100/3.6*1000000</f>
        <v>149.0696984431041</v>
      </c>
      <c r="F7" s="34">
        <f>$C$27*('E Balans VL '!L9+'E Balans VL '!N9)/100/3.6*1000000</f>
        <v>655.54059621365991</v>
      </c>
      <c r="G7" s="35"/>
      <c r="H7" s="34"/>
      <c r="I7" s="34"/>
      <c r="J7" s="34">
        <f>$C$27*('E Balans VL '!D9+'E Balans VL '!E9)/100/3.6*1000000</f>
        <v>0</v>
      </c>
      <c r="K7" s="34"/>
      <c r="L7" s="34"/>
      <c r="M7" s="34"/>
      <c r="N7" s="34">
        <f>$C$27*'E Balans VL '!Y9/100/3.6*1000000</f>
        <v>0.30335042258291162</v>
      </c>
      <c r="O7" s="34"/>
      <c r="P7" s="34"/>
      <c r="R7" s="33"/>
    </row>
    <row r="8" spans="1:18">
      <c r="A8" s="6" t="s">
        <v>52</v>
      </c>
      <c r="B8" s="38">
        <f t="shared" si="0"/>
        <v>29408.9708713697</v>
      </c>
      <c r="C8" s="34"/>
      <c r="D8" s="38">
        <f>IF(ISERROR(TER_handel_gas_kWh/1000),0,TER_handel_gas_kWh/1000)*0.902</f>
        <v>4543.9682605185217</v>
      </c>
      <c r="E8" s="34">
        <f>$C$28*'E Balans VL '!I13/100/3.6*1000000</f>
        <v>158.37092202452212</v>
      </c>
      <c r="F8" s="34">
        <f>$C$28*('E Balans VL '!L13+'E Balans VL '!N13)/100/3.6*1000000</f>
        <v>5997.3631165721999</v>
      </c>
      <c r="G8" s="35"/>
      <c r="H8" s="34"/>
      <c r="I8" s="34"/>
      <c r="J8" s="34">
        <f>$C$28*('E Balans VL '!D13+'E Balans VL '!E13)/100/3.6*1000000</f>
        <v>0</v>
      </c>
      <c r="K8" s="34"/>
      <c r="L8" s="34"/>
      <c r="M8" s="34"/>
      <c r="N8" s="34">
        <f>$C$28*'E Balans VL '!Y13/100/3.6*1000000</f>
        <v>146.23528171076026</v>
      </c>
      <c r="O8" s="34"/>
      <c r="P8" s="34"/>
      <c r="R8" s="33"/>
    </row>
    <row r="9" spans="1:18">
      <c r="A9" s="33" t="s">
        <v>51</v>
      </c>
      <c r="B9" s="38">
        <f t="shared" si="0"/>
        <v>1729.59067230185</v>
      </c>
      <c r="C9" s="34"/>
      <c r="D9" s="38">
        <f>IF(ISERROR(TER_gezond_gas_kWh/1000),0,TER_gezond_gas_kWh/1000)*0.902</f>
        <v>7082.7265212014836</v>
      </c>
      <c r="E9" s="34">
        <f>$C$29*'E Balans VL '!I10/100/3.6*1000000</f>
        <v>1.7140440250748572</v>
      </c>
      <c r="F9" s="34">
        <f>$C$29*('E Balans VL '!L10+'E Balans VL '!N10)/100/3.6*1000000</f>
        <v>600.11810975021172</v>
      </c>
      <c r="G9" s="35"/>
      <c r="H9" s="34"/>
      <c r="I9" s="34"/>
      <c r="J9" s="34">
        <f>$C$29*('E Balans VL '!D10+'E Balans VL '!E10)/100/3.6*1000000</f>
        <v>0</v>
      </c>
      <c r="K9" s="34"/>
      <c r="L9" s="34"/>
      <c r="M9" s="34"/>
      <c r="N9" s="34">
        <f>$C$29*'E Balans VL '!Y10/100/3.6*1000000</f>
        <v>14.903732989503448</v>
      </c>
      <c r="O9" s="34"/>
      <c r="P9" s="34"/>
      <c r="R9" s="33"/>
    </row>
    <row r="10" spans="1:18">
      <c r="A10" s="33" t="s">
        <v>50</v>
      </c>
      <c r="B10" s="38">
        <f t="shared" si="0"/>
        <v>503.76099136437097</v>
      </c>
      <c r="C10" s="34"/>
      <c r="D10" s="38">
        <f>IF(ISERROR(TER_ander_gas_kWh/1000),0,TER_ander_gas_kWh/1000)*0.902</f>
        <v>2582.812895702757</v>
      </c>
      <c r="E10" s="34">
        <f>$C$30*'E Balans VL '!I14/100/3.6*1000000</f>
        <v>4.1212683826151464</v>
      </c>
      <c r="F10" s="34">
        <f>$C$30*('E Balans VL '!L14+'E Balans VL '!N14)/100/3.6*1000000</f>
        <v>147.2792049155743</v>
      </c>
      <c r="G10" s="35"/>
      <c r="H10" s="34"/>
      <c r="I10" s="34"/>
      <c r="J10" s="34">
        <f>$C$30*('E Balans VL '!D14+'E Balans VL '!E14)/100/3.6*1000000</f>
        <v>0</v>
      </c>
      <c r="K10" s="34"/>
      <c r="L10" s="34"/>
      <c r="M10" s="34"/>
      <c r="N10" s="34">
        <f>$C$30*'E Balans VL '!Y14/100/3.6*1000000</f>
        <v>290.60399299017547</v>
      </c>
      <c r="O10" s="34"/>
      <c r="P10" s="34"/>
      <c r="R10" s="33"/>
    </row>
    <row r="11" spans="1:18">
      <c r="A11" s="33" t="s">
        <v>55</v>
      </c>
      <c r="B11" s="38">
        <f t="shared" si="0"/>
        <v>621.8938330894141</v>
      </c>
      <c r="C11" s="34"/>
      <c r="D11" s="38">
        <f>IF(ISERROR(TER_onderwijs_gas_kWh/1000),0,TER_onderwijs_gas_kWh/1000)*0.902</f>
        <v>2148.3066716529306</v>
      </c>
      <c r="E11" s="34">
        <f>$C$31*'E Balans VL '!I11/100/3.6*1000000</f>
        <v>0.38330911841031151</v>
      </c>
      <c r="F11" s="34">
        <f>$C$31*('E Balans VL '!L11+'E Balans VL '!N11)/100/3.6*1000000</f>
        <v>240.43422723734326</v>
      </c>
      <c r="G11" s="35"/>
      <c r="H11" s="34"/>
      <c r="I11" s="34"/>
      <c r="J11" s="34">
        <f>$C$31*('E Balans VL '!D11+'E Balans VL '!E11)/100/3.6*1000000</f>
        <v>0</v>
      </c>
      <c r="K11" s="34"/>
      <c r="L11" s="34"/>
      <c r="M11" s="34"/>
      <c r="N11" s="34">
        <f>$C$31*'E Balans VL '!Y11/100/3.6*1000000</f>
        <v>2.0228873700369183</v>
      </c>
      <c r="O11" s="34"/>
      <c r="P11" s="34"/>
      <c r="R11" s="33"/>
    </row>
    <row r="12" spans="1:18">
      <c r="A12" s="33" t="s">
        <v>260</v>
      </c>
      <c r="B12" s="38">
        <f t="shared" si="0"/>
        <v>13579.5462270184</v>
      </c>
      <c r="C12" s="34"/>
      <c r="D12" s="38">
        <f>IF(ISERROR(TER_rest_gas_kWh/1000),0,TER_rest_gas_kWh/1000)*0.902</f>
        <v>23542.6555531294</v>
      </c>
      <c r="E12" s="34">
        <f>$C$32*'E Balans VL '!I8/100/3.6*1000000</f>
        <v>117.3319058398683</v>
      </c>
      <c r="F12" s="34">
        <f>$C$32*('E Balans VL '!L8+'E Balans VL '!N8)/100/3.6*1000000</f>
        <v>2704.8740387428197</v>
      </c>
      <c r="G12" s="35"/>
      <c r="H12" s="34"/>
      <c r="I12" s="34"/>
      <c r="J12" s="34">
        <f>$C$32*('E Balans VL '!D8+'E Balans VL '!E8)/100/3.6*1000000</f>
        <v>0</v>
      </c>
      <c r="K12" s="34"/>
      <c r="L12" s="34"/>
      <c r="M12" s="34"/>
      <c r="N12" s="34">
        <f>$C$32*'E Balans VL '!Y8/100/3.6*1000000</f>
        <v>893.16607995310744</v>
      </c>
      <c r="O12" s="34"/>
      <c r="P12" s="34"/>
      <c r="R12" s="33"/>
    </row>
    <row r="13" spans="1:18">
      <c r="A13" s="17" t="s">
        <v>502</v>
      </c>
      <c r="B13" s="250">
        <f ca="1">'lokale energieproductie'!N91+'lokale energieproductie'!N60</f>
        <v>1080</v>
      </c>
      <c r="C13" s="250">
        <f ca="1">'lokale energieproductie'!O91+'lokale energieproductie'!O60</f>
        <v>1542.8571428571429</v>
      </c>
      <c r="D13" s="312">
        <f ca="1">('lokale energieproductie'!P60+'lokale energieproductie'!P91)*(-1)</f>
        <v>-3085.7142857142858</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53403.143778193305</v>
      </c>
      <c r="C16" s="22">
        <f t="shared" ca="1" si="1"/>
        <v>1542.8571428571429</v>
      </c>
      <c r="D16" s="22">
        <f t="shared" ca="1" si="1"/>
        <v>46252.596923617682</v>
      </c>
      <c r="E16" s="22">
        <f t="shared" si="1"/>
        <v>436.91052627150088</v>
      </c>
      <c r="F16" s="22">
        <f t="shared" ca="1" si="1"/>
        <v>10770.758150843234</v>
      </c>
      <c r="G16" s="22">
        <f t="shared" si="1"/>
        <v>0</v>
      </c>
      <c r="H16" s="22">
        <f t="shared" si="1"/>
        <v>0</v>
      </c>
      <c r="I16" s="22">
        <f t="shared" si="1"/>
        <v>0</v>
      </c>
      <c r="J16" s="22">
        <f t="shared" si="1"/>
        <v>0</v>
      </c>
      <c r="K16" s="22">
        <f t="shared" si="1"/>
        <v>0</v>
      </c>
      <c r="L16" s="22">
        <f t="shared" ca="1" si="1"/>
        <v>0</v>
      </c>
      <c r="M16" s="22">
        <f t="shared" si="1"/>
        <v>0</v>
      </c>
      <c r="N16" s="22">
        <f t="shared" ca="1" si="1"/>
        <v>1347.9640485856146</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0.20427393178998862</v>
      </c>
      <c r="C18" s="26">
        <f ca="1">'EF ele_warmte'!B22</f>
        <v>0.2144918130005056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10908.870149517614</v>
      </c>
      <c r="C20" s="24">
        <f t="shared" ref="C20:P20" ca="1" si="2">C16*C18</f>
        <v>330.93022577220864</v>
      </c>
      <c r="D20" s="24">
        <f t="shared" ca="1" si="2"/>
        <v>9343.0245785707721</v>
      </c>
      <c r="E20" s="24">
        <f t="shared" si="2"/>
        <v>99.178689463630704</v>
      </c>
      <c r="F20" s="24">
        <f t="shared" ca="1" si="2"/>
        <v>2875.7924262751435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3606.7321391881201</v>
      </c>
      <c r="C26" s="40">
        <f>IF(ISERROR(B26*3.6/1000000/'E Balans VL '!Z12*100),0,B26*3.6/1000000/'E Balans VL '!Z12*100)</f>
        <v>7.664047145816423E-2</v>
      </c>
      <c r="D26" s="240" t="s">
        <v>707</v>
      </c>
      <c r="F26" s="6"/>
    </row>
    <row r="27" spans="1:18">
      <c r="A27" s="234" t="s">
        <v>53</v>
      </c>
      <c r="B27" s="34">
        <f>IF(ISERROR(TER_horeca_ele_kWh/1000),0,TER_horeca_ele_kWh/1000)</f>
        <v>2872.6490438614501</v>
      </c>
      <c r="C27" s="40">
        <f>IF(ISERROR(B27*3.6/1000000/'E Balans VL '!Z9*100),0,B27*3.6/1000000/'E Balans VL '!Z9*100)</f>
        <v>0.22609969385061737</v>
      </c>
      <c r="D27" s="240" t="s">
        <v>707</v>
      </c>
      <c r="F27" s="6"/>
    </row>
    <row r="28" spans="1:18">
      <c r="A28" s="174" t="s">
        <v>52</v>
      </c>
      <c r="B28" s="34">
        <f>IF(ISERROR(TER_handel_ele_kWh/1000),0,TER_handel_ele_kWh/1000)</f>
        <v>29408.9708713697</v>
      </c>
      <c r="C28" s="40">
        <f>IF(ISERROR(B28*3.6/1000000/'E Balans VL '!Z13*100),0,B28*3.6/1000000/'E Balans VL '!Z13*100)</f>
        <v>0.82376101316690209</v>
      </c>
      <c r="D28" s="240" t="s">
        <v>707</v>
      </c>
      <c r="F28" s="6"/>
    </row>
    <row r="29" spans="1:18">
      <c r="A29" s="234" t="s">
        <v>51</v>
      </c>
      <c r="B29" s="34">
        <f>IF(ISERROR(TER_gezond_ele_kWh/1000),0,TER_gezond_ele_kWh/1000)</f>
        <v>1729.59067230185</v>
      </c>
      <c r="C29" s="40">
        <f>IF(ISERROR(B29*3.6/1000000/'E Balans VL '!Z10*100),0,B29*3.6/1000000/'E Balans VL '!Z10*100)</f>
        <v>0.22126694770295752</v>
      </c>
      <c r="D29" s="240" t="s">
        <v>707</v>
      </c>
      <c r="F29" s="6"/>
    </row>
    <row r="30" spans="1:18">
      <c r="A30" s="234" t="s">
        <v>50</v>
      </c>
      <c r="B30" s="34">
        <f>IF(ISERROR(TER_ander_ele_kWh/1000),0,TER_ander_ele_kWh/1000)</f>
        <v>503.76099136437097</v>
      </c>
      <c r="C30" s="40">
        <f>IF(ISERROR(B30*3.6/1000000/'E Balans VL '!Z14*100),0,B30*3.6/1000000/'E Balans VL '!Z14*100)</f>
        <v>3.7677077389790342E-2</v>
      </c>
      <c r="D30" s="240" t="s">
        <v>707</v>
      </c>
      <c r="F30" s="6"/>
    </row>
    <row r="31" spans="1:18">
      <c r="A31" s="234" t="s">
        <v>55</v>
      </c>
      <c r="B31" s="34">
        <f>IF(ISERROR(TER_onderwijs_ele_kWh/1000),0,TER_onderwijs_ele_kWh/1000)</f>
        <v>621.8938330894141</v>
      </c>
      <c r="C31" s="40">
        <f>IF(ISERROR(B31*3.6/1000000/'E Balans VL '!Z11*100),0,B31*3.6/1000000/'E Balans VL '!Z11*100)</f>
        <v>0.13131368841524949</v>
      </c>
      <c r="D31" s="240" t="s">
        <v>707</v>
      </c>
    </row>
    <row r="32" spans="1:18">
      <c r="A32" s="234" t="s">
        <v>260</v>
      </c>
      <c r="B32" s="34">
        <f>IF(ISERROR(TER_rest_ele_kWh/1000),0,TER_rest_ele_kWh/1000)</f>
        <v>13579.5462270184</v>
      </c>
      <c r="C32" s="40">
        <f>IF(ISERROR(B32*3.6/1000000/'E Balans VL '!Z8*100),0,B32*3.6/1000000/'E Balans VL '!Z8*100)</f>
        <v>0.11186737929767508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5330.7837604821125</v>
      </c>
      <c r="C5" s="18">
        <f>IF(ISERROR('Eigen informatie GS &amp; warmtenet'!B59),0,'Eigen informatie GS &amp; warmtenet'!B59)</f>
        <v>0</v>
      </c>
      <c r="D5" s="31">
        <f>SUM(D6:D15)</f>
        <v>7743.9102153838267</v>
      </c>
      <c r="E5" s="18">
        <f>SUM(E6:E15)</f>
        <v>43.747130453520271</v>
      </c>
      <c r="F5" s="18">
        <f>SUM(F6:F15)</f>
        <v>1838.2436263730033</v>
      </c>
      <c r="G5" s="19"/>
      <c r="H5" s="18"/>
      <c r="I5" s="18"/>
      <c r="J5" s="18">
        <f>SUM(J6:J15)</f>
        <v>23.207654375363859</v>
      </c>
      <c r="K5" s="18"/>
      <c r="L5" s="18"/>
      <c r="M5" s="18"/>
      <c r="N5" s="18">
        <f>SUM(N6:N15)</f>
        <v>206.7129557836941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524.11458665345594</v>
      </c>
      <c r="C8" s="34"/>
      <c r="D8" s="38">
        <f>IF( ISERROR(IND_metaal_Gas_kWH/1000),0,IND_metaal_Gas_kWH/1000)*0.902</f>
        <v>336.75656608964698</v>
      </c>
      <c r="E8" s="34">
        <f>C30*'E Balans VL '!I18/100/3.6*1000000</f>
        <v>4.7730170887293699</v>
      </c>
      <c r="F8" s="34">
        <f>C30*'E Balans VL '!L18/100/3.6*1000000+C30*'E Balans VL '!N18/100/3.6*1000000</f>
        <v>69.126733785057795</v>
      </c>
      <c r="G8" s="35"/>
      <c r="H8" s="34"/>
      <c r="I8" s="34"/>
      <c r="J8" s="41">
        <f>C30*'E Balans VL '!D18/100/3.6*1000000+C30*'E Balans VL '!E18/100/3.6*1000000</f>
        <v>8.5947182341391759</v>
      </c>
      <c r="K8" s="34"/>
      <c r="L8" s="34"/>
      <c r="M8" s="34"/>
      <c r="N8" s="34">
        <f>C30*'E Balans VL '!Y18/100/3.6*1000000</f>
        <v>1.8011736303424632</v>
      </c>
      <c r="O8" s="34"/>
      <c r="P8" s="34"/>
      <c r="R8" s="33"/>
    </row>
    <row r="9" spans="1:18">
      <c r="A9" s="6" t="s">
        <v>33</v>
      </c>
      <c r="B9" s="38">
        <f t="shared" si="0"/>
        <v>1443.6360799506399</v>
      </c>
      <c r="C9" s="34"/>
      <c r="D9" s="38">
        <f>IF( ISERROR(IND_andere_gas_kWh/1000),0,IND_andere_gas_kWh/1000)*0.902</f>
        <v>1941.0860157686125</v>
      </c>
      <c r="E9" s="34">
        <f>C31*'E Balans VL '!I19/100/3.6*1000000</f>
        <v>8.3444322756828804</v>
      </c>
      <c r="F9" s="34">
        <f>C31*'E Balans VL '!L19/100/3.6*1000000+C31*'E Balans VL '!N19/100/3.6*1000000</f>
        <v>1148.4819666200694</v>
      </c>
      <c r="G9" s="35"/>
      <c r="H9" s="34"/>
      <c r="I9" s="34"/>
      <c r="J9" s="41">
        <f>C31*'E Balans VL '!D19/100/3.6*1000000+C31*'E Balans VL '!E19/100/3.6*1000000</f>
        <v>0.13655193770793944</v>
      </c>
      <c r="K9" s="34"/>
      <c r="L9" s="34"/>
      <c r="M9" s="34"/>
      <c r="N9" s="34">
        <f>C31*'E Balans VL '!Y19/100/3.6*1000000</f>
        <v>109.37728004461674</v>
      </c>
      <c r="O9" s="34"/>
      <c r="P9" s="34"/>
      <c r="R9" s="33"/>
    </row>
    <row r="10" spans="1:18">
      <c r="A10" s="6" t="s">
        <v>41</v>
      </c>
      <c r="B10" s="38">
        <f t="shared" si="0"/>
        <v>484.70049593724599</v>
      </c>
      <c r="C10" s="34"/>
      <c r="D10" s="38">
        <f>IF( ISERROR(IND_voed_gas_kWh/1000),0,IND_voed_gas_kWh/1000)*0.902</f>
        <v>374.59710488453061</v>
      </c>
      <c r="E10" s="34">
        <f>C32*'E Balans VL '!I20/100/3.6*1000000</f>
        <v>4.7658739249028139</v>
      </c>
      <c r="F10" s="34">
        <f>C32*'E Balans VL '!L20/100/3.6*1000000+C32*'E Balans VL '!N20/100/3.6*1000000</f>
        <v>53.832316697041051</v>
      </c>
      <c r="G10" s="35"/>
      <c r="H10" s="34"/>
      <c r="I10" s="34"/>
      <c r="J10" s="41">
        <f>C32*'E Balans VL '!D20/100/3.6*1000000+C32*'E Balans VL '!E20/100/3.6*1000000</f>
        <v>1.9104246952734809E-3</v>
      </c>
      <c r="K10" s="34"/>
      <c r="L10" s="34"/>
      <c r="M10" s="34"/>
      <c r="N10" s="34">
        <f>C32*'E Balans VL '!Y20/100/3.6*1000000</f>
        <v>7.1772742090850503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2878.33259794077</v>
      </c>
      <c r="C15" s="34"/>
      <c r="D15" s="38">
        <f>IF( ISERROR(IND_rest_gas_kWh/1000),0,IND_rest_gas_kWh/1000)*0.902</f>
        <v>5091.4705286410363</v>
      </c>
      <c r="E15" s="34">
        <f>C37*'E Balans VL '!I15/100/3.6*1000000</f>
        <v>25.863807164205209</v>
      </c>
      <c r="F15" s="34">
        <f>C37*'E Balans VL '!L15/100/3.6*1000000+C37*'E Balans VL '!N15/100/3.6*1000000</f>
        <v>566.80260927083509</v>
      </c>
      <c r="G15" s="35"/>
      <c r="H15" s="34"/>
      <c r="I15" s="34"/>
      <c r="J15" s="41">
        <f>C37*'E Balans VL '!D15/100/3.6*1000000+C37*'E Balans VL '!E15/100/3.6*1000000</f>
        <v>14.474473778821473</v>
      </c>
      <c r="K15" s="34"/>
      <c r="L15" s="34"/>
      <c r="M15" s="34"/>
      <c r="N15" s="34">
        <f>C37*'E Balans VL '!Y15/100/3.6*1000000</f>
        <v>88.357227899649857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5330.7837604821125</v>
      </c>
      <c r="C18" s="22">
        <f>C5+C16</f>
        <v>0</v>
      </c>
      <c r="D18" s="22">
        <f>MAX((D5+D16),0)</f>
        <v>7743.9102153838267</v>
      </c>
      <c r="E18" s="22">
        <f>MAX((E5+E16),0)</f>
        <v>43.747130453520271</v>
      </c>
      <c r="F18" s="22">
        <f>MAX((F5+F16),0)</f>
        <v>1838.2436263730033</v>
      </c>
      <c r="G18" s="22"/>
      <c r="H18" s="22"/>
      <c r="I18" s="22"/>
      <c r="J18" s="22">
        <f>MAX((J5+J16),0)</f>
        <v>23.207654375363859</v>
      </c>
      <c r="K18" s="22"/>
      <c r="L18" s="22">
        <f>MAX((L5+L16),0)</f>
        <v>0</v>
      </c>
      <c r="M18" s="22"/>
      <c r="N18" s="22">
        <f>MAX((N5+N16),0)</f>
        <v>206.7129557836941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0.20427393178998862</v>
      </c>
      <c r="C20" s="26">
        <f ca="1">'EF ele_warmte'!B22</f>
        <v>0.2144918130005056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1088.9401582759021</v>
      </c>
      <c r="C22" s="24">
        <f ca="1">C18*C20</f>
        <v>0</v>
      </c>
      <c r="D22" s="24">
        <f>D18*D20</f>
        <v>1564.269863507533</v>
      </c>
      <c r="E22" s="24">
        <f>E18*E20</f>
        <v>9.9305986129491011</v>
      </c>
      <c r="F22" s="24">
        <f>F18*F20</f>
        <v>490.81104824159189</v>
      </c>
      <c r="G22" s="24"/>
      <c r="H22" s="24"/>
      <c r="I22" s="24"/>
      <c r="J22" s="24">
        <f>J18*J20</f>
        <v>8.2155096488788057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524.11458665345594</v>
      </c>
      <c r="C30" s="40">
        <f>IF(ISERROR(B30*3.6/1000000/'E Balans VL '!Z18*100),0,B30*3.6/1000000/'E Balans VL '!Z18*100)</f>
        <v>2.9163472023093492E-2</v>
      </c>
      <c r="D30" s="240" t="s">
        <v>707</v>
      </c>
    </row>
    <row r="31" spans="1:18">
      <c r="A31" s="6" t="s">
        <v>33</v>
      </c>
      <c r="B31" s="38">
        <f>IF( ISERROR(IND_ander_ele_kWh/1000),0,IND_ander_ele_kWh/1000)</f>
        <v>1443.6360799506399</v>
      </c>
      <c r="C31" s="40">
        <f>IF(ISERROR(B31*3.6/1000000/'E Balans VL '!Z19*100),0,B31*3.6/1000000/'E Balans VL '!Z19*100)</f>
        <v>6.7110849931547034E-2</v>
      </c>
      <c r="D31" s="240" t="s">
        <v>707</v>
      </c>
    </row>
    <row r="32" spans="1:18">
      <c r="A32" s="174" t="s">
        <v>41</v>
      </c>
      <c r="B32" s="38">
        <f>IF( ISERROR(IND_voed_ele_kWh/1000),0,IND_voed_ele_kWh/1000)</f>
        <v>484.70049593724599</v>
      </c>
      <c r="C32" s="40">
        <f>IF(ISERROR(B32*3.6/1000000/'E Balans VL '!Z20*100),0,B32*3.6/1000000/'E Balans VL '!Z20*100)</f>
        <v>1.7133183637273505E-2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2878.33259794077</v>
      </c>
      <c r="C37" s="40">
        <f>IF(ISERROR(B37*3.6/1000000/'E Balans VL '!Z15*100),0,B37*3.6/1000000/'E Balans VL '!Z15*100)</f>
        <v>2.1735663054656972E-2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6555.4258273105916</v>
      </c>
      <c r="C5" s="18">
        <f>'Eigen informatie GS &amp; warmtenet'!B60</f>
        <v>0</v>
      </c>
      <c r="D5" s="31">
        <f>IF(ISERROR(SUM(LB_lb_gas_kWh,LB_rest_gas_kWh)/1000),0,SUM(LB_lb_gas_kWh,LB_rest_gas_kWh)/1000)*0.902</f>
        <v>440079.73518637993</v>
      </c>
      <c r="E5" s="18">
        <f>B17*'E Balans VL '!I25/3.6*1000000/100</f>
        <v>61.756503572650438</v>
      </c>
      <c r="F5" s="18">
        <f>B17*('E Balans VL '!L25/3.6*1000000+'E Balans VL '!N25/3.6*1000000)/100</f>
        <v>21392.530029282228</v>
      </c>
      <c r="G5" s="19"/>
      <c r="H5" s="18"/>
      <c r="I5" s="18"/>
      <c r="J5" s="18">
        <f>('E Balans VL '!D25+'E Balans VL '!E25)/3.6*1000000*landbouw!B17/100</f>
        <v>810.93806042341942</v>
      </c>
      <c r="K5" s="18"/>
      <c r="L5" s="18">
        <f>L6*(-1)</f>
        <v>46080</v>
      </c>
      <c r="M5" s="18"/>
      <c r="N5" s="18">
        <f>N6*(-1)</f>
        <v>28.928571428571431</v>
      </c>
      <c r="O5" s="18"/>
      <c r="P5" s="18"/>
      <c r="R5" s="33"/>
    </row>
    <row r="6" spans="1:18">
      <c r="A6" s="17" t="s">
        <v>502</v>
      </c>
      <c r="B6" s="18" t="s">
        <v>211</v>
      </c>
      <c r="C6" s="18">
        <f>'lokale energieproductie'!O92+'lokale energieproductie'!O61</f>
        <v>213014.25</v>
      </c>
      <c r="D6" s="312">
        <f>('lokale energieproductie'!P61+'lokale energieproductie'!P92)*(-1)</f>
        <v>-374078.57142857142</v>
      </c>
      <c r="E6" s="251"/>
      <c r="F6" s="312">
        <f>('lokale energieproductie'!S61+'lokale energieproductie'!S92)*(-1)</f>
        <v>-11610</v>
      </c>
      <c r="G6" s="252"/>
      <c r="H6" s="251"/>
      <c r="I6" s="251"/>
      <c r="J6" s="251"/>
      <c r="K6" s="251"/>
      <c r="L6" s="312">
        <f>('lokale energieproductie'!T61+'lokale energieproductie'!U61+'lokale energieproductie'!T92+'lokale energieproductie'!U92)*(-1)</f>
        <v>-46080</v>
      </c>
      <c r="M6" s="251"/>
      <c r="N6" s="312">
        <f>('lokale energieproductie'!V61+'lokale energieproductie'!R61+'lokale energieproductie'!Q61+'lokale energieproductie'!Q92+'lokale energieproductie'!R92+'lokale energieproductie'!V92)*(-1)</f>
        <v>-28.928571428571431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6555.4258273105916</v>
      </c>
      <c r="C8" s="22">
        <f>C5+C6</f>
        <v>213014.25</v>
      </c>
      <c r="D8" s="22">
        <f>MAX((D5+D6),0)</f>
        <v>66001.163757808506</v>
      </c>
      <c r="E8" s="22">
        <f>MAX((E5+E6),0)</f>
        <v>61.756503572650438</v>
      </c>
      <c r="F8" s="22">
        <f>MAX((F5+F6),0)</f>
        <v>9782.5300292822285</v>
      </c>
      <c r="G8" s="22"/>
      <c r="H8" s="22"/>
      <c r="I8" s="22"/>
      <c r="J8" s="22">
        <f>MAX((J5+J6),0)</f>
        <v>810.93806042341942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0.20427393178998862</v>
      </c>
      <c r="C10" s="32">
        <f ca="1">'EF ele_warmte'!B22</f>
        <v>0.2144918130005056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1339.1026083023735</v>
      </c>
      <c r="C12" s="24">
        <f ca="1">C8*C10</f>
        <v>45689.812677442947</v>
      </c>
      <c r="D12" s="24">
        <f>D8*D10</f>
        <v>13332.23507907732</v>
      </c>
      <c r="E12" s="24">
        <f>E8*E10</f>
        <v>14.018726310991649</v>
      </c>
      <c r="F12" s="24">
        <f>F8*F10</f>
        <v>2611.935517818355</v>
      </c>
      <c r="G12" s="24"/>
      <c r="H12" s="24"/>
      <c r="I12" s="24"/>
      <c r="J12" s="24">
        <f>J8*J10</f>
        <v>287.07207338989048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0.88749990466174911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99.629663389072192</v>
      </c>
      <c r="C26" s="250">
        <f>B26*'GWP N2O_CH4'!B5</f>
        <v>2092.2229311705159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15.988742834891481</v>
      </c>
      <c r="C27" s="250">
        <f>B27*'GWP N2O_CH4'!B5</f>
        <v>335.76359953272112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1.2382602334155999</v>
      </c>
      <c r="C28" s="250">
        <f>B28*'GWP N2O_CH4'!B4</f>
        <v>383.86067235883598</v>
      </c>
      <c r="D28" s="51"/>
    </row>
    <row r="29" spans="1:4">
      <c r="A29" s="42" t="s">
        <v>277</v>
      </c>
      <c r="B29" s="250">
        <f>B34*'ha_N2O bodem landbouw'!B4</f>
        <v>6.0999935286793567</v>
      </c>
      <c r="C29" s="250">
        <f>B29*'GWP N2O_CH4'!B4</f>
        <v>1890.9979938906006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1.6468062233194313E-3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5.7087715543905756E-6</v>
      </c>
      <c r="C5" s="447" t="s">
        <v>211</v>
      </c>
      <c r="D5" s="432">
        <f>SUM(D6:D11)</f>
        <v>1.6099516927726101E-5</v>
      </c>
      <c r="E5" s="432">
        <f>SUM(E6:E11)</f>
        <v>9.3041945756644311E-4</v>
      </c>
      <c r="F5" s="445" t="s">
        <v>211</v>
      </c>
      <c r="G5" s="432">
        <f>SUM(G6:G11)</f>
        <v>0.17533001532248746</v>
      </c>
      <c r="H5" s="432">
        <f>SUM(H6:H11)</f>
        <v>3.5706731363873798E-2</v>
      </c>
      <c r="I5" s="447" t="s">
        <v>211</v>
      </c>
      <c r="J5" s="447" t="s">
        <v>211</v>
      </c>
      <c r="K5" s="447" t="s">
        <v>211</v>
      </c>
      <c r="L5" s="447" t="s">
        <v>211</v>
      </c>
      <c r="M5" s="432">
        <f>SUM(M6:M11)</f>
        <v>9.440820076852003E-3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4.5957326359251792E-6</v>
      </c>
      <c r="C6" s="433"/>
      <c r="D6" s="433">
        <f>vkm_2011_GW_PW*SUMIFS(TableVerdeelsleutelVkm[CNG],TableVerdeelsleutelVkm[Voertuigtype],"Lichte voertuigen")*SUMIFS(TableECFTransport[EnergieConsumptieFactor (PJ per km)],TableECFTransport[Index],CONCATENATE($A6,"_CNG_CNG"))</f>
        <v>1.1222856062152947E-5</v>
      </c>
      <c r="E6" s="435">
        <f>vkm_2011_GW_PW*SUMIFS(TableVerdeelsleutelVkm[LPG],TableVerdeelsleutelVkm[Voertuigtype],"Lichte voertuigen")*SUMIFS(TableECFTransport[EnergieConsumptieFactor (PJ per km)],TableECFTransport[Index],CONCATENATE($A6,"_LPG_LPG"))</f>
        <v>6.6523290920402617E-4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9.6167242477061626E-2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2.5202671419540097E-2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5.435168260695426E-3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3.9056328937357068E-2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1.575770604794573E-5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1.7399473702156957E-3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1.1130389184653967E-6</v>
      </c>
      <c r="C8" s="433"/>
      <c r="D8" s="435">
        <f>vkm_2011_NGW_PW*SUMIFS(TableVerdeelsleutelVkm[CNG],TableVerdeelsleutelVkm[Voertuigtype],"Lichte voertuigen")*SUMIFS(TableECFTransport[EnergieConsumptieFactor (PJ per km)],TableECFTransport[Index],CONCATENATE($A8,"_CNG_CNG"))</f>
        <v>4.8766608655731551E-6</v>
      </c>
      <c r="E8" s="435">
        <f>vkm_2011_NGW_PW*SUMIFS(TableVerdeelsleutelVkm[LPG],TableVerdeelsleutelVkm[Voertuigtype],"Lichte voertuigen")*SUMIFS(TableECFTransport[EnergieConsumptieFactor (PJ per km)],TableECFTransport[Index],CONCATENATE($A8,"_LPG_LPG"))</f>
        <v>2.6518654836241694E-4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3.6215286757735846E-2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1.0486935306966346E-2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2.0923638835899914E-3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3.8911571503329073E-3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1.3669313194027216E-6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1.733405623508914E-4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1.5857698762196042</v>
      </c>
      <c r="C14" s="22"/>
      <c r="D14" s="22">
        <f t="shared" ref="D14:M14" si="0">((D5)*10^9/3600)+D12</f>
        <v>4.472088035479473</v>
      </c>
      <c r="E14" s="22">
        <f t="shared" si="0"/>
        <v>258.44984932401201</v>
      </c>
      <c r="F14" s="22"/>
      <c r="G14" s="22">
        <f t="shared" si="0"/>
        <v>48702.782034024298</v>
      </c>
      <c r="H14" s="22">
        <f t="shared" si="0"/>
        <v>9918.536489964943</v>
      </c>
      <c r="I14" s="22"/>
      <c r="J14" s="22"/>
      <c r="K14" s="22"/>
      <c r="L14" s="22"/>
      <c r="M14" s="22">
        <f t="shared" si="0"/>
        <v>2622.4500213477786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0.20427393178998862</v>
      </c>
      <c r="C16" s="57">
        <f ca="1">'EF ele_warmte'!B22</f>
        <v>0.2144918130005056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0.32393144752950215</v>
      </c>
      <c r="C18" s="24"/>
      <c r="D18" s="24">
        <f t="shared" ref="D18:M18" si="1">D14*D16</f>
        <v>0.90336178316685356</v>
      </c>
      <c r="E18" s="24">
        <f t="shared" si="1"/>
        <v>58.66811579655073</v>
      </c>
      <c r="F18" s="24"/>
      <c r="G18" s="24">
        <f t="shared" si="1"/>
        <v>13003.642803084489</v>
      </c>
      <c r="H18" s="24">
        <f t="shared" si="1"/>
        <v>2469.7155860012708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9.3487011394737408E-3</v>
      </c>
      <c r="H50" s="323">
        <f t="shared" si="2"/>
        <v>0</v>
      </c>
      <c r="I50" s="323">
        <f t="shared" si="2"/>
        <v>0</v>
      </c>
      <c r="J50" s="323">
        <f t="shared" si="2"/>
        <v>0</v>
      </c>
      <c r="K50" s="323">
        <f t="shared" si="2"/>
        <v>0</v>
      </c>
      <c r="L50" s="323">
        <f t="shared" si="2"/>
        <v>0</v>
      </c>
      <c r="M50" s="323">
        <f t="shared" si="2"/>
        <v>4.1051688868146233E-4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9.3487011394737408E-3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4.1051688868146233E-4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2596.8614276315943</v>
      </c>
      <c r="H54" s="22">
        <f t="shared" si="3"/>
        <v>0</v>
      </c>
      <c r="I54" s="22">
        <f t="shared" si="3"/>
        <v>0</v>
      </c>
      <c r="J54" s="22">
        <f t="shared" si="3"/>
        <v>0</v>
      </c>
      <c r="K54" s="22">
        <f t="shared" si="3"/>
        <v>0</v>
      </c>
      <c r="L54" s="22">
        <f t="shared" si="3"/>
        <v>0</v>
      </c>
      <c r="M54" s="22">
        <f t="shared" si="3"/>
        <v>114.03246907818398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0.20427393178998862</v>
      </c>
      <c r="C56" s="57">
        <f ca="1">'EF ele_warmte'!B22</f>
        <v>0.2144918130005056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693.36200117763576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7757.8583956943858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155093.625</v>
      </c>
      <c r="C8" s="558">
        <f>B101</f>
        <v>158246.07177934033</v>
      </c>
      <c r="D8" s="991"/>
      <c r="E8" s="991">
        <f>E101</f>
        <v>4871.1846878044771</v>
      </c>
      <c r="F8" s="992"/>
      <c r="G8" s="559"/>
      <c r="H8" s="991">
        <f>I101</f>
        <v>0</v>
      </c>
      <c r="I8" s="991">
        <f>G101+F101</f>
        <v>19333.694264774356</v>
      </c>
      <c r="J8" s="991">
        <f>H101+D101+C101</f>
        <v>12.1375033749281</v>
      </c>
      <c r="K8" s="991"/>
      <c r="L8" s="991"/>
      <c r="M8" s="991"/>
      <c r="N8" s="560"/>
      <c r="O8" s="561">
        <f>C8*$C$12+D8*$D$12+E8*$E$12+F8*$F$12+G8*$G$12+H8*$H$12+I8*$I$12+J8*$J$12</f>
        <v>33266.312811070544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162851.48339569438</v>
      </c>
      <c r="C10" s="570">
        <f t="shared" ref="C10:L10" si="0">SUM(C8:C9)</f>
        <v>158246.07177934033</v>
      </c>
      <c r="D10" s="570">
        <f t="shared" si="0"/>
        <v>0</v>
      </c>
      <c r="E10" s="570">
        <f t="shared" si="0"/>
        <v>4871.1846878044771</v>
      </c>
      <c r="F10" s="570">
        <f t="shared" si="0"/>
        <v>0</v>
      </c>
      <c r="G10" s="570">
        <f t="shared" si="0"/>
        <v>0</v>
      </c>
      <c r="H10" s="570">
        <f t="shared" si="0"/>
        <v>0</v>
      </c>
      <c r="I10" s="570">
        <f t="shared" si="0"/>
        <v>19333.694264774356</v>
      </c>
      <c r="J10" s="570">
        <f t="shared" si="0"/>
        <v>12.1375033749281</v>
      </c>
      <c r="K10" s="570">
        <f t="shared" si="0"/>
        <v>0</v>
      </c>
      <c r="L10" s="570">
        <f t="shared" si="0"/>
        <v>0</v>
      </c>
      <c r="M10" s="995"/>
      <c r="N10" s="995"/>
      <c r="O10" s="571">
        <f>SUM(O4:O9)</f>
        <v>33266.312811070544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214557.10714285713</v>
      </c>
      <c r="C17" s="582">
        <f>B102</f>
        <v>218918.21393494532</v>
      </c>
      <c r="D17" s="583"/>
      <c r="E17" s="583">
        <f>E102</f>
        <v>6738.815312195522</v>
      </c>
      <c r="F17" s="584"/>
      <c r="G17" s="585"/>
      <c r="H17" s="582">
        <f>I102</f>
        <v>0</v>
      </c>
      <c r="I17" s="583">
        <f>G102+F102</f>
        <v>26746.305735225636</v>
      </c>
      <c r="J17" s="583">
        <f>H102+D102+C102</f>
        <v>16.791068053643329</v>
      </c>
      <c r="K17" s="583"/>
      <c r="L17" s="583"/>
      <c r="M17" s="583"/>
      <c r="N17" s="998"/>
      <c r="O17" s="586">
        <f>C17*$C$22+E17*$E$22+H17*$H$22+I17*$I$22+J17*$J$22+D17*$D$22+F17*$F$22+G17*$G$22+K17*$K$22+L17*$L$22</f>
        <v>46020.742903215156</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214557.10714285713</v>
      </c>
      <c r="C20" s="569">
        <f>SUM(C17:C19)</f>
        <v>218918.21393494532</v>
      </c>
      <c r="D20" s="569">
        <f t="shared" ref="D20:L20" si="1">SUM(D17:D19)</f>
        <v>0</v>
      </c>
      <c r="E20" s="569">
        <f t="shared" si="1"/>
        <v>6738.815312195522</v>
      </c>
      <c r="F20" s="569">
        <f t="shared" si="1"/>
        <v>0</v>
      </c>
      <c r="G20" s="569">
        <f t="shared" si="1"/>
        <v>0</v>
      </c>
      <c r="H20" s="569">
        <f t="shared" si="1"/>
        <v>0</v>
      </c>
      <c r="I20" s="569">
        <f t="shared" si="1"/>
        <v>26746.305735225636</v>
      </c>
      <c r="J20" s="569">
        <f t="shared" si="1"/>
        <v>16.791068053643329</v>
      </c>
      <c r="K20" s="569">
        <f t="shared" si="1"/>
        <v>0</v>
      </c>
      <c r="L20" s="569">
        <f t="shared" si="1"/>
        <v>0</v>
      </c>
      <c r="M20" s="569"/>
      <c r="N20" s="569"/>
      <c r="O20" s="590">
        <f>SUM(O17:O19)</f>
        <v>46020.742903215156</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12035</v>
      </c>
      <c r="C28" s="789">
        <v>2861</v>
      </c>
      <c r="D28" s="642" t="s">
        <v>948</v>
      </c>
      <c r="E28" s="641" t="s">
        <v>949</v>
      </c>
      <c r="F28" s="641" t="s">
        <v>950</v>
      </c>
      <c r="G28" s="641" t="s">
        <v>951</v>
      </c>
      <c r="H28" s="641" t="s">
        <v>952</v>
      </c>
      <c r="I28" s="641" t="s">
        <v>949</v>
      </c>
      <c r="J28" s="788">
        <v>39263</v>
      </c>
      <c r="K28" s="788">
        <v>39261</v>
      </c>
      <c r="L28" s="641" t="s">
        <v>953</v>
      </c>
      <c r="M28" s="641">
        <v>1984</v>
      </c>
      <c r="N28" s="641">
        <v>8928</v>
      </c>
      <c r="O28" s="641">
        <v>12754.285714285714</v>
      </c>
      <c r="P28" s="641">
        <v>25508.571428571431</v>
      </c>
      <c r="Q28" s="641">
        <v>0</v>
      </c>
      <c r="R28" s="641">
        <v>0</v>
      </c>
      <c r="S28" s="641">
        <v>0</v>
      </c>
      <c r="T28" s="641">
        <v>0</v>
      </c>
      <c r="U28" s="641">
        <v>0</v>
      </c>
      <c r="V28" s="641">
        <v>0</v>
      </c>
      <c r="W28" s="641"/>
      <c r="X28" s="641">
        <v>10</v>
      </c>
      <c r="Y28" s="641" t="s">
        <v>112</v>
      </c>
      <c r="Z28" s="643" t="s">
        <v>112</v>
      </c>
    </row>
    <row r="29" spans="1:26" s="595" customFormat="1" ht="25.5">
      <c r="A29" s="594"/>
      <c r="B29" s="789">
        <v>12035</v>
      </c>
      <c r="C29" s="789">
        <v>2861</v>
      </c>
      <c r="D29" s="642" t="s">
        <v>954</v>
      </c>
      <c r="E29" s="641" t="s">
        <v>955</v>
      </c>
      <c r="F29" s="641" t="s">
        <v>956</v>
      </c>
      <c r="G29" s="641" t="s">
        <v>951</v>
      </c>
      <c r="H29" s="641" t="s">
        <v>952</v>
      </c>
      <c r="I29" s="641" t="s">
        <v>955</v>
      </c>
      <c r="J29" s="788">
        <v>39322</v>
      </c>
      <c r="K29" s="788">
        <v>39352</v>
      </c>
      <c r="L29" s="641" t="s">
        <v>953</v>
      </c>
      <c r="M29" s="641">
        <v>1564</v>
      </c>
      <c r="N29" s="641">
        <v>7038</v>
      </c>
      <c r="O29" s="641">
        <v>10054.285714285714</v>
      </c>
      <c r="P29" s="641">
        <v>20108.571428571431</v>
      </c>
      <c r="Q29" s="641">
        <v>0</v>
      </c>
      <c r="R29" s="641">
        <v>0</v>
      </c>
      <c r="S29" s="641">
        <v>0</v>
      </c>
      <c r="T29" s="641">
        <v>0</v>
      </c>
      <c r="U29" s="641">
        <v>0</v>
      </c>
      <c r="V29" s="641">
        <v>0</v>
      </c>
      <c r="W29" s="641"/>
      <c r="X29" s="641">
        <v>10</v>
      </c>
      <c r="Y29" s="641" t="s">
        <v>112</v>
      </c>
      <c r="Z29" s="643" t="s">
        <v>112</v>
      </c>
    </row>
    <row r="30" spans="1:26" s="595" customFormat="1" ht="25.5">
      <c r="A30" s="594"/>
      <c r="B30" s="789">
        <v>12035</v>
      </c>
      <c r="C30" s="789">
        <v>2861</v>
      </c>
      <c r="D30" s="642" t="s">
        <v>957</v>
      </c>
      <c r="E30" s="641" t="s">
        <v>958</v>
      </c>
      <c r="F30" s="641" t="s">
        <v>959</v>
      </c>
      <c r="G30" s="641" t="s">
        <v>951</v>
      </c>
      <c r="H30" s="641" t="s">
        <v>952</v>
      </c>
      <c r="I30" s="641" t="s">
        <v>958</v>
      </c>
      <c r="J30" s="788">
        <v>39462</v>
      </c>
      <c r="K30" s="788">
        <v>39471</v>
      </c>
      <c r="L30" s="641" t="s">
        <v>953</v>
      </c>
      <c r="M30" s="641">
        <v>1006</v>
      </c>
      <c r="N30" s="641">
        <v>4527</v>
      </c>
      <c r="O30" s="641">
        <v>6467.1428571428569</v>
      </c>
      <c r="P30" s="641">
        <v>12934.285714285716</v>
      </c>
      <c r="Q30" s="641">
        <v>0</v>
      </c>
      <c r="R30" s="641">
        <v>0</v>
      </c>
      <c r="S30" s="641">
        <v>0</v>
      </c>
      <c r="T30" s="641">
        <v>0</v>
      </c>
      <c r="U30" s="641">
        <v>0</v>
      </c>
      <c r="V30" s="641">
        <v>0</v>
      </c>
      <c r="W30" s="641"/>
      <c r="X30" s="641">
        <v>10</v>
      </c>
      <c r="Y30" s="641" t="s">
        <v>112</v>
      </c>
      <c r="Z30" s="643" t="s">
        <v>112</v>
      </c>
    </row>
    <row r="31" spans="1:26" s="595" customFormat="1" ht="25.5">
      <c r="A31" s="594"/>
      <c r="B31" s="789">
        <v>12035</v>
      </c>
      <c r="C31" s="789">
        <v>2861</v>
      </c>
      <c r="D31" s="642" t="s">
        <v>960</v>
      </c>
      <c r="E31" s="641" t="s">
        <v>961</v>
      </c>
      <c r="F31" s="641" t="s">
        <v>962</v>
      </c>
      <c r="G31" s="641" t="s">
        <v>951</v>
      </c>
      <c r="H31" s="641" t="s">
        <v>952</v>
      </c>
      <c r="I31" s="641" t="s">
        <v>961</v>
      </c>
      <c r="J31" s="788">
        <v>39533</v>
      </c>
      <c r="K31" s="788">
        <v>39533</v>
      </c>
      <c r="L31" s="641" t="s">
        <v>953</v>
      </c>
      <c r="M31" s="641">
        <v>2000</v>
      </c>
      <c r="N31" s="641">
        <v>9000</v>
      </c>
      <c r="O31" s="641">
        <v>12857.142857142857</v>
      </c>
      <c r="P31" s="641">
        <v>25714.285714285717</v>
      </c>
      <c r="Q31" s="641">
        <v>0</v>
      </c>
      <c r="R31" s="641">
        <v>0</v>
      </c>
      <c r="S31" s="641">
        <v>0</v>
      </c>
      <c r="T31" s="641">
        <v>0</v>
      </c>
      <c r="U31" s="641">
        <v>0</v>
      </c>
      <c r="V31" s="641">
        <v>0</v>
      </c>
      <c r="W31" s="641"/>
      <c r="X31" s="641">
        <v>10</v>
      </c>
      <c r="Y31" s="641" t="s">
        <v>112</v>
      </c>
      <c r="Z31" s="643" t="s">
        <v>112</v>
      </c>
    </row>
    <row r="32" spans="1:26" s="595" customFormat="1" ht="25.5">
      <c r="A32" s="594"/>
      <c r="B32" s="789">
        <v>12035</v>
      </c>
      <c r="C32" s="789">
        <v>2860</v>
      </c>
      <c r="D32" s="642" t="s">
        <v>963</v>
      </c>
      <c r="E32" s="641" t="s">
        <v>964</v>
      </c>
      <c r="F32" s="641" t="s">
        <v>965</v>
      </c>
      <c r="G32" s="641" t="s">
        <v>951</v>
      </c>
      <c r="H32" s="641" t="s">
        <v>952</v>
      </c>
      <c r="I32" s="641" t="s">
        <v>964</v>
      </c>
      <c r="J32" s="788">
        <v>39653</v>
      </c>
      <c r="K32" s="788">
        <v>39688</v>
      </c>
      <c r="L32" s="641" t="s">
        <v>953</v>
      </c>
      <c r="M32" s="641">
        <v>1158</v>
      </c>
      <c r="N32" s="641">
        <v>5211</v>
      </c>
      <c r="O32" s="641">
        <v>7444.2857142857147</v>
      </c>
      <c r="P32" s="641">
        <v>14888.571428571429</v>
      </c>
      <c r="Q32" s="641">
        <v>0</v>
      </c>
      <c r="R32" s="641">
        <v>0</v>
      </c>
      <c r="S32" s="641">
        <v>0</v>
      </c>
      <c r="T32" s="641">
        <v>0</v>
      </c>
      <c r="U32" s="641">
        <v>0</v>
      </c>
      <c r="V32" s="641">
        <v>0</v>
      </c>
      <c r="W32" s="641"/>
      <c r="X32" s="641">
        <v>10</v>
      </c>
      <c r="Y32" s="641" t="s">
        <v>112</v>
      </c>
      <c r="Z32" s="643" t="s">
        <v>112</v>
      </c>
    </row>
    <row r="33" spans="1:26" s="595" customFormat="1" ht="38.25">
      <c r="A33" s="594"/>
      <c r="B33" s="789">
        <v>12035</v>
      </c>
      <c r="C33" s="789">
        <v>2861</v>
      </c>
      <c r="D33" s="642" t="s">
        <v>966</v>
      </c>
      <c r="E33" s="641" t="s">
        <v>967</v>
      </c>
      <c r="F33" s="641" t="s">
        <v>968</v>
      </c>
      <c r="G33" s="641" t="s">
        <v>951</v>
      </c>
      <c r="H33" s="641" t="s">
        <v>952</v>
      </c>
      <c r="I33" s="641" t="s">
        <v>967</v>
      </c>
      <c r="J33" s="788">
        <v>39805</v>
      </c>
      <c r="K33" s="788">
        <v>39805</v>
      </c>
      <c r="L33" s="641" t="s">
        <v>953</v>
      </c>
      <c r="M33" s="641">
        <v>2014</v>
      </c>
      <c r="N33" s="641">
        <v>9062.9999999999982</v>
      </c>
      <c r="O33" s="641">
        <v>12947.142857142855</v>
      </c>
      <c r="P33" s="641">
        <v>25894.28571428571</v>
      </c>
      <c r="Q33" s="641">
        <v>0</v>
      </c>
      <c r="R33" s="641">
        <v>0</v>
      </c>
      <c r="S33" s="641">
        <v>0</v>
      </c>
      <c r="T33" s="641">
        <v>0</v>
      </c>
      <c r="U33" s="641">
        <v>0</v>
      </c>
      <c r="V33" s="641">
        <v>0</v>
      </c>
      <c r="W33" s="641"/>
      <c r="X33" s="641">
        <v>10</v>
      </c>
      <c r="Y33" s="641" t="s">
        <v>112</v>
      </c>
      <c r="Z33" s="643" t="s">
        <v>112</v>
      </c>
    </row>
    <row r="34" spans="1:26" s="595" customFormat="1" ht="38.25">
      <c r="A34" s="594"/>
      <c r="B34" s="789">
        <v>12035</v>
      </c>
      <c r="C34" s="789">
        <v>2860</v>
      </c>
      <c r="D34" s="642" t="s">
        <v>969</v>
      </c>
      <c r="E34" s="641" t="s">
        <v>970</v>
      </c>
      <c r="F34" s="641" t="s">
        <v>971</v>
      </c>
      <c r="G34" s="641" t="s">
        <v>951</v>
      </c>
      <c r="H34" s="641" t="s">
        <v>972</v>
      </c>
      <c r="I34" s="641" t="s">
        <v>970</v>
      </c>
      <c r="J34" s="788">
        <v>39834</v>
      </c>
      <c r="K34" s="788">
        <v>39834</v>
      </c>
      <c r="L34" s="641" t="s">
        <v>973</v>
      </c>
      <c r="M34" s="641">
        <v>773</v>
      </c>
      <c r="N34" s="641">
        <v>3478.5</v>
      </c>
      <c r="O34" s="641">
        <v>3913.3125</v>
      </c>
      <c r="P34" s="641">
        <v>0</v>
      </c>
      <c r="Q34" s="641">
        <v>0</v>
      </c>
      <c r="R34" s="641">
        <v>0</v>
      </c>
      <c r="S34" s="641">
        <v>2174.0625</v>
      </c>
      <c r="T34" s="641">
        <v>6522.1875</v>
      </c>
      <c r="U34" s="641">
        <v>0</v>
      </c>
      <c r="V34" s="641">
        <v>0</v>
      </c>
      <c r="W34" s="641"/>
      <c r="X34" s="641">
        <v>10</v>
      </c>
      <c r="Y34" s="641" t="s">
        <v>112</v>
      </c>
      <c r="Z34" s="643" t="s">
        <v>112</v>
      </c>
    </row>
    <row r="35" spans="1:26" s="595" customFormat="1" ht="25.5">
      <c r="A35" s="594"/>
      <c r="B35" s="789">
        <v>12035</v>
      </c>
      <c r="C35" s="789">
        <v>2861</v>
      </c>
      <c r="D35" s="642" t="s">
        <v>974</v>
      </c>
      <c r="E35" s="641" t="s">
        <v>975</v>
      </c>
      <c r="F35" s="641" t="s">
        <v>976</v>
      </c>
      <c r="G35" s="641" t="s">
        <v>951</v>
      </c>
      <c r="H35" s="641" t="s">
        <v>952</v>
      </c>
      <c r="I35" s="641" t="s">
        <v>975</v>
      </c>
      <c r="J35" s="788">
        <v>40006</v>
      </c>
      <c r="K35" s="788">
        <v>40007</v>
      </c>
      <c r="L35" s="641" t="s">
        <v>953</v>
      </c>
      <c r="M35" s="641">
        <v>1562</v>
      </c>
      <c r="N35" s="641">
        <v>7029</v>
      </c>
      <c r="O35" s="641">
        <v>10041.428571428572</v>
      </c>
      <c r="P35" s="641">
        <v>20082.857142857145</v>
      </c>
      <c r="Q35" s="641">
        <v>0</v>
      </c>
      <c r="R35" s="641">
        <v>0</v>
      </c>
      <c r="S35" s="641">
        <v>0</v>
      </c>
      <c r="T35" s="641">
        <v>0</v>
      </c>
      <c r="U35" s="641">
        <v>0</v>
      </c>
      <c r="V35" s="641">
        <v>0</v>
      </c>
      <c r="W35" s="641"/>
      <c r="X35" s="641">
        <v>10</v>
      </c>
      <c r="Y35" s="641" t="s">
        <v>112</v>
      </c>
      <c r="Z35" s="643" t="s">
        <v>112</v>
      </c>
    </row>
    <row r="36" spans="1:26" s="595" customFormat="1" ht="25.5">
      <c r="A36" s="594"/>
      <c r="B36" s="789">
        <v>12035</v>
      </c>
      <c r="C36" s="789">
        <v>2860</v>
      </c>
      <c r="D36" s="642" t="s">
        <v>977</v>
      </c>
      <c r="E36" s="641" t="s">
        <v>978</v>
      </c>
      <c r="F36" s="641" t="s">
        <v>979</v>
      </c>
      <c r="G36" s="641" t="s">
        <v>951</v>
      </c>
      <c r="H36" s="641" t="s">
        <v>952</v>
      </c>
      <c r="I36" s="641" t="s">
        <v>978</v>
      </c>
      <c r="J36" s="788">
        <v>40058</v>
      </c>
      <c r="K36" s="788">
        <v>40058</v>
      </c>
      <c r="L36" s="641" t="s">
        <v>953</v>
      </c>
      <c r="M36" s="641">
        <v>2014</v>
      </c>
      <c r="N36" s="641">
        <v>9062.9999999999982</v>
      </c>
      <c r="O36" s="641">
        <v>12947.142857142855</v>
      </c>
      <c r="P36" s="641">
        <v>25894.28571428571</v>
      </c>
      <c r="Q36" s="641">
        <v>0</v>
      </c>
      <c r="R36" s="641">
        <v>0</v>
      </c>
      <c r="S36" s="641">
        <v>0</v>
      </c>
      <c r="T36" s="641">
        <v>0</v>
      </c>
      <c r="U36" s="641">
        <v>0</v>
      </c>
      <c r="V36" s="641">
        <v>0</v>
      </c>
      <c r="W36" s="641"/>
      <c r="X36" s="641">
        <v>10</v>
      </c>
      <c r="Y36" s="641" t="s">
        <v>112</v>
      </c>
      <c r="Z36" s="643" t="s">
        <v>112</v>
      </c>
    </row>
    <row r="37" spans="1:26" s="595" customFormat="1" ht="25.5">
      <c r="A37" s="594"/>
      <c r="B37" s="789">
        <v>12035</v>
      </c>
      <c r="C37" s="789">
        <v>2861</v>
      </c>
      <c r="D37" s="642" t="s">
        <v>980</v>
      </c>
      <c r="E37" s="641" t="s">
        <v>981</v>
      </c>
      <c r="F37" s="641" t="s">
        <v>982</v>
      </c>
      <c r="G37" s="641" t="s">
        <v>951</v>
      </c>
      <c r="H37" s="641" t="s">
        <v>952</v>
      </c>
      <c r="I37" s="641" t="s">
        <v>981</v>
      </c>
      <c r="J37" s="788">
        <v>40108</v>
      </c>
      <c r="K37" s="788">
        <v>40112</v>
      </c>
      <c r="L37" s="641" t="s">
        <v>953</v>
      </c>
      <c r="M37" s="641">
        <v>2014</v>
      </c>
      <c r="N37" s="641">
        <v>9062.9999999999982</v>
      </c>
      <c r="O37" s="641">
        <v>12947.142857142855</v>
      </c>
      <c r="P37" s="641">
        <v>25894.28571428571</v>
      </c>
      <c r="Q37" s="641">
        <v>0</v>
      </c>
      <c r="R37" s="641">
        <v>0</v>
      </c>
      <c r="S37" s="641">
        <v>0</v>
      </c>
      <c r="T37" s="641">
        <v>0</v>
      </c>
      <c r="U37" s="641">
        <v>0</v>
      </c>
      <c r="V37" s="641">
        <v>0</v>
      </c>
      <c r="W37" s="641"/>
      <c r="X37" s="641">
        <v>10</v>
      </c>
      <c r="Y37" s="641" t="s">
        <v>112</v>
      </c>
      <c r="Z37" s="643" t="s">
        <v>112</v>
      </c>
    </row>
    <row r="38" spans="1:26" s="595" customFormat="1" ht="25.5">
      <c r="A38" s="594"/>
      <c r="B38" s="789">
        <v>12035</v>
      </c>
      <c r="C38" s="789">
        <v>2860</v>
      </c>
      <c r="D38" s="642" t="s">
        <v>983</v>
      </c>
      <c r="E38" s="641" t="s">
        <v>984</v>
      </c>
      <c r="F38" s="641" t="s">
        <v>985</v>
      </c>
      <c r="G38" s="641" t="s">
        <v>951</v>
      </c>
      <c r="H38" s="641" t="s">
        <v>952</v>
      </c>
      <c r="I38" s="641" t="s">
        <v>986</v>
      </c>
      <c r="J38" s="788">
        <v>40193</v>
      </c>
      <c r="K38" s="788">
        <v>40193</v>
      </c>
      <c r="L38" s="641" t="s">
        <v>953</v>
      </c>
      <c r="M38" s="641">
        <v>2014</v>
      </c>
      <c r="N38" s="641">
        <v>9062.9999999999982</v>
      </c>
      <c r="O38" s="641">
        <v>12947.142857142855</v>
      </c>
      <c r="P38" s="641">
        <v>25894.28571428571</v>
      </c>
      <c r="Q38" s="641">
        <v>0</v>
      </c>
      <c r="R38" s="641">
        <v>0</v>
      </c>
      <c r="S38" s="641">
        <v>0</v>
      </c>
      <c r="T38" s="641">
        <v>0</v>
      </c>
      <c r="U38" s="641">
        <v>0</v>
      </c>
      <c r="V38" s="641">
        <v>0</v>
      </c>
      <c r="W38" s="641"/>
      <c r="X38" s="641">
        <v>10</v>
      </c>
      <c r="Y38" s="641" t="s">
        <v>112</v>
      </c>
      <c r="Z38" s="643" t="s">
        <v>112</v>
      </c>
    </row>
    <row r="39" spans="1:26" s="595" customFormat="1" ht="38.25">
      <c r="A39" s="594"/>
      <c r="B39" s="789">
        <v>12035</v>
      </c>
      <c r="C39" s="789">
        <v>2861</v>
      </c>
      <c r="D39" s="642" t="s">
        <v>987</v>
      </c>
      <c r="E39" s="641" t="s">
        <v>988</v>
      </c>
      <c r="F39" s="641" t="s">
        <v>989</v>
      </c>
      <c r="G39" s="641" t="s">
        <v>951</v>
      </c>
      <c r="H39" s="641" t="s">
        <v>972</v>
      </c>
      <c r="I39" s="641" t="s">
        <v>988</v>
      </c>
      <c r="J39" s="788">
        <v>40196</v>
      </c>
      <c r="K39" s="788">
        <v>40196</v>
      </c>
      <c r="L39" s="641" t="s">
        <v>953</v>
      </c>
      <c r="M39" s="641">
        <v>640</v>
      </c>
      <c r="N39" s="641">
        <v>2880</v>
      </c>
      <c r="O39" s="641">
        <v>3240</v>
      </c>
      <c r="P39" s="641">
        <v>0</v>
      </c>
      <c r="Q39" s="641">
        <v>0</v>
      </c>
      <c r="R39" s="641">
        <v>0</v>
      </c>
      <c r="S39" s="641">
        <v>1800</v>
      </c>
      <c r="T39" s="641">
        <v>5400</v>
      </c>
      <c r="U39" s="641">
        <v>0</v>
      </c>
      <c r="V39" s="641">
        <v>0</v>
      </c>
      <c r="W39" s="641"/>
      <c r="X39" s="641">
        <v>10</v>
      </c>
      <c r="Y39" s="641" t="s">
        <v>112</v>
      </c>
      <c r="Z39" s="643" t="s">
        <v>112</v>
      </c>
    </row>
    <row r="40" spans="1:26" s="595" customFormat="1" ht="38.25">
      <c r="A40" s="594"/>
      <c r="B40" s="789">
        <v>12035</v>
      </c>
      <c r="C40" s="789">
        <v>2860</v>
      </c>
      <c r="D40" s="642" t="s">
        <v>990</v>
      </c>
      <c r="E40" s="641" t="s">
        <v>991</v>
      </c>
      <c r="F40" s="641" t="s">
        <v>992</v>
      </c>
      <c r="G40" s="641" t="s">
        <v>951</v>
      </c>
      <c r="H40" s="641" t="s">
        <v>972</v>
      </c>
      <c r="I40" s="641" t="s">
        <v>991</v>
      </c>
      <c r="J40" s="788">
        <v>40315</v>
      </c>
      <c r="K40" s="788">
        <v>40315</v>
      </c>
      <c r="L40" s="641" t="s">
        <v>953</v>
      </c>
      <c r="M40" s="641">
        <v>1058</v>
      </c>
      <c r="N40" s="641">
        <v>4761</v>
      </c>
      <c r="O40" s="641">
        <v>5356.125</v>
      </c>
      <c r="P40" s="641">
        <v>0</v>
      </c>
      <c r="Q40" s="641">
        <v>0</v>
      </c>
      <c r="R40" s="641">
        <v>0</v>
      </c>
      <c r="S40" s="641">
        <v>2975.625</v>
      </c>
      <c r="T40" s="641">
        <v>8926.875</v>
      </c>
      <c r="U40" s="641">
        <v>0</v>
      </c>
      <c r="V40" s="641">
        <v>0</v>
      </c>
      <c r="W40" s="641"/>
      <c r="X40" s="641">
        <v>10</v>
      </c>
      <c r="Y40" s="641" t="s">
        <v>112</v>
      </c>
      <c r="Z40" s="643" t="s">
        <v>112</v>
      </c>
    </row>
    <row r="41" spans="1:26" s="595" customFormat="1" ht="25.5">
      <c r="A41" s="594"/>
      <c r="B41" s="789">
        <v>12035</v>
      </c>
      <c r="C41" s="789">
        <v>2860</v>
      </c>
      <c r="D41" s="642" t="s">
        <v>993</v>
      </c>
      <c r="E41" s="641" t="s">
        <v>994</v>
      </c>
      <c r="F41" s="641" t="s">
        <v>995</v>
      </c>
      <c r="G41" s="641" t="s">
        <v>951</v>
      </c>
      <c r="H41" s="641" t="s">
        <v>952</v>
      </c>
      <c r="I41" s="641" t="s">
        <v>994</v>
      </c>
      <c r="J41" s="788">
        <v>40396</v>
      </c>
      <c r="K41" s="788">
        <v>40399</v>
      </c>
      <c r="L41" s="641" t="s">
        <v>953</v>
      </c>
      <c r="M41" s="641">
        <v>1008</v>
      </c>
      <c r="N41" s="641">
        <v>4536</v>
      </c>
      <c r="O41" s="641">
        <v>6480</v>
      </c>
      <c r="P41" s="641">
        <v>12960</v>
      </c>
      <c r="Q41" s="641">
        <v>0</v>
      </c>
      <c r="R41" s="641">
        <v>0</v>
      </c>
      <c r="S41" s="641">
        <v>0</v>
      </c>
      <c r="T41" s="641">
        <v>0</v>
      </c>
      <c r="U41" s="641">
        <v>0</v>
      </c>
      <c r="V41" s="641">
        <v>0</v>
      </c>
      <c r="W41" s="641"/>
      <c r="X41" s="641">
        <v>10</v>
      </c>
      <c r="Y41" s="641" t="s">
        <v>112</v>
      </c>
      <c r="Z41" s="643" t="s">
        <v>112</v>
      </c>
    </row>
    <row r="42" spans="1:26" s="595" customFormat="1" ht="38.25">
      <c r="A42" s="594"/>
      <c r="B42" s="789">
        <v>12035</v>
      </c>
      <c r="C42" s="789">
        <v>2860</v>
      </c>
      <c r="D42" s="642" t="s">
        <v>996</v>
      </c>
      <c r="E42" s="641" t="s">
        <v>997</v>
      </c>
      <c r="F42" s="641" t="s">
        <v>998</v>
      </c>
      <c r="G42" s="641" t="s">
        <v>951</v>
      </c>
      <c r="H42" s="641" t="s">
        <v>952</v>
      </c>
      <c r="I42" s="641" t="s">
        <v>997</v>
      </c>
      <c r="J42" s="788">
        <v>40422</v>
      </c>
      <c r="K42" s="788">
        <v>40664</v>
      </c>
      <c r="L42" s="641" t="s">
        <v>953</v>
      </c>
      <c r="M42" s="641">
        <v>265</v>
      </c>
      <c r="N42" s="641">
        <v>1192.5</v>
      </c>
      <c r="O42" s="641">
        <v>1703.5714285714287</v>
      </c>
      <c r="P42" s="641">
        <v>3407.1428571428573</v>
      </c>
      <c r="Q42" s="641">
        <v>0</v>
      </c>
      <c r="R42" s="641">
        <v>0</v>
      </c>
      <c r="S42" s="641">
        <v>0</v>
      </c>
      <c r="T42" s="641">
        <v>0</v>
      </c>
      <c r="U42" s="641">
        <v>0</v>
      </c>
      <c r="V42" s="641">
        <v>0</v>
      </c>
      <c r="W42" s="641"/>
      <c r="X42" s="641">
        <v>10</v>
      </c>
      <c r="Y42" s="641" t="s">
        <v>112</v>
      </c>
      <c r="Z42" s="643" t="s">
        <v>112</v>
      </c>
    </row>
    <row r="43" spans="1:26" s="595" customFormat="1" ht="25.5">
      <c r="A43" s="594"/>
      <c r="B43" s="789">
        <v>12035</v>
      </c>
      <c r="C43" s="789">
        <v>2861</v>
      </c>
      <c r="D43" s="642" t="s">
        <v>999</v>
      </c>
      <c r="E43" s="641" t="s">
        <v>1000</v>
      </c>
      <c r="F43" s="641" t="s">
        <v>1001</v>
      </c>
      <c r="G43" s="641" t="s">
        <v>951</v>
      </c>
      <c r="H43" s="641" t="s">
        <v>952</v>
      </c>
      <c r="I43" s="641" t="s">
        <v>1000</v>
      </c>
      <c r="J43" s="788">
        <v>40466</v>
      </c>
      <c r="K43" s="788">
        <v>40466</v>
      </c>
      <c r="L43" s="641" t="s">
        <v>953</v>
      </c>
      <c r="M43" s="641">
        <v>800</v>
      </c>
      <c r="N43" s="641">
        <v>3600</v>
      </c>
      <c r="O43" s="641">
        <v>5142.8571428571431</v>
      </c>
      <c r="P43" s="641">
        <v>10285.714285714286</v>
      </c>
      <c r="Q43" s="641">
        <v>0</v>
      </c>
      <c r="R43" s="641">
        <v>0</v>
      </c>
      <c r="S43" s="641">
        <v>0</v>
      </c>
      <c r="T43" s="641">
        <v>0</v>
      </c>
      <c r="U43" s="641">
        <v>0</v>
      </c>
      <c r="V43" s="641">
        <v>0</v>
      </c>
      <c r="W43" s="641"/>
      <c r="X43" s="641">
        <v>10</v>
      </c>
      <c r="Y43" s="641" t="s">
        <v>112</v>
      </c>
      <c r="Z43" s="643" t="s">
        <v>112</v>
      </c>
    </row>
    <row r="44" spans="1:26" s="595" customFormat="1" ht="25.5">
      <c r="A44" s="594"/>
      <c r="B44" s="789">
        <v>12035</v>
      </c>
      <c r="C44" s="789">
        <v>2861</v>
      </c>
      <c r="D44" s="642" t="s">
        <v>1002</v>
      </c>
      <c r="E44" s="641" t="s">
        <v>1003</v>
      </c>
      <c r="F44" s="641" t="s">
        <v>1004</v>
      </c>
      <c r="G44" s="641" t="s">
        <v>951</v>
      </c>
      <c r="H44" s="641" t="s">
        <v>952</v>
      </c>
      <c r="I44" s="641" t="s">
        <v>1005</v>
      </c>
      <c r="J44" s="788">
        <v>40472</v>
      </c>
      <c r="K44" s="788">
        <v>40478</v>
      </c>
      <c r="L44" s="641" t="s">
        <v>953</v>
      </c>
      <c r="M44" s="641">
        <v>2040</v>
      </c>
      <c r="N44" s="641">
        <v>9180</v>
      </c>
      <c r="O44" s="641">
        <v>13114.285714285714</v>
      </c>
      <c r="P44" s="641">
        <v>26228.571428571431</v>
      </c>
      <c r="Q44" s="641">
        <v>0</v>
      </c>
      <c r="R44" s="641">
        <v>0</v>
      </c>
      <c r="S44" s="641">
        <v>0</v>
      </c>
      <c r="T44" s="641">
        <v>0</v>
      </c>
      <c r="U44" s="641">
        <v>0</v>
      </c>
      <c r="V44" s="641">
        <v>0</v>
      </c>
      <c r="W44" s="641"/>
      <c r="X44" s="641">
        <v>10</v>
      </c>
      <c r="Y44" s="641" t="s">
        <v>112</v>
      </c>
      <c r="Z44" s="643" t="s">
        <v>112</v>
      </c>
    </row>
    <row r="45" spans="1:26" s="595" customFormat="1" ht="38.25">
      <c r="A45" s="594"/>
      <c r="B45" s="789">
        <v>12035</v>
      </c>
      <c r="C45" s="789">
        <v>2861</v>
      </c>
      <c r="D45" s="642" t="s">
        <v>1006</v>
      </c>
      <c r="E45" s="641" t="s">
        <v>1007</v>
      </c>
      <c r="F45" s="641" t="s">
        <v>1008</v>
      </c>
      <c r="G45" s="641" t="s">
        <v>951</v>
      </c>
      <c r="H45" s="641" t="s">
        <v>972</v>
      </c>
      <c r="I45" s="641" t="s">
        <v>1007</v>
      </c>
      <c r="J45" s="788">
        <v>40477</v>
      </c>
      <c r="K45" s="788">
        <v>40477</v>
      </c>
      <c r="L45" s="641" t="s">
        <v>973</v>
      </c>
      <c r="M45" s="641">
        <v>528</v>
      </c>
      <c r="N45" s="641">
        <v>2376</v>
      </c>
      <c r="O45" s="641">
        <v>2673</v>
      </c>
      <c r="P45" s="641">
        <v>0</v>
      </c>
      <c r="Q45" s="641">
        <v>0</v>
      </c>
      <c r="R45" s="641">
        <v>0</v>
      </c>
      <c r="S45" s="641">
        <v>1485</v>
      </c>
      <c r="T45" s="641">
        <v>4455</v>
      </c>
      <c r="U45" s="641">
        <v>0</v>
      </c>
      <c r="V45" s="641">
        <v>0</v>
      </c>
      <c r="W45" s="641"/>
      <c r="X45" s="641">
        <v>10</v>
      </c>
      <c r="Y45" s="641" t="s">
        <v>112</v>
      </c>
      <c r="Z45" s="643" t="s">
        <v>112</v>
      </c>
    </row>
    <row r="46" spans="1:26" s="595" customFormat="1" ht="25.5">
      <c r="A46" s="594"/>
      <c r="B46" s="789">
        <v>12035</v>
      </c>
      <c r="C46" s="789">
        <v>2860</v>
      </c>
      <c r="D46" s="642" t="s">
        <v>1009</v>
      </c>
      <c r="E46" s="641" t="s">
        <v>1010</v>
      </c>
      <c r="F46" s="641" t="s">
        <v>1011</v>
      </c>
      <c r="G46" s="641" t="s">
        <v>951</v>
      </c>
      <c r="H46" s="641" t="s">
        <v>952</v>
      </c>
      <c r="I46" s="641" t="s">
        <v>1010</v>
      </c>
      <c r="J46" s="788">
        <v>40480</v>
      </c>
      <c r="K46" s="788">
        <v>40480</v>
      </c>
      <c r="L46" s="641" t="s">
        <v>953</v>
      </c>
      <c r="M46" s="641">
        <v>2014</v>
      </c>
      <c r="N46" s="641">
        <v>9062.9999999999982</v>
      </c>
      <c r="O46" s="641">
        <v>12947.142857142855</v>
      </c>
      <c r="P46" s="641">
        <v>25894.28571428571</v>
      </c>
      <c r="Q46" s="641">
        <v>0</v>
      </c>
      <c r="R46" s="641">
        <v>0</v>
      </c>
      <c r="S46" s="641">
        <v>0</v>
      </c>
      <c r="T46" s="641">
        <v>0</v>
      </c>
      <c r="U46" s="641">
        <v>0</v>
      </c>
      <c r="V46" s="641">
        <v>0</v>
      </c>
      <c r="W46" s="641"/>
      <c r="X46" s="641">
        <v>10</v>
      </c>
      <c r="Y46" s="641" t="s">
        <v>112</v>
      </c>
      <c r="Z46" s="643" t="s">
        <v>112</v>
      </c>
    </row>
    <row r="47" spans="1:26" s="595" customFormat="1" ht="38.25">
      <c r="A47" s="594"/>
      <c r="B47" s="789">
        <v>12035</v>
      </c>
      <c r="C47" s="789">
        <v>2861</v>
      </c>
      <c r="D47" s="642" t="s">
        <v>1012</v>
      </c>
      <c r="E47" s="641" t="s">
        <v>1013</v>
      </c>
      <c r="F47" s="641" t="s">
        <v>1014</v>
      </c>
      <c r="G47" s="641" t="s">
        <v>951</v>
      </c>
      <c r="H47" s="641" t="s">
        <v>972</v>
      </c>
      <c r="I47" s="641" t="s">
        <v>1015</v>
      </c>
      <c r="J47" s="788">
        <v>40519</v>
      </c>
      <c r="K47" s="788">
        <v>40513</v>
      </c>
      <c r="L47" s="641" t="s">
        <v>953</v>
      </c>
      <c r="M47" s="641">
        <v>1000</v>
      </c>
      <c r="N47" s="641">
        <v>4500</v>
      </c>
      <c r="O47" s="641">
        <v>5062.5</v>
      </c>
      <c r="P47" s="641">
        <v>0</v>
      </c>
      <c r="Q47" s="641">
        <v>0</v>
      </c>
      <c r="R47" s="641">
        <v>0</v>
      </c>
      <c r="S47" s="641">
        <v>0</v>
      </c>
      <c r="T47" s="641">
        <v>11250</v>
      </c>
      <c r="U47" s="641">
        <v>0</v>
      </c>
      <c r="V47" s="641">
        <v>0</v>
      </c>
      <c r="W47" s="641"/>
      <c r="X47" s="641">
        <v>10</v>
      </c>
      <c r="Y47" s="641" t="s">
        <v>112</v>
      </c>
      <c r="Z47" s="643" t="s">
        <v>112</v>
      </c>
    </row>
    <row r="48" spans="1:26" s="595" customFormat="1" ht="38.25">
      <c r="A48" s="594"/>
      <c r="B48" s="789">
        <v>12035</v>
      </c>
      <c r="C48" s="789">
        <v>2860</v>
      </c>
      <c r="D48" s="642" t="s">
        <v>1016</v>
      </c>
      <c r="E48" s="641" t="s">
        <v>1017</v>
      </c>
      <c r="F48" s="641" t="s">
        <v>1018</v>
      </c>
      <c r="G48" s="641" t="s">
        <v>951</v>
      </c>
      <c r="H48" s="641" t="s">
        <v>972</v>
      </c>
      <c r="I48" s="641" t="s">
        <v>1017</v>
      </c>
      <c r="J48" s="788">
        <v>40568</v>
      </c>
      <c r="K48" s="788">
        <v>39203</v>
      </c>
      <c r="L48" s="641" t="s">
        <v>953</v>
      </c>
      <c r="M48" s="641">
        <v>1129</v>
      </c>
      <c r="N48" s="641">
        <v>5080.5</v>
      </c>
      <c r="O48" s="641">
        <v>5715.5625</v>
      </c>
      <c r="P48" s="641">
        <v>0</v>
      </c>
      <c r="Q48" s="641">
        <v>0</v>
      </c>
      <c r="R48" s="641">
        <v>0</v>
      </c>
      <c r="S48" s="641">
        <v>3175.3125</v>
      </c>
      <c r="T48" s="641">
        <v>9525.9375</v>
      </c>
      <c r="U48" s="641">
        <v>0</v>
      </c>
      <c r="V48" s="641">
        <v>0</v>
      </c>
      <c r="W48" s="641"/>
      <c r="X48" s="641">
        <v>10</v>
      </c>
      <c r="Y48" s="641" t="s">
        <v>112</v>
      </c>
      <c r="Z48" s="643" t="s">
        <v>112</v>
      </c>
    </row>
    <row r="49" spans="1:26" s="595" customFormat="1" ht="25.5">
      <c r="A49" s="594"/>
      <c r="B49" s="789">
        <v>12035</v>
      </c>
      <c r="C49" s="789">
        <v>2861</v>
      </c>
      <c r="D49" s="642" t="s">
        <v>1019</v>
      </c>
      <c r="E49" s="641" t="s">
        <v>1020</v>
      </c>
      <c r="F49" s="641" t="s">
        <v>1021</v>
      </c>
      <c r="G49" s="641" t="s">
        <v>951</v>
      </c>
      <c r="H49" s="641" t="s">
        <v>952</v>
      </c>
      <c r="I49" s="641" t="s">
        <v>1020</v>
      </c>
      <c r="J49" s="788">
        <v>40570</v>
      </c>
      <c r="K49" s="788">
        <v>39247</v>
      </c>
      <c r="L49" s="641" t="s">
        <v>953</v>
      </c>
      <c r="M49" s="641">
        <v>1752</v>
      </c>
      <c r="N49" s="641">
        <v>7884</v>
      </c>
      <c r="O49" s="641">
        <v>11262.857142857143</v>
      </c>
      <c r="P49" s="641">
        <v>22525.714285714286</v>
      </c>
      <c r="Q49" s="641">
        <v>0</v>
      </c>
      <c r="R49" s="641">
        <v>0</v>
      </c>
      <c r="S49" s="641">
        <v>0</v>
      </c>
      <c r="T49" s="641">
        <v>0</v>
      </c>
      <c r="U49" s="641">
        <v>0</v>
      </c>
      <c r="V49" s="641">
        <v>0</v>
      </c>
      <c r="W49" s="641"/>
      <c r="X49" s="641">
        <v>10</v>
      </c>
      <c r="Y49" s="641" t="s">
        <v>112</v>
      </c>
      <c r="Z49" s="643" t="s">
        <v>112</v>
      </c>
    </row>
    <row r="50" spans="1:26" s="595" customFormat="1" ht="25.5">
      <c r="A50" s="594"/>
      <c r="B50" s="789">
        <v>12035</v>
      </c>
      <c r="C50" s="789">
        <v>2860</v>
      </c>
      <c r="D50" s="642" t="s">
        <v>1022</v>
      </c>
      <c r="E50" s="641" t="s">
        <v>1023</v>
      </c>
      <c r="F50" s="641" t="s">
        <v>1024</v>
      </c>
      <c r="G50" s="641" t="s">
        <v>951</v>
      </c>
      <c r="H50" s="641" t="s">
        <v>952</v>
      </c>
      <c r="I50" s="641" t="s">
        <v>1023</v>
      </c>
      <c r="J50" s="788">
        <v>40784</v>
      </c>
      <c r="K50" s="788">
        <v>40784</v>
      </c>
      <c r="L50" s="641" t="s">
        <v>953</v>
      </c>
      <c r="M50" s="641">
        <v>1160</v>
      </c>
      <c r="N50" s="641">
        <v>5220</v>
      </c>
      <c r="O50" s="641">
        <v>7457.1428571428569</v>
      </c>
      <c r="P50" s="641">
        <v>14914.285714285716</v>
      </c>
      <c r="Q50" s="641">
        <v>0</v>
      </c>
      <c r="R50" s="641">
        <v>0</v>
      </c>
      <c r="S50" s="641">
        <v>0</v>
      </c>
      <c r="T50" s="641">
        <v>0</v>
      </c>
      <c r="U50" s="641">
        <v>0</v>
      </c>
      <c r="V50" s="641">
        <v>0</v>
      </c>
      <c r="W50" s="641"/>
      <c r="X50" s="641">
        <v>10</v>
      </c>
      <c r="Y50" s="641" t="s">
        <v>112</v>
      </c>
      <c r="Z50" s="643" t="s">
        <v>112</v>
      </c>
    </row>
    <row r="51" spans="1:26" s="595" customFormat="1" ht="25.5">
      <c r="A51" s="596"/>
      <c r="B51" s="789">
        <v>12035</v>
      </c>
      <c r="C51" s="789">
        <v>2861</v>
      </c>
      <c r="D51" s="642" t="s">
        <v>1025</v>
      </c>
      <c r="E51" s="641" t="s">
        <v>1026</v>
      </c>
      <c r="F51" s="641" t="s">
        <v>1027</v>
      </c>
      <c r="G51" s="641" t="s">
        <v>951</v>
      </c>
      <c r="H51" s="641" t="s">
        <v>952</v>
      </c>
      <c r="I51" s="641" t="s">
        <v>1026</v>
      </c>
      <c r="J51" s="788">
        <v>40858</v>
      </c>
      <c r="K51" s="788">
        <v>41000</v>
      </c>
      <c r="L51" s="641" t="s">
        <v>953</v>
      </c>
      <c r="M51" s="641">
        <v>9</v>
      </c>
      <c r="N51" s="641">
        <v>10.125</v>
      </c>
      <c r="O51" s="641">
        <v>14.464285714285715</v>
      </c>
      <c r="P51" s="641">
        <v>0</v>
      </c>
      <c r="Q51" s="641">
        <v>0</v>
      </c>
      <c r="R51" s="641">
        <v>0</v>
      </c>
      <c r="S51" s="641">
        <v>0</v>
      </c>
      <c r="T51" s="641">
        <v>0</v>
      </c>
      <c r="U51" s="641">
        <v>0</v>
      </c>
      <c r="V51" s="641">
        <v>28.928571428571431</v>
      </c>
      <c r="W51" s="641"/>
      <c r="X51" s="641">
        <v>10</v>
      </c>
      <c r="Y51" s="641" t="s">
        <v>112</v>
      </c>
      <c r="Z51" s="643" t="s">
        <v>112</v>
      </c>
    </row>
    <row r="52" spans="1:26" s="595" customFormat="1" ht="38.25">
      <c r="A52" s="596"/>
      <c r="B52" s="789">
        <v>12035</v>
      </c>
      <c r="C52" s="789">
        <v>2861</v>
      </c>
      <c r="D52" s="641" t="s">
        <v>1028</v>
      </c>
      <c r="E52" s="641" t="s">
        <v>1029</v>
      </c>
      <c r="F52" s="641" t="s">
        <v>1030</v>
      </c>
      <c r="G52" s="641" t="s">
        <v>951</v>
      </c>
      <c r="H52" s="641" t="s">
        <v>952</v>
      </c>
      <c r="I52" s="641" t="s">
        <v>1029</v>
      </c>
      <c r="J52" s="788">
        <v>40921</v>
      </c>
      <c r="K52" s="788">
        <v>39455</v>
      </c>
      <c r="L52" s="641" t="s">
        <v>953</v>
      </c>
      <c r="M52" s="641">
        <v>2566</v>
      </c>
      <c r="N52" s="641">
        <v>11547</v>
      </c>
      <c r="O52" s="641">
        <v>16495.714285714286</v>
      </c>
      <c r="P52" s="641">
        <v>32991.428571428572</v>
      </c>
      <c r="Q52" s="641">
        <v>0</v>
      </c>
      <c r="R52" s="641">
        <v>0</v>
      </c>
      <c r="S52" s="641">
        <v>0</v>
      </c>
      <c r="T52" s="641">
        <v>0</v>
      </c>
      <c r="U52" s="641">
        <v>0</v>
      </c>
      <c r="V52" s="641">
        <v>0</v>
      </c>
      <c r="W52" s="641"/>
      <c r="X52" s="641">
        <v>10</v>
      </c>
      <c r="Y52" s="641" t="s">
        <v>112</v>
      </c>
      <c r="Z52" s="643" t="s">
        <v>112</v>
      </c>
    </row>
    <row r="53" spans="1:26" s="595" customFormat="1" ht="25.5">
      <c r="A53" s="596"/>
      <c r="B53" s="789">
        <v>12035</v>
      </c>
      <c r="C53" s="789">
        <v>2861</v>
      </c>
      <c r="D53" s="641" t="s">
        <v>1031</v>
      </c>
      <c r="E53" s="641" t="s">
        <v>1032</v>
      </c>
      <c r="F53" s="641" t="s">
        <v>1033</v>
      </c>
      <c r="G53" s="641" t="s">
        <v>951</v>
      </c>
      <c r="H53" s="641" t="s">
        <v>952</v>
      </c>
      <c r="I53" s="641" t="s">
        <v>1032</v>
      </c>
      <c r="J53" s="788">
        <v>41031</v>
      </c>
      <c r="K53" s="788">
        <v>41031</v>
      </c>
      <c r="L53" s="641" t="s">
        <v>953</v>
      </c>
      <c r="M53" s="641">
        <v>1200</v>
      </c>
      <c r="N53" s="641">
        <v>1080</v>
      </c>
      <c r="O53" s="641">
        <v>1542.8571428571429</v>
      </c>
      <c r="P53" s="641">
        <v>3085.7142857142858</v>
      </c>
      <c r="Q53" s="641">
        <v>0</v>
      </c>
      <c r="R53" s="641">
        <v>0</v>
      </c>
      <c r="S53" s="641">
        <v>0</v>
      </c>
      <c r="T53" s="641">
        <v>0</v>
      </c>
      <c r="U53" s="641">
        <v>0</v>
      </c>
      <c r="V53" s="641">
        <v>0</v>
      </c>
      <c r="W53" s="641"/>
      <c r="X53" s="641">
        <v>1300</v>
      </c>
      <c r="Y53" s="641" t="s">
        <v>54</v>
      </c>
      <c r="Z53" s="643" t="s">
        <v>156</v>
      </c>
    </row>
    <row r="54" spans="1:26" s="595" customFormat="1" ht="25.5">
      <c r="A54" s="596"/>
      <c r="B54" s="789">
        <v>12035</v>
      </c>
      <c r="C54" s="789">
        <v>2861</v>
      </c>
      <c r="D54" s="641" t="s">
        <v>1034</v>
      </c>
      <c r="E54" s="641" t="s">
        <v>988</v>
      </c>
      <c r="F54" s="641" t="s">
        <v>1035</v>
      </c>
      <c r="G54" s="641" t="s">
        <v>951</v>
      </c>
      <c r="H54" s="641" t="s">
        <v>952</v>
      </c>
      <c r="I54" s="641" t="s">
        <v>988</v>
      </c>
      <c r="J54" s="788">
        <v>41033</v>
      </c>
      <c r="K54" s="788">
        <v>41033</v>
      </c>
      <c r="L54" s="641" t="s">
        <v>953</v>
      </c>
      <c r="M54" s="641">
        <v>800</v>
      </c>
      <c r="N54" s="641">
        <v>720</v>
      </c>
      <c r="O54" s="641">
        <v>1028.5714285714287</v>
      </c>
      <c r="P54" s="641">
        <v>2057.1428571428573</v>
      </c>
      <c r="Q54" s="641">
        <v>0</v>
      </c>
      <c r="R54" s="641">
        <v>0</v>
      </c>
      <c r="S54" s="641">
        <v>0</v>
      </c>
      <c r="T54" s="641">
        <v>0</v>
      </c>
      <c r="U54" s="641">
        <v>0</v>
      </c>
      <c r="V54" s="641">
        <v>0</v>
      </c>
      <c r="W54" s="641"/>
      <c r="X54" s="641">
        <v>10</v>
      </c>
      <c r="Y54" s="641" t="s">
        <v>112</v>
      </c>
      <c r="Z54" s="643" t="s">
        <v>112</v>
      </c>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36072</v>
      </c>
      <c r="N58" s="599">
        <f>SUM(N28:N57)</f>
        <v>155093.625</v>
      </c>
      <c r="O58" s="599">
        <f t="shared" ref="O58:W58" si="2">SUM(O28:O57)</f>
        <v>214557.10714285713</v>
      </c>
      <c r="P58" s="599">
        <f t="shared" si="2"/>
        <v>377164.28571428568</v>
      </c>
      <c r="Q58" s="599">
        <f t="shared" si="2"/>
        <v>0</v>
      </c>
      <c r="R58" s="599">
        <f t="shared" si="2"/>
        <v>0</v>
      </c>
      <c r="S58" s="599">
        <f t="shared" si="2"/>
        <v>11610</v>
      </c>
      <c r="T58" s="599">
        <f t="shared" si="2"/>
        <v>46080</v>
      </c>
      <c r="U58" s="599">
        <f t="shared" si="2"/>
        <v>0</v>
      </c>
      <c r="V58" s="599">
        <f t="shared" si="2"/>
        <v>28.928571428571431</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1200</v>
      </c>
      <c r="N60" s="599">
        <f ca="1">SUMIF($Z$28:AD57,"tertiair",N28:N57)</f>
        <v>1080</v>
      </c>
      <c r="O60" s="599">
        <f ca="1">SUMIF($Z$28:AE57,"tertiair",O28:O57)</f>
        <v>1542.8571428571429</v>
      </c>
      <c r="P60" s="599">
        <f ca="1">SUMIF($Z$28:AF57,"tertiair",P28:P57)</f>
        <v>3085.7142857142858</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34872</v>
      </c>
      <c r="N61" s="604">
        <f t="shared" si="4"/>
        <v>154013.625</v>
      </c>
      <c r="O61" s="604">
        <f t="shared" si="4"/>
        <v>213014.25</v>
      </c>
      <c r="P61" s="604">
        <f t="shared" si="4"/>
        <v>374078.57142857142</v>
      </c>
      <c r="Q61" s="604">
        <f t="shared" si="4"/>
        <v>0</v>
      </c>
      <c r="R61" s="604">
        <f t="shared" si="4"/>
        <v>0</v>
      </c>
      <c r="S61" s="604">
        <f t="shared" si="4"/>
        <v>11610</v>
      </c>
      <c r="T61" s="604">
        <f t="shared" si="4"/>
        <v>46080</v>
      </c>
      <c r="U61" s="604">
        <f t="shared" si="4"/>
        <v>0</v>
      </c>
      <c r="V61" s="604">
        <f t="shared" si="4"/>
        <v>28.928571428571431</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0.5804319821012508</v>
      </c>
      <c r="C98" s="624">
        <f>IF(ISERROR(N58/(O58+N58)),0,N58/(N58+O58))</f>
        <v>0.41956801789874909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158246.07177934033</v>
      </c>
      <c r="C101" s="633">
        <f t="shared" si="9"/>
        <v>0</v>
      </c>
      <c r="D101" s="633">
        <f t="shared" si="9"/>
        <v>0</v>
      </c>
      <c r="E101" s="633">
        <f t="shared" si="9"/>
        <v>4871.1846878044771</v>
      </c>
      <c r="F101" s="633">
        <f t="shared" si="9"/>
        <v>19333.694264774356</v>
      </c>
      <c r="G101" s="633">
        <f t="shared" si="9"/>
        <v>0</v>
      </c>
      <c r="H101" s="633">
        <f t="shared" si="9"/>
        <v>12.1375033749281</v>
      </c>
      <c r="I101" s="634">
        <f t="shared" si="9"/>
        <v>0</v>
      </c>
      <c r="J101" s="591"/>
      <c r="K101" s="591"/>
      <c r="L101" s="629"/>
      <c r="M101" s="629"/>
      <c r="N101" s="629"/>
      <c r="O101" s="616"/>
      <c r="P101" s="616"/>
    </row>
    <row r="102" spans="1:16" ht="15.75" thickBot="1">
      <c r="A102" s="635" t="s">
        <v>286</v>
      </c>
      <c r="B102" s="636">
        <f t="shared" ref="B102:I102" si="10">$B$98*P58</f>
        <v>218918.21393494532</v>
      </c>
      <c r="C102" s="636">
        <f t="shared" si="10"/>
        <v>0</v>
      </c>
      <c r="D102" s="636">
        <f t="shared" si="10"/>
        <v>0</v>
      </c>
      <c r="E102" s="636">
        <f t="shared" si="10"/>
        <v>6738.815312195522</v>
      </c>
      <c r="F102" s="636">
        <f t="shared" si="10"/>
        <v>26746.305735225636</v>
      </c>
      <c r="G102" s="636">
        <f t="shared" si="10"/>
        <v>0</v>
      </c>
      <c r="H102" s="636">
        <f t="shared" si="10"/>
        <v>16.791068053643329</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2019-08-12T07:52:46Z</dcterms:modified>
</cp:coreProperties>
</file>