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F20" s="1"/>
  <c r="E18"/>
  <c r="D18"/>
  <c r="C18"/>
  <c r="B18"/>
  <c r="L9"/>
  <c r="L10" s="1"/>
  <c r="K9"/>
  <c r="I9"/>
  <c r="G9"/>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O18" l="1"/>
  <c r="O9"/>
  <c r="O19"/>
  <c r="C98"/>
  <c r="D101" s="1"/>
  <c r="B10"/>
  <c r="I102"/>
  <c r="H17" s="1"/>
  <c r="H20" s="1"/>
  <c r="E102"/>
  <c r="E17" s="1"/>
  <c r="E20" s="1"/>
  <c r="G102"/>
  <c r="C102"/>
  <c r="H102"/>
  <c r="D102"/>
  <c r="F102"/>
  <c r="B102"/>
  <c r="C17" s="1"/>
  <c r="F101"/>
  <c r="N6" i="17"/>
  <c r="L6"/>
  <c r="F6"/>
  <c r="D6"/>
  <c r="C6"/>
  <c r="N16" i="16"/>
  <c r="L16"/>
  <c r="F16"/>
  <c r="D16"/>
  <c r="C16"/>
  <c r="B16"/>
  <c r="B13" i="15"/>
  <c r="B101" i="18" l="1"/>
  <c r="C8" s="1"/>
  <c r="I101"/>
  <c r="H8" s="1"/>
  <c r="H10" s="1"/>
  <c r="E101"/>
  <c r="E8" s="1"/>
  <c r="E10" s="1"/>
  <c r="G101"/>
  <c r="I8" s="1"/>
  <c r="C101"/>
  <c r="H101"/>
  <c r="C10"/>
  <c r="C20"/>
  <c r="I17"/>
  <c r="I20" s="1"/>
  <c r="J17"/>
  <c r="J20" s="1"/>
  <c r="B19" i="6"/>
  <c r="B18"/>
  <c r="B5"/>
  <c r="C29" i="14" s="1"/>
  <c r="B6" i="6"/>
  <c r="C64" i="14" s="1"/>
  <c r="P7" i="48"/>
  <c r="O7"/>
  <c r="O25" s="1"/>
  <c r="M7"/>
  <c r="K7"/>
  <c r="I7"/>
  <c r="H7"/>
  <c r="G7"/>
  <c r="P10"/>
  <c r="P28" s="1"/>
  <c r="O10"/>
  <c r="O28" s="1"/>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O88"/>
  <c r="N88"/>
  <c r="N18" i="56" s="1"/>
  <c r="M88" i="14"/>
  <c r="M18" i="56" s="1"/>
  <c r="L88" i="14"/>
  <c r="L18" i="56" s="1"/>
  <c r="K88" i="14"/>
  <c r="J88"/>
  <c r="J18" i="56" s="1"/>
  <c r="I88" i="14"/>
  <c r="I18" i="56" s="1"/>
  <c r="H88" i="14"/>
  <c r="H18" i="56" s="1"/>
  <c r="G88" i="14"/>
  <c r="F88"/>
  <c r="F18" i="56" s="1"/>
  <c r="E88" i="14"/>
  <c r="E18" i="56" s="1"/>
  <c r="D88" i="14"/>
  <c r="O87"/>
  <c r="O17" i="56" s="1"/>
  <c r="N87" i="14"/>
  <c r="M87"/>
  <c r="M17" i="56" s="1"/>
  <c r="M20"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K76"/>
  <c r="H76"/>
  <c r="H8" i="56" s="1"/>
  <c r="G76" i="14"/>
  <c r="G8" i="56" s="1"/>
  <c r="F76" i="14"/>
  <c r="F8" i="56" s="1"/>
  <c r="E76" i="14"/>
  <c r="D76"/>
  <c r="B75"/>
  <c r="B7" i="56" s="1"/>
  <c r="B74" i="14"/>
  <c r="B6" i="56" s="1"/>
  <c r="B73" i="14"/>
  <c r="B5" i="56" s="1"/>
  <c r="B72" i="14"/>
  <c r="B4" i="56" s="1"/>
  <c r="Q54" i="14"/>
  <c r="P54"/>
  <c r="L54"/>
  <c r="L56" s="1"/>
  <c r="J54"/>
  <c r="I54"/>
  <c r="I56" s="1"/>
  <c r="H54"/>
  <c r="Q24"/>
  <c r="P24"/>
  <c r="P26" s="1"/>
  <c r="N24"/>
  <c r="L24"/>
  <c r="L26" s="1"/>
  <c r="J24"/>
  <c r="I24"/>
  <c r="H24"/>
  <c r="Q50"/>
  <c r="P50"/>
  <c r="O50"/>
  <c r="M50"/>
  <c r="L50"/>
  <c r="K50"/>
  <c r="J50"/>
  <c r="G50"/>
  <c r="D50"/>
  <c r="Q49"/>
  <c r="P49"/>
  <c r="P52" s="1"/>
  <c r="Q20"/>
  <c r="P20"/>
  <c r="O20"/>
  <c r="M20"/>
  <c r="L20"/>
  <c r="K20"/>
  <c r="J20"/>
  <c r="G20"/>
  <c r="D20"/>
  <c r="Q19"/>
  <c r="P19"/>
  <c r="O19"/>
  <c r="M19"/>
  <c r="L19"/>
  <c r="L22" s="1"/>
  <c r="K19"/>
  <c r="K22" s="1"/>
  <c r="J19"/>
  <c r="J22" s="1"/>
  <c r="I19"/>
  <c r="G19"/>
  <c r="F19"/>
  <c r="E19"/>
  <c r="D19"/>
  <c r="Q48"/>
  <c r="P48"/>
  <c r="O48"/>
  <c r="M48"/>
  <c r="L48"/>
  <c r="K48"/>
  <c r="J48"/>
  <c r="G48"/>
  <c r="D48"/>
  <c r="Q18"/>
  <c r="Q22" s="1"/>
  <c r="P18"/>
  <c r="P22" s="1"/>
  <c r="O18"/>
  <c r="O22" s="1"/>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F90"/>
  <c r="R78"/>
  <c r="P56"/>
  <c r="J56"/>
  <c r="H56"/>
  <c r="Q56"/>
  <c r="Q52"/>
  <c r="R44"/>
  <c r="Q26"/>
  <c r="N26"/>
  <c r="J26"/>
  <c r="I26"/>
  <c r="E25"/>
  <c r="D14" i="48" s="1"/>
  <c r="C25" i="14"/>
  <c r="B14" i="48" s="1"/>
  <c r="H26" i="14"/>
  <c r="M22"/>
  <c r="D22"/>
  <c r="F13" i="15"/>
  <c r="D13"/>
  <c r="C13"/>
  <c r="E8" i="56" l="1"/>
  <c r="E10" s="1"/>
  <c r="I10" i="18"/>
  <c r="I76" i="14"/>
  <c r="I8" i="56" s="1"/>
  <c r="I10" s="1"/>
  <c r="D8"/>
  <c r="Q76" i="14"/>
  <c r="P8" i="56" s="1"/>
  <c r="M78" i="14"/>
  <c r="M8" i="56"/>
  <c r="M10" s="1"/>
  <c r="N17"/>
  <c r="N90" i="14"/>
  <c r="L8" i="56"/>
  <c r="L78" i="14"/>
  <c r="H78"/>
  <c r="H9" i="56"/>
  <c r="H10" s="1"/>
  <c r="Q87" i="14"/>
  <c r="P17" i="56" s="1"/>
  <c r="D17"/>
  <c r="D19"/>
  <c r="Q89" i="14"/>
  <c r="P19" i="56" s="1"/>
  <c r="P32" i="48"/>
  <c r="P31"/>
  <c r="P25"/>
  <c r="J8" i="18"/>
  <c r="Q14" i="48"/>
  <c r="H90" i="14"/>
  <c r="P27" i="48"/>
  <c r="K78" i="14"/>
  <c r="K8" i="56"/>
  <c r="K10" s="1"/>
  <c r="O78" i="14"/>
  <c r="O9" i="56"/>
  <c r="L90" i="14"/>
  <c r="L17" i="56"/>
  <c r="L20" s="1"/>
  <c r="G90" i="14"/>
  <c r="G18" i="56"/>
  <c r="G20" s="1"/>
  <c r="O90" i="14"/>
  <c r="O18" i="56"/>
  <c r="O20" s="1"/>
  <c r="C77" i="14"/>
  <c r="C9" i="56" s="1"/>
  <c r="D9"/>
  <c r="Q88" i="14"/>
  <c r="P18" i="56" s="1"/>
  <c r="D18"/>
  <c r="K90" i="14"/>
  <c r="K18" i="56"/>
  <c r="K20" s="1"/>
  <c r="N78" i="14"/>
  <c r="N8" i="56"/>
  <c r="N10" s="1"/>
  <c r="N20"/>
  <c r="G78" i="14"/>
  <c r="I20" i="56"/>
  <c r="L10"/>
  <c r="H20"/>
  <c r="F78" i="14"/>
  <c r="G10" i="56"/>
  <c r="O10"/>
  <c r="C88" i="14"/>
  <c r="C18" i="56" s="1"/>
  <c r="F10"/>
  <c r="F20"/>
  <c r="D78" i="14"/>
  <c r="Q77"/>
  <c r="O17" i="18"/>
  <c r="O20" s="1"/>
  <c r="J87" i="14"/>
  <c r="B88"/>
  <c r="B18" i="56" s="1"/>
  <c r="C89" i="14"/>
  <c r="C19" i="56" s="1"/>
  <c r="B89" i="14"/>
  <c r="B19" i="56" s="1"/>
  <c r="B77" i="14"/>
  <c r="B9" i="56" s="1"/>
  <c r="N13" i="15"/>
  <c r="L13"/>
  <c r="O24" i="48"/>
  <c r="O30"/>
  <c r="P24"/>
  <c r="P30"/>
  <c r="R9" i="14"/>
  <c r="E78"/>
  <c r="E55"/>
  <c r="R25"/>
  <c r="E90"/>
  <c r="I90"/>
  <c r="M90"/>
  <c r="D90"/>
  <c r="J90" l="1"/>
  <c r="J17" i="56"/>
  <c r="J20" s="1"/>
  <c r="J10" i="18"/>
  <c r="J76" i="14"/>
  <c r="Q78"/>
  <c r="B9" i="6" s="1"/>
  <c r="P9" i="56"/>
  <c r="P10" s="1"/>
  <c r="Q90" i="14"/>
  <c r="B17" i="6" s="1"/>
  <c r="D10" i="56"/>
  <c r="O8" i="18"/>
  <c r="O10" s="1"/>
  <c r="P20" i="56"/>
  <c r="I78" i="14"/>
  <c r="C87"/>
  <c r="C17" i="56" s="1"/>
  <c r="C20" s="1"/>
  <c r="D20"/>
  <c r="B87" i="14"/>
  <c r="J8" i="56" l="1"/>
  <c r="J10" s="1"/>
  <c r="J78" i="14"/>
  <c r="B90"/>
  <c r="B17" i="56"/>
  <c r="B20" s="1"/>
  <c r="C76" i="14"/>
  <c r="C90"/>
  <c r="B76"/>
  <c r="D5" i="17"/>
  <c r="C8" i="56" l="1"/>
  <c r="C10" s="1"/>
  <c r="C78" i="14"/>
  <c r="B8" i="56"/>
  <c r="B10" s="1"/>
  <c r="B78" i="14"/>
  <c r="B4" i="6" s="1"/>
  <c r="H14" i="15"/>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H32"/>
  <c r="H29"/>
  <c r="H25"/>
  <c r="H26"/>
  <c r="H22"/>
  <c r="H30"/>
  <c r="H28"/>
  <c r="H24"/>
  <c r="H23"/>
  <c r="D11" i="14"/>
  <c r="C4" i="48"/>
  <c r="G32"/>
  <c r="G25"/>
  <c r="G26"/>
  <c r="G29"/>
  <c r="G24"/>
  <c r="G22"/>
  <c r="G30"/>
  <c r="G23"/>
  <c r="C11" i="14"/>
  <c r="B4" i="48"/>
  <c r="F32"/>
  <c r="F30"/>
  <c r="F24"/>
  <c r="F28"/>
  <c r="F27"/>
  <c r="F29"/>
  <c r="F31"/>
  <c r="N24"/>
  <c r="N32"/>
  <c r="N30"/>
  <c r="N31"/>
  <c r="N28"/>
  <c r="N27"/>
  <c r="N29"/>
  <c r="B10"/>
  <c r="C19" i="14"/>
  <c r="E32" i="48"/>
  <c r="E28"/>
  <c r="E29"/>
  <c r="E24"/>
  <c r="E31"/>
  <c r="E30"/>
  <c r="M12" i="13"/>
  <c r="N41" i="14" s="1"/>
  <c r="M17" i="48"/>
  <c r="L10" i="14"/>
  <c r="L16" s="1"/>
  <c r="L27" s="1"/>
  <c r="K5" i="48"/>
  <c r="D30"/>
  <c r="D28"/>
  <c r="D24"/>
  <c r="D32"/>
  <c r="D29"/>
  <c r="D31"/>
  <c r="L28"/>
  <c r="L32"/>
  <c r="L27"/>
  <c r="L29"/>
  <c r="L22"/>
  <c r="L31"/>
  <c r="L30"/>
  <c r="L24"/>
  <c r="Q10" i="14"/>
  <c r="P5" i="48"/>
  <c r="P23" s="1"/>
  <c r="K28"/>
  <c r="K32"/>
  <c r="K27"/>
  <c r="K31"/>
  <c r="K26"/>
  <c r="K24"/>
  <c r="K29"/>
  <c r="K22"/>
  <c r="K25"/>
  <c r="K30"/>
  <c r="J10" i="14"/>
  <c r="J16" s="1"/>
  <c r="J27" s="1"/>
  <c r="I5" i="48"/>
  <c r="J24"/>
  <c r="J32"/>
  <c r="J30"/>
  <c r="J28"/>
  <c r="J27"/>
  <c r="J31"/>
  <c r="J29"/>
  <c r="Q11" i="14"/>
  <c r="P4" i="48"/>
  <c r="C24" i="14"/>
  <c r="C26" s="1"/>
  <c r="B7" i="48"/>
  <c r="O4"/>
  <c r="P11" i="14"/>
  <c r="I27" i="48"/>
  <c r="I32"/>
  <c r="I22"/>
  <c r="I31"/>
  <c r="I25"/>
  <c r="I29"/>
  <c r="I24"/>
  <c r="I28"/>
  <c r="I26"/>
  <c r="I30"/>
  <c r="N46" i="14"/>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F4" i="48" l="1"/>
  <c r="F22" s="1"/>
  <c r="G11" i="14"/>
  <c r="H13" i="48"/>
  <c r="H31" s="1"/>
  <c r="I18" i="14"/>
  <c r="P8" i="48"/>
  <c r="P26" s="1"/>
  <c r="Q13" i="14"/>
  <c r="I23" i="48"/>
  <c r="I15"/>
  <c r="H18" i="14"/>
  <c r="G13" i="48"/>
  <c r="N18" i="14"/>
  <c r="M13" i="48"/>
  <c r="M31" s="1"/>
  <c r="P15"/>
  <c r="P22"/>
  <c r="J12" i="17"/>
  <c r="K54" i="14" s="1"/>
  <c r="K56" s="1"/>
  <c r="J7" i="48"/>
  <c r="J25" s="1"/>
  <c r="K24" i="14"/>
  <c r="K26" s="1"/>
  <c r="M32" i="48"/>
  <c r="M26"/>
  <c r="M25"/>
  <c r="M22"/>
  <c r="M30"/>
  <c r="M29"/>
  <c r="M24"/>
  <c r="M23"/>
  <c r="O22"/>
  <c r="K15"/>
  <c r="K23"/>
  <c r="K33" s="1"/>
  <c r="O5"/>
  <c r="O23" s="1"/>
  <c r="P10" i="14"/>
  <c r="J46"/>
  <c r="J61" s="1"/>
  <c r="J63" s="1"/>
  <c r="Q16"/>
  <c r="Q27" s="1"/>
  <c r="L63"/>
  <c r="I33" i="48"/>
  <c r="L46" i="14"/>
  <c r="L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O8" i="48"/>
  <c r="P13" i="14"/>
  <c r="N19"/>
  <c r="M10" i="48"/>
  <c r="M28" s="1"/>
  <c r="D9"/>
  <c r="D27" s="1"/>
  <c r="E20" i="14"/>
  <c r="E22" s="1"/>
  <c r="B9" i="48"/>
  <c r="C20" i="14"/>
  <c r="E12" i="13"/>
  <c r="F41" i="14" s="1"/>
  <c r="E4" i="48"/>
  <c r="F11" i="14"/>
  <c r="R11" s="1"/>
  <c r="H19"/>
  <c r="G10" i="48"/>
  <c r="K11" i="14"/>
  <c r="J4" i="48"/>
  <c r="E7"/>
  <c r="E25" s="1"/>
  <c r="F24" i="14"/>
  <c r="F26" s="1"/>
  <c r="R18"/>
  <c r="F20"/>
  <c r="F22" s="1"/>
  <c r="E9" i="48"/>
  <c r="E27" s="1"/>
  <c r="G31"/>
  <c r="Q13"/>
  <c r="D18" i="22"/>
  <c r="E50" i="14" s="1"/>
  <c r="E52" s="1"/>
  <c r="Q63"/>
  <c r="P33" i="48"/>
  <c r="M14" i="22"/>
  <c r="P16" i="14"/>
  <c r="P27" s="1"/>
  <c r="E12" i="17"/>
  <c r="F54" i="14" s="1"/>
  <c r="F56" s="1"/>
  <c r="H14" i="22"/>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F10" l="1"/>
  <c r="E5" i="48"/>
  <c r="E23" s="1"/>
  <c r="E22"/>
  <c r="Q4"/>
  <c r="I20" i="14"/>
  <c r="I22" s="1"/>
  <c r="I27" s="1"/>
  <c r="H9" i="48"/>
  <c r="G28"/>
  <c r="Q10"/>
  <c r="H20" i="14"/>
  <c r="H22" s="1"/>
  <c r="H27" s="1"/>
  <c r="H63" s="1"/>
  <c r="G9" i="48"/>
  <c r="J22"/>
  <c r="K10" i="14"/>
  <c r="J5" i="48"/>
  <c r="J23" s="1"/>
  <c r="C22" i="14"/>
  <c r="N20"/>
  <c r="N22" s="1"/>
  <c r="N27" s="1"/>
  <c r="N63" s="1"/>
  <c r="M9" i="48"/>
  <c r="O26"/>
  <c r="O33" s="1"/>
  <c r="O15"/>
  <c r="R19" i="14"/>
  <c r="H18" i="22"/>
  <c r="I50" i="14" s="1"/>
  <c r="I52" s="1"/>
  <c r="I61" s="1"/>
  <c r="I63"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M27"/>
  <c r="M33" s="1"/>
  <c r="M15"/>
  <c r="G27"/>
  <c r="G33" s="1"/>
  <c r="G15"/>
  <c r="E8"/>
  <c r="E26" s="1"/>
  <c r="E33" s="1"/>
  <c r="F13" i="14"/>
  <c r="H27" i="48"/>
  <c r="H33" s="1"/>
  <c r="H15"/>
  <c r="Q5"/>
  <c r="E15"/>
  <c r="F46" i="14"/>
  <c r="F61" s="1"/>
  <c r="K16"/>
  <c r="K27" s="1"/>
  <c r="R10"/>
  <c r="R20"/>
  <c r="R22" s="1"/>
  <c r="Q9" i="48"/>
  <c r="F16" i="14"/>
  <c r="F27" s="1"/>
  <c r="F63"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<sst xmlns="http://schemas.openxmlformats.org/spreadsheetml/2006/main" count="2504" uniqueCount="960">
  <si>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</si>
  <si>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</si>
  <si>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</si>
  <si>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</si>
  <si>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</si>
  <si>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</si>
  <si>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</si>
  <si>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</si>
  <si>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</si>
  <si>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</si>
  <si>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</si>
  <si>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</si>
  <si>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</si>
  <si>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</si>
  <si>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</si>
  <si>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</si>
  <si>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</si>
  <si>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</si>
  <si>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</si>
  <si>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</si>
  <si>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</si>
  <si>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</si>
  <si>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</si>
  <si>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</si>
  <si>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</si>
  <si>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</si>
  <si>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</si>
  <si>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</si>
  <si>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</si>
  <si>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</si>
  <si>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</si>
  <si>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</si>
  <si>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</si>
  <si>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</si>
  <si>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</si>
  <si>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</si>
  <si>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</si>
  <si>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</si>
  <si>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</si>
  <si>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</si>
  <si>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</si>
  <si>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</si>
  <si>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</si>
  <si>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</si>
  <si>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</si>
  <si>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</si>
  <si>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</si>
  <si>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</si>
  <si>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</si>
  <si>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</si>
  <si>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</si>
  <si>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</si>
  <si>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</si>
  <si>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</si>
  <si>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</si>
  <si>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</si>
  <si>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</si>
  <si>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</si>
  <si>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</si>
  <si>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</si>
  <si>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</si>
  <si>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</si>
  <si>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</si>
  <si>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</si>
  <si>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</si>
  <si>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</si>
  <si>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</si>
  <si>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</si>
  <si>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</si>
  <si>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</si>
  <si>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</si>
  <si>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</si>
  <si>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</si>
  <si>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</si>
  <si>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</si>
  <si>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</si>
  <si>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</si>
  <si>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</si>
  <si>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</si>
  <si>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</si>
  <si>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</si>
  <si>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</si>
  <si>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</si>
  <si>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</si>
  <si>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</si>
  <si>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</si>
  <si>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</si>
  <si>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</si>
  <si>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</si>
  <si>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</si>
  <si>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</si>
  <si>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</si>
  <si>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</si>
  <si>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</si>
  <si>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</si>
  <si>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</si>
  <si>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</si>
  <si>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</si>
  <si>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</si>
  <si>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</si>
  <si>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</si>
  <si>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</si>
  <si>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</si>
  <si>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</si>
  <si>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</si>
  <si>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</si>
  <si>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</si>
  <si>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</si>
  <si>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</si>
  <si>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</si>
  <si>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</si>
  <si>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</si>
  <si>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</si>
  <si>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</si>
  <si>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</si>
  <si>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</si>
  <si>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</si>
  <si>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</si>
  <si>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</si>
  <si>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</si>
  <si>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</si>
  <si>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</si>
  <si>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</si>
  <si>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</si>
  <si>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</si>
  <si>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</si>
  <si>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</si>
  <si>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</si>
  <si>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</si>
  <si>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</si>
  <si>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</si>
  <si>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</si>
  <si>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</si>
  <si>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</si>
  <si>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</si>
  <si>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</si>
  <si>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</si>
  <si>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</si>
  <si>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</si>
  <si>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</si>
  <si>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</si>
  <si>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</si>
  <si>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</si>
  <si>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</si>
  <si>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</si>
  <si>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</si>
  <si>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</si>
  <si>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</si>
  <si>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</si>
  <si>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</si>
  <si>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</si>
  <si>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</si>
  <si>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</si>
  <si>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</si>
  <si>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</si>
  <si>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</si>
  <si>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</si>
  <si>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</si>
  <si>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</si>
  <si>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</si>
  <si>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</si>
  <si>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</si>
  <si>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</si>
  <si>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</si>
  <si>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</si>
  <si>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</si>
  <si>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</si>
  <si>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</si>
  <si>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</si>
  <si>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</si>
  <si>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</si>
  <si>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</si>
  <si>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</si>
  <si>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</si>
  <si>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</si>
  <si>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</si>
  <si>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</si>
  <si>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</si>
  <si>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</si>
  <si>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</si>
  <si>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</si>
  <si>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</si>
  <si>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</si>
  <si>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</si>
  <si>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</si>
  <si>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</si>
  <si>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</si>
  <si>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</si>
  <si>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</si>
  <si>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</si>
  <si>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</si>
  <si>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</si>
  <si>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</si>
  <si>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</si>
  <si>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</si>
  <si>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</si>
  <si>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</si>
  <si>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</si>
  <si>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</si>
  <si>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</si>
  <si>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</si>
  <si>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</si>
  <si>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</si>
  <si>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</si>
  <si>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</si>
  <si>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</si>
  <si>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</si>
  <si>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</si>
  <si>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</si>
  <si>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</si>
  <si>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</si>
  <si>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</si>
  <si>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</si>
  <si>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</si>
  <si>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</si>
  <si>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</si>
  <si>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</si>
  <si>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</si>
  <si>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</si>
  <si>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</si>
  <si>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</si>
  <si>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</si>
  <si>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</si>
  <si>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</si>
  <si>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</si>
  <si>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</si>
  <si>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</si>
  <si>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</si>
  <si>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</si>
  <si>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</si>
  <si>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</si>
  <si>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</si>
  <si>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</si>
  <si>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</si>
  <si>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</si>
  <si>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</si>
  <si>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</si>
  <si>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</si>
  <si>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</si>
  <si>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</si>
  <si>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</si>
  <si>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</si>
  <si>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</si>
  <si>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</si>
  <si>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</si>
  <si>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</si>
  <si>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</si>
  <si>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</si>
  <si>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</si>
  <si>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</si>
  <si>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</si>
  <si>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</si>
  <si>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</si>
  <si>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</si>
  <si>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</si>
  <si>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</si>
  <si>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</si>
  <si>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</si>
  <si>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</si>
  <si>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</si>
  <si>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</si>
  <si>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</si>
  <si>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</si>
  <si>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</si>
  <si>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</si>
  <si>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</si>
  <si>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</si>
  <si>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</si>
  <si>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</si>
  <si>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</si>
  <si>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</si>
  <si>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</si>
  <si>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</si>
  <si>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</si>
  <si>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</si>
  <si>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</si>
  <si>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</si>
  <si>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</si>
  <si>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</si>
  <si>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</si>
  <si>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</si>
  <si>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</si>
  <si>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</si>
  <si>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</si>
  <si>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</si>
  <si>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</si>
  <si>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</si>
  <si>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</si>
  <si>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</si>
  <si>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</si>
  <si>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</si>
  <si>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</si>
  <si>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</si>
  <si>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</si>
  <si>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</si>
  <si>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</si>
  <si>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</si>
  <si>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</si>
  <si>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</si>
  <si>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</si>
  <si>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</si>
  <si>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</si>
  <si>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</si>
  <si>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</si>
  <si>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</si>
  <si>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</si>
  <si>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</si>
  <si>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</si>
  <si>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</si>
  <si>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</si>
  <si>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</si>
  <si>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</si>
  <si>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</si>
  <si>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</si>
  <si>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</si>
  <si>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</si>
  <si>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</si>
  <si>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</si>
  <si>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</si>
  <si>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</si>
  <si>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</si>
  <si>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</si>
  <si>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</si>
  <si>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</si>
  <si>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</si>
  <si>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</si>
  <si>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</si>
  <si>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</si>
  <si>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</si>
  <si>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</si>
  <si>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</si>
  <si>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</si>
  <si>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</si>
  <si>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</si>
  <si>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</si>
  <si>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</si>
  <si>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</si>
  <si>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</si>
  <si>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</si>
  <si>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</si>
  <si>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</si>
  <si>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</si>
  <si>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</si>
  <si>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</si>
  <si>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</si>
  <si>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</si>
  <si>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</si>
  <si>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</si>
  <si>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</si>
  <si>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</si>
  <si>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</si>
  <si>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</si>
  <si>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</si>
  <si>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</si>
  <si>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</si>
  <si>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</si>
  <si>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</si>
  <si>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</si>
  <si>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</si>
  <si>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</si>
  <si>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</si>
  <si>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</si>
  <si>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</si>
  <si>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</si>
  <si>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</si>
  <si>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</si>
  <si>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</si>
  <si>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</si>
  <si>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</si>
  <si>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</si>
  <si>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</si>
  <si>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</si>
  <si>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</si>
  <si>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</si>
  <si>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</si>
  <si>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</si>
  <si>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</si>
  <si>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</si>
  <si>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</si>
  <si>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</si>
  <si>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</si>
  <si>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</si>
  <si>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</si>
  <si>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</si>
  <si>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</si>
  <si>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</si>
  <si>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</si>
  <si>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</si>
  <si>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</si>
  <si>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</si>
  <si>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</si>
  <si>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</si>
  <si>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</si>
  <si>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</si>
  <si>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</si>
  <si>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</si>
  <si>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</si>
  <si>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</si>
  <si>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</si>
  <si>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</si>
  <si>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</si>
  <si>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</si>
  <si>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</si>
  <si>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</si>
  <si>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</si>
  <si>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</si>
  <si>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</si>
  <si>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</si>
  <si>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</si>
  <si>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</si>
  <si>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</si>
  <si>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</si>
  <si>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</si>
  <si>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</si>
  <si>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</si>
  <si>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</si>
  <si>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</si>
  <si>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</si>
  <si>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</si>
  <si>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</si>
  <si>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</si>
  <si>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</si>
  <si>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</si>
  <si>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</si>
  <si>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</si>
  <si>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</si>
  <si>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</si>
  <si>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</si>
  <si>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</si>
  <si>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</si>
  <si>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</si>
  <si>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</si>
  <si>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</si>
  <si>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</si>
  <si>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</si>
  <si>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</si>
  <si>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</si>
  <si>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</si>
  <si>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</si>
  <si>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</si>
  <si>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</si>
  <si>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</si>
  <si>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</si>
  <si>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</si>
  <si>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</si>
  <si>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</si>
  <si>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</si>
  <si>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</si>
  <si>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</si>
  <si>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</si>
  <si>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</si>
  <si>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</si>
  <si>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</si>
  <si>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</si>
  <si>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</si>
  <si>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</si>
  <si>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</si>
  <si>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</si>
  <si>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</si>
  <si>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</si>
  <si>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</si>
  <si>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</si>
  <si>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</si>
  <si>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</si>
  <si>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</si>
  <si>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</si>
  <si>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</si>
  <si>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</si>
  <si>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</si>
  <si>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</si>
  <si>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</si>
  <si>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</si>
  <si>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</si>
  <si>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</si>
  <si>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</si>
  <si>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</si>
  <si>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</si>
  <si>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</si>
  <si>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</si>
  <si>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</si>
  <si>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</si>
  <si>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</si>
  <si>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</si>
  <si>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</si>
  <si>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</si>
  <si>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</si>
  <si>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</si>
  <si>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</si>
  <si>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</si>
  <si>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</si>
  <si>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</si>
  <si>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</si>
  <si>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</si>
  <si>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</si>
  <si>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</si>
  <si>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</si>
  <si>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</si>
  <si>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</si>
  <si>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</si>
  <si>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</si>
  <si>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</si>
  <si>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</si>
  <si>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</si>
  <si>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</si>
  <si>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</si>
  <si>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</si>
  <si>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</si>
  <si>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</si>
  <si>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</si>
  <si>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</si>
  <si>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</si>
  <si>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</si>
  <si>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</si>
  <si>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</si>
  <si>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</si>
  <si>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</si>
  <si>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</si>
  <si>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</si>
  <si>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</si>
  <si>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</si>
  <si>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</si>
  <si>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</si>
  <si>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</si>
  <si>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</si>
  <si>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</si>
  <si>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</si>
  <si>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</si>
  <si>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</si>
  <si>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</si>
  <si>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</si>
  <si>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</si>
  <si>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</si>
  <si>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</si>
  <si>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</si>
  <si>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</si>
  <si>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</si>
  <si>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</si>
  <si>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</si>
  <si>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</si>
  <si>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</si>
  <si>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</si>
  <si>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</si>
  <si>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</si>
  <si>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</si>
  <si>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</si>
  <si>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</si>
  <si>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</si>
  <si>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</si>
  <si>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</si>
  <si>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</si>
  <si>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</si>
  <si>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</si>
  <si>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</si>
  <si>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</si>
  <si>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</si>
  <si>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</si>
  <si>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</si>
  <si>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</si>
  <si>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</si>
  <si>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</si>
  <si>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</si>
  <si>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</si>
  <si>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</si>
  <si>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</si>
  <si>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</si>
  <si>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</si>
  <si>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</si>
  <si>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</si>
  <si>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</si>
  <si>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</si>
  <si>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</si>
  <si>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</si>
  <si>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</si>
  <si>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</si>
  <si>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</si>
  <si>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</si>
  <si>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</si>
  <si>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</si>
  <si>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</si>
  <si>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</si>
  <si>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</si>
  <si>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</si>
  <si>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</si>
  <si>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</si>
  <si>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</si>
  <si>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</si>
  <si>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</si>
  <si>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</si>
  <si>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</si>
  <si>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</si>
  <si>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</si>
  <si>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</si>
  <si>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</si>
  <si>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</si>
  <si>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</si>
  <si>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</si>
  <si>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</si>
  <si>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</si>
  <si>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</si>
  <si>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</si>
  <si>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</si>
  <si>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</si>
  <si>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</si>
  <si>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</si>
  <si>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</si>
  <si>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</si>
  <si>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</si>
  <si>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</si>
  <si>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</si>
  <si>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</si>
  <si>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</si>
  <si>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</si>
  <si>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</si>
  <si>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</si>
  <si>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</si>
  <si>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</si>
  <si>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</si>
  <si>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</si>
  <si>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</si>
  <si>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</si>
  <si>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</si>
  <si>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</si>
  <si>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</si>
  <si>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</si>
  <si>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</si>
  <si>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</si>
  <si>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</si>
  <si>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</si>
  <si>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</si>
  <si>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</si>
  <si>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</si>
  <si>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</si>
  <si>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</si>
  <si>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</si>
  <si>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</si>
  <si>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</si>
  <si>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</si>
  <si>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</si>
  <si>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</si>
  <si>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</si>
  <si>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</si>
  <si>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</si>
  <si>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</si>
  <si>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</si>
  <si>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</si>
  <si>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</si>
  <si>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</si>
  <si>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</si>
  <si>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</si>
  <si>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</si>
  <si>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</si>
  <si>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</si>
  <si>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</si>
  <si>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</si>
  <si>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</si>
  <si>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</si>
  <si>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</si>
  <si>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</si>
  <si>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</si>
  <si>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</si>
  <si>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</si>
  <si>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</si>
  <si>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</si>
  <si>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</si>
  <si>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</si>
  <si>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</si>
  <si>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</si>
  <si>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</si>
  <si>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</si>
  <si>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</si>
  <si>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</si>
  <si>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</si>
  <si>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</si>
  <si>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</si>
  <si>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</si>
  <si>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</si>
  <si>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</si>
  <si>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</si>
  <si>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</si>
  <si>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</si>
  <si>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</si>
  <si>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</si>
  <si>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</si>
  <si>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</si>
  <si>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</si>
  <si>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</si>
  <si>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</si>
  <si>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</si>
  <si>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</si>
  <si>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</si>
  <si>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</si>
  <si>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</si>
  <si>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</si>
  <si>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</si>
  <si>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</si>
  <si>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</si>
  <si>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</si>
  <si>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</si>
  <si>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</si>
  <si>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</si>
  <si>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</si>
  <si>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</si>
  <si>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</si>
  <si>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</si>
  <si>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</si>
  <si>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</si>
  <si>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</si>
  <si>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</si>
  <si>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</si>
  <si>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</si>
  <si>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</si>
  <si>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</si>
  <si>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</si>
  <si>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</si>
  <si>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</si>
  <si>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</si>
  <si>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</si>
  <si>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</si>
  <si>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</si>
  <si>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</si>
  <si>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</si>
  <si>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</si>
  <si>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</si>
  <si>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</si>
  <si>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</si>
  <si>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</si>
  <si>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</si>
  <si>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</si>
  <si>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</si>
  <si>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</si>
  <si>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</si>
  <si>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</si>
  <si>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</si>
  <si>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</si>
  <si>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</si>
  <si>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</si>
  <si>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</si>
  <si>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</si>
  <si>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</si>
  <si>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</si>
  <si>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</si>
  <si>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</si>
  <si>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</si>
  <si>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</si>
  <si>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</si>
  <si>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</si>
  <si>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</si>
  <si>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</si>
  <si>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</si>
  <si>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</si>
  <si>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</si>
  <si>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</si>
  <si>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</si>
  <si>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</si>
  <si>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</si>
  <si>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</si>
  <si>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</si>
  <si>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</si>
  <si>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</si>
  <si>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</si>
  <si>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</si>
  <si>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</si>
  <si>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</si>
  <si>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</si>
  <si>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</si>
  <si>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</si>
  <si>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</si>
  <si>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</si>
  <si>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</si>
  <si>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</si>
  <si>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</si>
  <si>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</si>
  <si>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</si>
  <si>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</si>
  <si>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</si>
  <si>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</si>
  <si>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</si>
  <si>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</si>
  <si>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</si>
  <si>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</si>
  <si>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</si>
  <si>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</si>
  <si>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</si>
  <si>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</si>
  <si>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</si>
  <si>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</si>
  <si>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</si>
  <si>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</si>
  <si>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</si>
  <si>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</si>
  <si>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</si>
  <si>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</si>
  <si>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</si>
  <si>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</si>
  <si>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</si>
  <si>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</si>
  <si>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</si>
  <si>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</si>
  <si>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</si>
  <si>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</si>
  <si>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</si>
  <si>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</si>
  <si>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</si>
  <si>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</si>
  <si>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</si>
  <si>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</si>
  <si>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</si>
  <si>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</si>
  <si>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</si>
  <si>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</si>
  <si>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</si>
  <si>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</si>
  <si>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</si>
  <si>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</si>
  <si>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</si>
  <si>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</si>
  <si>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</si>
  <si>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</si>
  <si>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</si>
  <si>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</si>
  <si>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</si>
  <si>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</si>
  <si>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</si>
  <si>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</si>
  <si>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</si>
  <si>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</si>
  <si>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</si>
  <si>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</si>
  <si>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</si>
  <si>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</si>
  <si>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</si>
  <si>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</si>
  <si>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</si>
  <si>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</si>
  <si>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</si>
  <si>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</si>
  <si>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</si>
  <si>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</si>
  <si>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</si>
  <si>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</si>
  <si>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</si>
  <si>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</si>
  <si>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</si>
  <si>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</si>
  <si>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</si>
  <si>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</si>
  <si>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</si>
  <si>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</si>
  <si>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</si>
  <si>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</si>
  <si>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</si>
  <si>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</si>
  <si>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</si>
  <si>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</si>
  <si>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</si>
  <si>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</si>
  <si>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</si>
  <si>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</si>
  <si>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</si>
  <si>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</si>
  <si>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</si>
  <si>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</si>
  <si>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</si>
  <si>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</si>
  <si>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</si>
  <si>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</si>
  <si>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</si>
  <si>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</si>
  <si>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</si>
  <si>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</si>
  <si>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</si>
  <si>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</si>
  <si>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</si>
  <si>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</si>
  <si>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</si>
  <si>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</si>
  <si>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</si>
  <si>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</si>
  <si>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</si>
  <si>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</si>
  <si>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</si>
  <si>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</si>
  <si>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</si>
  <si>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</si>
  <si>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</si>
  <si>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</si>
  <si>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</si>
  <si>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</si>
  <si>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</si>
  <si>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</si>
  <si>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</si>
  <si>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</si>
  <si>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</si>
  <si>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</si>
  <si>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</si>
  <si>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</si>
  <si>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</si>
  <si>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</si>
  <si>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</si>
  <si>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</si>
  <si>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</si>
  <si>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</si>
  <si>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</si>
  <si>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</si>
  <si>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</si>
  <si>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</si>
  <si>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</si>
  <si>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</si>
  <si>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</si>
  <si>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</si>
  <si>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</si>
  <si>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</si>
  <si>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</si>
  <si>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</si>
  <si>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</si>
  <si>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</si>
  <si>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</si>
  <si>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</si>
  <si>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</si>
  <si>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</si>
  <si>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</si>
  <si>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</si>
  <si>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</si>
  <si>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</si>
  <si>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</si>
  <si>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</si>
  <si>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</si>
  <si>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</si>
  <si>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</si>
  <si>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</si>
  <si>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</si>
  <si>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</si>
  <si>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</si>
  <si>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</si>
  <si>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</si>
  <si>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</si>
  <si>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</si>
  <si>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</si>
  <si>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</si>
  <si>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</si>
  <si>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</si>
  <si>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</si>
  <si>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12025</t>
  </si>
  <si>
    <t>MECHELEN</t>
  </si>
  <si>
    <t>Paarden&amp;pony's 200 - 600 kg</t>
  </si>
  <si>
    <t>Paarden&amp;pony's &lt; 200 kg</t>
  </si>
  <si>
    <t>op basis van VEA (maart 2018) en Inventaris Hernieuwbare Energiebronnen (juni 2018)</t>
  </si>
  <si>
    <t>VEA (juni 2018)</t>
  </si>
  <si>
    <t>Patrick Verdonck-Laevers Liliane</t>
  </si>
  <si>
    <t>Fortuinstraat 51 , 2800 Mechelen</t>
  </si>
  <si>
    <t>WKK-0465 Patrick Verdonck-Laevers</t>
  </si>
  <si>
    <t>stirlingmotor</t>
  </si>
  <si>
    <t>IVERLEK</t>
  </si>
  <si>
    <t>IVAREM</t>
  </si>
  <si>
    <t>Schoutestraat 2, 2800 Mechelen</t>
  </si>
  <si>
    <t>BGS-0009 IVAREM (GSC rest)</t>
  </si>
  <si>
    <t>biogas - stortgas</t>
  </si>
  <si>
    <t>niet WKK interne verbrandingsmotor (gas)</t>
  </si>
  <si>
    <t>Maaikeneveld 47, 2500 Lier</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</si>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</sst>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12025</v>
      </c>
      <c r="B6" s="397"/>
      <c r="C6" s="398"/>
    </row>
    <row r="7" spans="1:7" s="395" customFormat="1" ht="15.75" customHeight="1">
      <c r="A7" s="399" t="str">
        <f>txtMunicipality</f>
        <v>MECHELEN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0.21255294780045864</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0.21255294780045864</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12025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34936</v>
      </c>
      <c r="C9" s="338">
        <v>37570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1929</v>
      </c>
    </row>
    <row r="15" spans="1:6">
      <c r="A15" s="1286" t="s">
        <v>184</v>
      </c>
      <c r="B15" s="335">
        <v>5</v>
      </c>
    </row>
    <row r="16" spans="1:6">
      <c r="A16" s="1286" t="s">
        <v>6</v>
      </c>
      <c r="B16" s="335">
        <v>232</v>
      </c>
    </row>
    <row r="17" spans="1:6">
      <c r="A17" s="1286" t="s">
        <v>7</v>
      </c>
      <c r="B17" s="335">
        <v>226</v>
      </c>
    </row>
    <row r="18" spans="1:6">
      <c r="A18" s="1286" t="s">
        <v>8</v>
      </c>
      <c r="B18" s="335">
        <v>378</v>
      </c>
    </row>
    <row r="19" spans="1:6">
      <c r="A19" s="1286" t="s">
        <v>9</v>
      </c>
      <c r="B19" s="335">
        <v>347</v>
      </c>
    </row>
    <row r="20" spans="1:6">
      <c r="A20" s="1286" t="s">
        <v>10</v>
      </c>
      <c r="B20" s="335">
        <v>489</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240</v>
      </c>
    </row>
    <row r="27" spans="1:6">
      <c r="A27" s="1286" t="s">
        <v>17</v>
      </c>
      <c r="B27" s="335">
        <v>0</v>
      </c>
    </row>
    <row r="28" spans="1:6" s="341" customFormat="1">
      <c r="A28" s="1287" t="s">
        <v>18</v>
      </c>
      <c r="B28" s="1287">
        <v>0</v>
      </c>
    </row>
    <row r="29" spans="1:6">
      <c r="A29" s="1287" t="s">
        <v>944</v>
      </c>
      <c r="B29" s="1287">
        <v>283</v>
      </c>
      <c r="C29" s="341"/>
      <c r="D29" s="341"/>
      <c r="E29" s="341"/>
      <c r="F29" s="341"/>
    </row>
    <row r="30" spans="1:6">
      <c r="A30" s="1282" t="s">
        <v>945</v>
      </c>
      <c r="B30" s="1282">
        <v>136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14</v>
      </c>
      <c r="D36" s="335">
        <v>4467325.7614922803</v>
      </c>
      <c r="E36" s="335">
        <v>17</v>
      </c>
      <c r="F36" s="335">
        <v>1615441.61368482</v>
      </c>
    </row>
    <row r="37" spans="1:6">
      <c r="A37" s="1286" t="s">
        <v>25</v>
      </c>
      <c r="B37" s="1286" t="s">
        <v>28</v>
      </c>
      <c r="C37" s="335">
        <v>0</v>
      </c>
      <c r="D37" s="335">
        <v>0</v>
      </c>
      <c r="E37" s="335">
        <v>0</v>
      </c>
      <c r="F37" s="335">
        <v>0</v>
      </c>
    </row>
    <row r="38" spans="1:6">
      <c r="A38" s="1286" t="s">
        <v>25</v>
      </c>
      <c r="B38" s="1286" t="s">
        <v>29</v>
      </c>
      <c r="C38" s="335">
        <v>0</v>
      </c>
      <c r="D38" s="335">
        <v>0</v>
      </c>
      <c r="E38" s="335">
        <v>3</v>
      </c>
      <c r="F38" s="335">
        <v>89108.790812412204</v>
      </c>
    </row>
    <row r="39" spans="1:6">
      <c r="A39" s="1286" t="s">
        <v>30</v>
      </c>
      <c r="B39" s="1286" t="s">
        <v>31</v>
      </c>
      <c r="C39" s="335">
        <v>28504</v>
      </c>
      <c r="D39" s="335">
        <v>456522446.24979699</v>
      </c>
      <c r="E39" s="335">
        <v>35820</v>
      </c>
      <c r="F39" s="335">
        <v>113794158.707831</v>
      </c>
    </row>
    <row r="40" spans="1:6">
      <c r="A40" s="1286" t="s">
        <v>30</v>
      </c>
      <c r="B40" s="1286" t="s">
        <v>29</v>
      </c>
      <c r="C40" s="335">
        <v>0</v>
      </c>
      <c r="D40" s="335">
        <v>0</v>
      </c>
      <c r="E40" s="335">
        <v>0</v>
      </c>
      <c r="F40" s="335">
        <v>0</v>
      </c>
    </row>
    <row r="41" spans="1:6">
      <c r="A41" s="1286" t="s">
        <v>32</v>
      </c>
      <c r="B41" s="1286" t="s">
        <v>33</v>
      </c>
      <c r="C41" s="335">
        <v>232</v>
      </c>
      <c r="D41" s="335">
        <v>6173383.5574133303</v>
      </c>
      <c r="E41" s="335">
        <v>452</v>
      </c>
      <c r="F41" s="335">
        <v>5765398.64807186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15</v>
      </c>
      <c r="D44" s="335">
        <v>4848479.4590476695</v>
      </c>
      <c r="E44" s="335">
        <v>55</v>
      </c>
      <c r="F44" s="335">
        <v>32913355.845885798</v>
      </c>
    </row>
    <row r="45" spans="1:6">
      <c r="A45" s="1286" t="s">
        <v>32</v>
      </c>
      <c r="B45" s="1286" t="s">
        <v>37</v>
      </c>
      <c r="C45" s="335">
        <v>0</v>
      </c>
      <c r="D45" s="335">
        <v>0</v>
      </c>
      <c r="E45" s="335">
        <v>8</v>
      </c>
      <c r="F45" s="335">
        <v>126163.04633456501</v>
      </c>
    </row>
    <row r="46" spans="1:6">
      <c r="A46" s="1286" t="s">
        <v>32</v>
      </c>
      <c r="B46" s="1286" t="s">
        <v>38</v>
      </c>
      <c r="C46" s="335">
        <v>0</v>
      </c>
      <c r="D46" s="335">
        <v>0</v>
      </c>
      <c r="E46" s="335">
        <v>0</v>
      </c>
      <c r="F46" s="335">
        <v>0</v>
      </c>
    </row>
    <row r="47" spans="1:6">
      <c r="A47" s="1286" t="s">
        <v>32</v>
      </c>
      <c r="B47" s="1286" t="s">
        <v>39</v>
      </c>
      <c r="C47" s="335">
        <v>22</v>
      </c>
      <c r="D47" s="335">
        <v>6719984.8449807698</v>
      </c>
      <c r="E47" s="335">
        <v>34</v>
      </c>
      <c r="F47" s="335">
        <v>5473018.2132182699</v>
      </c>
    </row>
    <row r="48" spans="1:6">
      <c r="A48" s="1286" t="s">
        <v>32</v>
      </c>
      <c r="B48" s="1286" t="s">
        <v>29</v>
      </c>
      <c r="C48" s="335">
        <v>94</v>
      </c>
      <c r="D48" s="335">
        <v>308332562.13200402</v>
      </c>
      <c r="E48" s="335">
        <v>108</v>
      </c>
      <c r="F48" s="335">
        <v>144799872.55792299</v>
      </c>
    </row>
    <row r="49" spans="1:6">
      <c r="A49" s="1286" t="s">
        <v>32</v>
      </c>
      <c r="B49" s="1286" t="s">
        <v>40</v>
      </c>
      <c r="C49" s="335">
        <v>4</v>
      </c>
      <c r="D49" s="335">
        <v>227400.978842065</v>
      </c>
      <c r="E49" s="335">
        <v>8</v>
      </c>
      <c r="F49" s="335">
        <v>93721.602831049895</v>
      </c>
    </row>
    <row r="50" spans="1:6">
      <c r="A50" s="1286" t="s">
        <v>32</v>
      </c>
      <c r="B50" s="1286" t="s">
        <v>41</v>
      </c>
      <c r="C50" s="335">
        <v>37</v>
      </c>
      <c r="D50" s="335">
        <v>3064161.5219338899</v>
      </c>
      <c r="E50" s="335">
        <v>68</v>
      </c>
      <c r="F50" s="335">
        <v>2789716.0872220099</v>
      </c>
    </row>
    <row r="51" spans="1:6">
      <c r="A51" s="1286" t="s">
        <v>42</v>
      </c>
      <c r="B51" s="1286" t="s">
        <v>43</v>
      </c>
      <c r="C51" s="335">
        <v>4</v>
      </c>
      <c r="D51" s="335">
        <v>70098.924175081003</v>
      </c>
      <c r="E51" s="335">
        <v>79</v>
      </c>
      <c r="F51" s="335">
        <v>791168.771532104</v>
      </c>
    </row>
    <row r="52" spans="1:6">
      <c r="A52" s="1286" t="s">
        <v>42</v>
      </c>
      <c r="B52" s="1286" t="s">
        <v>29</v>
      </c>
      <c r="C52" s="335">
        <v>16</v>
      </c>
      <c r="D52" s="335">
        <v>1424388.93634656</v>
      </c>
      <c r="E52" s="335">
        <v>18</v>
      </c>
      <c r="F52" s="335">
        <v>630957.35908915696</v>
      </c>
    </row>
    <row r="53" spans="1:6">
      <c r="A53" s="1286" t="s">
        <v>44</v>
      </c>
      <c r="B53" s="1286" t="s">
        <v>45</v>
      </c>
      <c r="C53" s="335">
        <v>711</v>
      </c>
      <c r="D53" s="335">
        <v>31963997.644987699</v>
      </c>
      <c r="E53" s="335">
        <v>1168</v>
      </c>
      <c r="F53" s="335">
        <v>6465035.8821835099</v>
      </c>
    </row>
    <row r="54" spans="1:6">
      <c r="A54" s="1286" t="s">
        <v>46</v>
      </c>
      <c r="B54" s="1286" t="s">
        <v>47</v>
      </c>
      <c r="C54" s="335">
        <v>0</v>
      </c>
      <c r="D54" s="335">
        <v>0</v>
      </c>
      <c r="E54" s="335">
        <v>1</v>
      </c>
      <c r="F54" s="335">
        <v>4424677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323</v>
      </c>
      <c r="D57" s="335">
        <v>33474424.961004499</v>
      </c>
      <c r="E57" s="335">
        <v>584</v>
      </c>
      <c r="F57" s="335">
        <v>14920239.6382936</v>
      </c>
    </row>
    <row r="58" spans="1:6">
      <c r="A58" s="1286" t="s">
        <v>49</v>
      </c>
      <c r="B58" s="1286" t="s">
        <v>51</v>
      </c>
      <c r="C58" s="335">
        <v>190</v>
      </c>
      <c r="D58" s="335">
        <v>24916536.6349396</v>
      </c>
      <c r="E58" s="335">
        <v>271</v>
      </c>
      <c r="F58" s="335">
        <v>11341210.176642699</v>
      </c>
    </row>
    <row r="59" spans="1:6">
      <c r="A59" s="1286" t="s">
        <v>49</v>
      </c>
      <c r="B59" s="1286" t="s">
        <v>52</v>
      </c>
      <c r="C59" s="335">
        <v>693</v>
      </c>
      <c r="D59" s="335">
        <v>40889935.696422599</v>
      </c>
      <c r="E59" s="335">
        <v>1082</v>
      </c>
      <c r="F59" s="335">
        <v>44244256.326503202</v>
      </c>
    </row>
    <row r="60" spans="1:6">
      <c r="A60" s="1286" t="s">
        <v>49</v>
      </c>
      <c r="B60" s="1286" t="s">
        <v>53</v>
      </c>
      <c r="C60" s="335">
        <v>326</v>
      </c>
      <c r="D60" s="335">
        <v>25114047.854984902</v>
      </c>
      <c r="E60" s="335">
        <v>399</v>
      </c>
      <c r="F60" s="335">
        <v>11918983.072834801</v>
      </c>
    </row>
    <row r="61" spans="1:6">
      <c r="A61" s="1286" t="s">
        <v>49</v>
      </c>
      <c r="B61" s="1286" t="s">
        <v>54</v>
      </c>
      <c r="C61" s="335">
        <v>1102</v>
      </c>
      <c r="D61" s="335">
        <v>90530525.310467601</v>
      </c>
      <c r="E61" s="335">
        <v>2181</v>
      </c>
      <c r="F61" s="335">
        <v>103549181.635928</v>
      </c>
    </row>
    <row r="62" spans="1:6">
      <c r="A62" s="1286" t="s">
        <v>49</v>
      </c>
      <c r="B62" s="1286" t="s">
        <v>55</v>
      </c>
      <c r="C62" s="335">
        <v>81</v>
      </c>
      <c r="D62" s="335">
        <v>15869892.0049564</v>
      </c>
      <c r="E62" s="335">
        <v>103</v>
      </c>
      <c r="F62" s="335">
        <v>5869225.5416395701</v>
      </c>
    </row>
    <row r="63" spans="1:6">
      <c r="A63" s="1286" t="s">
        <v>49</v>
      </c>
      <c r="B63" s="1286" t="s">
        <v>29</v>
      </c>
      <c r="C63" s="335">
        <v>221</v>
      </c>
      <c r="D63" s="335">
        <v>15784107.390745699</v>
      </c>
      <c r="E63" s="335">
        <v>291</v>
      </c>
      <c r="F63" s="335">
        <v>15087202.747342199</v>
      </c>
    </row>
    <row r="64" spans="1:6">
      <c r="A64" s="1286" t="s">
        <v>56</v>
      </c>
      <c r="B64" s="1286" t="s">
        <v>57</v>
      </c>
      <c r="C64" s="335">
        <v>0</v>
      </c>
      <c r="D64" s="335">
        <v>0</v>
      </c>
      <c r="E64" s="335">
        <v>0</v>
      </c>
      <c r="F64" s="335">
        <v>0</v>
      </c>
    </row>
    <row r="65" spans="1:6">
      <c r="A65" s="1286" t="s">
        <v>56</v>
      </c>
      <c r="B65" s="1286" t="s">
        <v>29</v>
      </c>
      <c r="C65" s="335">
        <v>3</v>
      </c>
      <c r="D65" s="335">
        <v>233558.56984150299</v>
      </c>
      <c r="E65" s="335">
        <v>5</v>
      </c>
      <c r="F65" s="335">
        <v>22051.106701371002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20</v>
      </c>
      <c r="D68" s="335">
        <v>2705586.5222606901</v>
      </c>
      <c r="E68" s="335">
        <v>36</v>
      </c>
      <c r="F68" s="335">
        <v>3292763.1866307799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214269459</v>
      </c>
      <c r="E73" s="335">
        <v>315411944.11278754</v>
      </c>
    </row>
    <row r="74" spans="1:6">
      <c r="A74" s="1286" t="s">
        <v>64</v>
      </c>
      <c r="B74" s="1286" t="s">
        <v>772</v>
      </c>
      <c r="C74" s="1297" t="s">
        <v>766</v>
      </c>
      <c r="D74" s="335">
        <v>14088791.767773071</v>
      </c>
      <c r="E74" s="335">
        <v>18874600.839993291</v>
      </c>
    </row>
    <row r="75" spans="1:6">
      <c r="A75" s="1286" t="s">
        <v>65</v>
      </c>
      <c r="B75" s="1286" t="s">
        <v>771</v>
      </c>
      <c r="C75" s="1297" t="s">
        <v>767</v>
      </c>
      <c r="D75" s="335">
        <v>50128844</v>
      </c>
      <c r="E75" s="335">
        <v>78850456.318948179</v>
      </c>
    </row>
    <row r="76" spans="1:6">
      <c r="A76" s="1286" t="s">
        <v>65</v>
      </c>
      <c r="B76" s="1286" t="s">
        <v>772</v>
      </c>
      <c r="C76" s="1297" t="s">
        <v>768</v>
      </c>
      <c r="D76" s="335">
        <v>1183288.767773072</v>
      </c>
      <c r="E76" s="335">
        <v>2287702.6279130764</v>
      </c>
    </row>
    <row r="77" spans="1:6">
      <c r="A77" s="1286" t="s">
        <v>66</v>
      </c>
      <c r="B77" s="1286" t="s">
        <v>771</v>
      </c>
      <c r="C77" s="1297" t="s">
        <v>769</v>
      </c>
      <c r="D77" s="335">
        <v>351523169</v>
      </c>
      <c r="E77" s="335">
        <v>378373977.23973745</v>
      </c>
    </row>
    <row r="78" spans="1:6">
      <c r="A78" s="1282" t="s">
        <v>66</v>
      </c>
      <c r="B78" s="1282" t="s">
        <v>772</v>
      </c>
      <c r="C78" s="1282" t="s">
        <v>770</v>
      </c>
      <c r="D78" s="1282">
        <v>43841055</v>
      </c>
      <c r="E78" s="1282">
        <v>43450324.54790286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3186126.464453856</v>
      </c>
      <c r="C83" s="335">
        <v>2999232.9511887203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315</v>
      </c>
    </row>
    <row r="90" spans="1:6">
      <c r="A90" s="1286" t="s">
        <v>567</v>
      </c>
      <c r="B90" s="1301">
        <v>0</v>
      </c>
    </row>
    <row r="91" spans="1:6">
      <c r="A91" s="1286" t="s">
        <v>68</v>
      </c>
      <c r="B91" s="335">
        <v>5316.1384364381584</v>
      </c>
    </row>
    <row r="92" spans="1:6">
      <c r="A92" s="1282" t="s">
        <v>69</v>
      </c>
      <c r="B92" s="338">
        <v>5074.1066163385321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22345</v>
      </c>
    </row>
    <row r="98" spans="1:6">
      <c r="A98" s="1286" t="s">
        <v>72</v>
      </c>
      <c r="B98" s="335">
        <v>44</v>
      </c>
    </row>
    <row r="99" spans="1:6">
      <c r="A99" s="1286" t="s">
        <v>73</v>
      </c>
      <c r="B99" s="335">
        <v>106</v>
      </c>
    </row>
    <row r="100" spans="1:6">
      <c r="A100" s="1286" t="s">
        <v>74</v>
      </c>
      <c r="B100" s="335">
        <v>1577</v>
      </c>
    </row>
    <row r="101" spans="1:6">
      <c r="A101" s="1286" t="s">
        <v>75</v>
      </c>
      <c r="B101" s="335">
        <v>147</v>
      </c>
    </row>
    <row r="102" spans="1:6">
      <c r="A102" s="1286" t="s">
        <v>76</v>
      </c>
      <c r="B102" s="335">
        <v>648</v>
      </c>
    </row>
    <row r="103" spans="1:6">
      <c r="A103" s="1286" t="s">
        <v>77</v>
      </c>
      <c r="B103" s="335">
        <v>662</v>
      </c>
    </row>
    <row r="104" spans="1:6">
      <c r="A104" s="1286" t="s">
        <v>78</v>
      </c>
      <c r="B104" s="335">
        <v>5761</v>
      </c>
    </row>
    <row r="105" spans="1:6">
      <c r="A105" s="1282" t="s">
        <v>79</v>
      </c>
      <c r="B105" s="1282">
        <v>35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12</v>
      </c>
      <c r="C123" s="335">
        <v>27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122</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540271.64030317287</v>
      </c>
      <c r="C3" s="44" t="s">
        <v>170</v>
      </c>
      <c r="D3" s="44"/>
      <c r="E3" s="157"/>
      <c r="F3" s="44"/>
      <c r="G3" s="44"/>
      <c r="H3" s="44"/>
      <c r="I3" s="44"/>
      <c r="J3" s="44"/>
      <c r="K3" s="97"/>
    </row>
    <row r="4" spans="1:11">
      <c r="A4" s="365" t="s">
        <v>171</v>
      </c>
      <c r="B4" s="50">
        <f>IF(ISERROR('SEAP template'!B78+'SEAP template'!C78),0,'SEAP template'!B78+'SEAP template'!C78)</f>
        <v>20650.654143685784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9.181818181818184E-2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0.21255294780045864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0.45909090909090916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2.0454545454545454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4424.6769999999997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4424.6769999999997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0.21255294780045864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940.47813941488982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113794.158707831</v>
      </c>
      <c r="C5" s="18">
        <f>IF(ISERROR('Eigen informatie GS &amp; warmtenet'!B57),0,'Eigen informatie GS &amp; warmtenet'!B57)</f>
        <v>0</v>
      </c>
      <c r="D5" s="31">
        <f>(SUM(HH_hh_gas_kWh,HH_rest_gas_kWh)/1000)*0.902</f>
        <v>411783.2465173169</v>
      </c>
      <c r="E5" s="18">
        <f>B46*B57</f>
        <v>8124.3308058083658</v>
      </c>
      <c r="F5" s="18">
        <f>B51*B62</f>
        <v>0</v>
      </c>
      <c r="G5" s="19"/>
      <c r="H5" s="18"/>
      <c r="I5" s="18"/>
      <c r="J5" s="18">
        <f>B50*B61+C50*C61</f>
        <v>1454.7785676716121</v>
      </c>
      <c r="K5" s="18"/>
      <c r="L5" s="18"/>
      <c r="M5" s="18"/>
      <c r="N5" s="18">
        <f>B48*B59+C48*C59</f>
        <v>36589.283292084532</v>
      </c>
      <c r="O5" s="18">
        <f>B69*B70*B71</f>
        <v>232.9366666666667</v>
      </c>
      <c r="P5" s="18">
        <f>B77*B78*B79/1000-B77*B78*B79/1000/B80</f>
        <v>400.4</v>
      </c>
    </row>
    <row r="6" spans="1:16">
      <c r="A6" s="17" t="s">
        <v>639</v>
      </c>
      <c r="B6" s="780">
        <f>kWh_PV_kleiner_dan_10kW</f>
        <v>5316.1384364381584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119110.29714426915</v>
      </c>
      <c r="C8" s="22">
        <f>C5</f>
        <v>0</v>
      </c>
      <c r="D8" s="22">
        <f>D5</f>
        <v>411783.2465173169</v>
      </c>
      <c r="E8" s="22">
        <f>E5</f>
        <v>8124.3308058083658</v>
      </c>
      <c r="F8" s="22">
        <f>F5</f>
        <v>0</v>
      </c>
      <c r="G8" s="22"/>
      <c r="H8" s="22"/>
      <c r="I8" s="22"/>
      <c r="J8" s="22">
        <f>J5</f>
        <v>1454.7785676716121</v>
      </c>
      <c r="K8" s="22"/>
      <c r="L8" s="22">
        <f>L5</f>
        <v>0</v>
      </c>
      <c r="M8" s="22">
        <f>M5</f>
        <v>0</v>
      </c>
      <c r="N8" s="22">
        <f>N5</f>
        <v>36589.283292084532</v>
      </c>
      <c r="O8" s="22">
        <f>O5</f>
        <v>232.9366666666667</v>
      </c>
      <c r="P8" s="22">
        <f>P5</f>
        <v>400.4</v>
      </c>
    </row>
    <row r="9" spans="1:16">
      <c r="B9" s="20"/>
      <c r="C9" s="20"/>
      <c r="D9" s="262"/>
      <c r="E9" s="20"/>
      <c r="F9" s="20"/>
      <c r="G9" s="20"/>
      <c r="H9" s="20"/>
      <c r="I9" s="20"/>
      <c r="J9" s="20"/>
      <c r="K9" s="20"/>
      <c r="L9" s="20"/>
      <c r="M9" s="20"/>
      <c r="N9" s="20"/>
      <c r="O9" s="20"/>
      <c r="P9" s="20"/>
    </row>
    <row r="10" spans="1:16">
      <c r="A10" s="25" t="s">
        <v>214</v>
      </c>
      <c r="B10" s="26">
        <f ca="1">'EF ele_warmte'!B12</f>
        <v>0.21255294780045864</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25317.244771402959</v>
      </c>
      <c r="C12" s="24">
        <f ca="1">C10*C8</f>
        <v>0</v>
      </c>
      <c r="D12" s="24">
        <f>D8*D10</f>
        <v>83180.215796498014</v>
      </c>
      <c r="E12" s="24">
        <f>E10*E8</f>
        <v>1844.2230929184991</v>
      </c>
      <c r="F12" s="24">
        <f>F10*F8</f>
        <v>0</v>
      </c>
      <c r="G12" s="24"/>
      <c r="H12" s="24"/>
      <c r="I12" s="24"/>
      <c r="J12" s="24">
        <f>J10*J8</f>
        <v>514.99161295575061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22345</v>
      </c>
      <c r="C18" s="169" t="s">
        <v>111</v>
      </c>
      <c r="D18" s="231"/>
      <c r="E18" s="16"/>
    </row>
    <row r="19" spans="1:7">
      <c r="A19" s="174" t="s">
        <v>72</v>
      </c>
      <c r="B19" s="38">
        <f>aantalw2001_ander</f>
        <v>44</v>
      </c>
      <c r="C19" s="169" t="s">
        <v>111</v>
      </c>
      <c r="D19" s="232"/>
      <c r="E19" s="16"/>
    </row>
    <row r="20" spans="1:7">
      <c r="A20" s="174" t="s">
        <v>73</v>
      </c>
      <c r="B20" s="38">
        <f>aantalw2001_propaan</f>
        <v>106</v>
      </c>
      <c r="C20" s="170">
        <f>IF(ISERROR(B20/SUM($B$20,$B$21,$B$22)*100),0,B20/SUM($B$20,$B$21,$B$22)*100)</f>
        <v>5.7923497267759565</v>
      </c>
      <c r="D20" s="232"/>
      <c r="E20" s="16"/>
    </row>
    <row r="21" spans="1:7">
      <c r="A21" s="174" t="s">
        <v>74</v>
      </c>
      <c r="B21" s="38">
        <f>aantalw2001_elektriciteit</f>
        <v>1577</v>
      </c>
      <c r="C21" s="170">
        <f>IF(ISERROR(B21/SUM($B$20,$B$21,$B$22)*100),0,B21/SUM($B$20,$B$21,$B$22)*100)</f>
        <v>86.174863387978135</v>
      </c>
      <c r="D21" s="232"/>
      <c r="E21" s="16"/>
    </row>
    <row r="22" spans="1:7">
      <c r="A22" s="174" t="s">
        <v>75</v>
      </c>
      <c r="B22" s="38">
        <f>aantalw2001_hout</f>
        <v>147</v>
      </c>
      <c r="C22" s="170">
        <f>IF(ISERROR(B22/SUM($B$20,$B$21,$B$22)*100),0,B22/SUM($B$20,$B$21,$B$22)*100)</f>
        <v>8.0327868852459012</v>
      </c>
      <c r="D22" s="232"/>
      <c r="E22" s="16"/>
    </row>
    <row r="23" spans="1:7">
      <c r="A23" s="174" t="s">
        <v>76</v>
      </c>
      <c r="B23" s="38">
        <f>aantalw2001_niet_gespec</f>
        <v>648</v>
      </c>
      <c r="C23" s="169" t="s">
        <v>111</v>
      </c>
      <c r="D23" s="231"/>
      <c r="E23" s="16"/>
    </row>
    <row r="24" spans="1:7">
      <c r="A24" s="174" t="s">
        <v>77</v>
      </c>
      <c r="B24" s="38">
        <f>aantalw2001_steenkool</f>
        <v>662</v>
      </c>
      <c r="C24" s="169" t="s">
        <v>111</v>
      </c>
      <c r="D24" s="232"/>
      <c r="E24" s="16"/>
    </row>
    <row r="25" spans="1:7">
      <c r="A25" s="174" t="s">
        <v>78</v>
      </c>
      <c r="B25" s="38">
        <f>aantalw2001_stookolie</f>
        <v>5761</v>
      </c>
      <c r="C25" s="169" t="s">
        <v>111</v>
      </c>
      <c r="D25" s="231"/>
      <c r="E25" s="53"/>
    </row>
    <row r="26" spans="1:7">
      <c r="A26" s="174" t="s">
        <v>79</v>
      </c>
      <c r="B26" s="38">
        <f>aantalw2001_WP</f>
        <v>35</v>
      </c>
      <c r="C26" s="169" t="s">
        <v>111</v>
      </c>
      <c r="D26" s="231"/>
      <c r="E26" s="16"/>
    </row>
    <row r="27" spans="1:7" s="16" customFormat="1">
      <c r="A27" s="174"/>
      <c r="B27" s="30"/>
      <c r="C27" s="37"/>
      <c r="D27" s="231"/>
    </row>
    <row r="28" spans="1:7" s="16" customFormat="1">
      <c r="A28" s="233" t="s">
        <v>665</v>
      </c>
      <c r="B28" s="38">
        <f>aantalHuishoudens2011</f>
        <v>34936</v>
      </c>
      <c r="C28" s="37"/>
      <c r="D28" s="231"/>
    </row>
    <row r="29" spans="1:7" s="16" customFormat="1">
      <c r="A29" s="233" t="s">
        <v>666</v>
      </c>
      <c r="B29" s="38">
        <f>SUM(HH_hh_gas_aantal,HH_rest_gas_aantal)</f>
        <v>28504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28504</v>
      </c>
      <c r="C32" s="170">
        <f>IF(ISERROR(B32/SUM($B$32,$B$34,$B$35,$B$36,$B$38,$B$39)*100),0,B32/SUM($B$32,$B$34,$B$35,$B$36,$B$38,$B$39)*100)</f>
        <v>81.638264356293874</v>
      </c>
      <c r="D32" s="236"/>
      <c r="G32" s="16"/>
    </row>
    <row r="33" spans="1:7">
      <c r="A33" s="174" t="s">
        <v>72</v>
      </c>
      <c r="B33" s="35" t="s">
        <v>111</v>
      </c>
      <c r="C33" s="170"/>
      <c r="D33" s="236"/>
      <c r="G33" s="16"/>
    </row>
    <row r="34" spans="1:7">
      <c r="A34" s="174" t="s">
        <v>73</v>
      </c>
      <c r="B34" s="34">
        <f>IF((($B$28-$B$32-$B$39-$B$77-$B$38)*C20/100)&lt;0,0,($B$28-$B$32-$B$39-$B$77-$B$38)*C20/100)</f>
        <v>368.67726775956282</v>
      </c>
      <c r="C34" s="170">
        <f>IF(ISERROR(B34/SUM($B$32,$B$34,$B$35,$B$36,$B$38,$B$39)*100),0,B34/SUM($B$32,$B$34,$B$35,$B$36,$B$38,$B$39)*100)</f>
        <v>1.0559280187872344</v>
      </c>
      <c r="D34" s="236"/>
      <c r="G34" s="16"/>
    </row>
    <row r="35" spans="1:7">
      <c r="A35" s="174" t="s">
        <v>74</v>
      </c>
      <c r="B35" s="34">
        <f>IF((($B$28-$B$32-$B$39-$B$77-$B$38)*C21/100)&lt;0,0,($B$28-$B$32-$B$39-$B$77-$B$38)*C21/100)</f>
        <v>5484.94387978142</v>
      </c>
      <c r="C35" s="170">
        <f>IF(ISERROR(B35/SUM($B$32,$B$34,$B$35,$B$36,$B$38,$B$39)*100),0,B35/SUM($B$32,$B$34,$B$35,$B$36,$B$38,$B$39)*100)</f>
        <v>15.709419675730835</v>
      </c>
      <c r="D35" s="236"/>
      <c r="G35" s="16"/>
    </row>
    <row r="36" spans="1:7">
      <c r="A36" s="174" t="s">
        <v>75</v>
      </c>
      <c r="B36" s="34">
        <f>IF((($B$28-$B$32-$B$39-$B$77-$B$38)*C22/100)&lt;0,0,($B$28-$B$32-$B$39-$B$77-$B$38)*C22/100)</f>
        <v>511.27885245901632</v>
      </c>
      <c r="C36" s="170">
        <f>IF(ISERROR(B36/SUM($B$32,$B$34,$B$35,$B$36,$B$38,$B$39)*100),0,B36/SUM($B$32,$B$34,$B$35,$B$36,$B$38,$B$39)*100)</f>
        <v>1.4643530071860704</v>
      </c>
      <c r="D36" s="236"/>
      <c r="G36" s="16"/>
    </row>
    <row r="37" spans="1:7">
      <c r="A37" s="174" t="s">
        <v>76</v>
      </c>
      <c r="B37" s="35" t="s">
        <v>111</v>
      </c>
      <c r="C37" s="170"/>
      <c r="D37" s="176"/>
      <c r="G37" s="16"/>
    </row>
    <row r="38" spans="1:7">
      <c r="A38" s="174" t="s">
        <v>77</v>
      </c>
      <c r="B38" s="34">
        <f>IF((B24-(B29-B18)*0.1)&lt;0,0,B24-(B29-B18)*0.1)</f>
        <v>46.099999999999909</v>
      </c>
      <c r="C38" s="170">
        <f>IF(ISERROR(B38/SUM($B$32,$B$34,$B$35,$B$36,$B$38,$B$39)*100),0,B38/SUM($B$32,$B$34,$B$35,$B$36,$B$38,$B$39)*100)</f>
        <v>0.13203494200200463</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28504</v>
      </c>
      <c r="C44" s="35" t="s">
        <v>111</v>
      </c>
      <c r="D44" s="177"/>
    </row>
    <row r="45" spans="1:7">
      <c r="A45" s="174" t="s">
        <v>72</v>
      </c>
      <c r="B45" s="34" t="str">
        <f t="shared" si="0"/>
        <v>-</v>
      </c>
      <c r="C45" s="35" t="s">
        <v>111</v>
      </c>
      <c r="D45" s="177"/>
    </row>
    <row r="46" spans="1:7">
      <c r="A46" s="174" t="s">
        <v>73</v>
      </c>
      <c r="B46" s="34">
        <f t="shared" si="0"/>
        <v>368.67726775956282</v>
      </c>
      <c r="C46" s="35" t="s">
        <v>111</v>
      </c>
      <c r="D46" s="177"/>
    </row>
    <row r="47" spans="1:7">
      <c r="A47" s="174" t="s">
        <v>74</v>
      </c>
      <c r="B47" s="34">
        <f t="shared" si="0"/>
        <v>5484.94387978142</v>
      </c>
      <c r="C47" s="35" t="s">
        <v>111</v>
      </c>
      <c r="D47" s="177"/>
    </row>
    <row r="48" spans="1:7">
      <c r="A48" s="174" t="s">
        <v>75</v>
      </c>
      <c r="B48" s="34">
        <f t="shared" si="0"/>
        <v>511.27885245901632</v>
      </c>
      <c r="C48" s="34">
        <f>B48*10</f>
        <v>5112.7885245901634</v>
      </c>
      <c r="D48" s="237"/>
    </row>
    <row r="49" spans="1:6">
      <c r="A49" s="174" t="s">
        <v>76</v>
      </c>
      <c r="B49" s="34" t="str">
        <f t="shared" si="0"/>
        <v>-</v>
      </c>
      <c r="C49" s="35" t="s">
        <v>111</v>
      </c>
      <c r="D49" s="237"/>
    </row>
    <row r="50" spans="1:6">
      <c r="A50" s="174" t="s">
        <v>77</v>
      </c>
      <c r="B50" s="34">
        <f t="shared" si="0"/>
        <v>46.099999999999909</v>
      </c>
      <c r="C50" s="34">
        <f>B50*2</f>
        <v>92.199999999999818</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206930.29913918409</v>
      </c>
      <c r="C5" s="18">
        <f>IF(ISERROR('Eigen informatie GS &amp; warmtenet'!B58),0,'Eigen informatie GS &amp; warmtenet'!B58)</f>
        <v>0</v>
      </c>
      <c r="D5" s="31">
        <f>SUM(D6:D12)</f>
        <v>222414.68180787622</v>
      </c>
      <c r="E5" s="18">
        <f>SUM(E6:E12)</f>
        <v>1293.992780084234</v>
      </c>
      <c r="F5" s="18">
        <f>SUM(F6:F12)</f>
        <v>37520.112895835009</v>
      </c>
      <c r="G5" s="19"/>
      <c r="H5" s="18"/>
      <c r="I5" s="18"/>
      <c r="J5" s="18">
        <f>SUM(J6:J12)</f>
        <v>0</v>
      </c>
      <c r="K5" s="18"/>
      <c r="L5" s="18"/>
      <c r="M5" s="18"/>
      <c r="N5" s="18">
        <f>SUM(N6:N12)</f>
        <v>9958.3507272026363</v>
      </c>
      <c r="O5" s="18">
        <f>B38*B39*B40</f>
        <v>0</v>
      </c>
      <c r="P5" s="18">
        <f>B46*B47*B48/1000-B46*B47*B48/1000/B49</f>
        <v>0</v>
      </c>
      <c r="R5" s="33"/>
    </row>
    <row r="6" spans="1:18">
      <c r="A6" s="33" t="s">
        <v>54</v>
      </c>
      <c r="B6" s="38">
        <f>B26</f>
        <v>103549.18163592801</v>
      </c>
      <c r="C6" s="34"/>
      <c r="D6" s="38">
        <f>IF(ISERROR(TER_kantoor_gas_kWh/1000),0,TER_kantoor_gas_kWh/1000)*0.902</f>
        <v>81658.533830041779</v>
      </c>
      <c r="E6" s="34">
        <f>$C$26*'E Balans VL '!I12/100/3.6*1000000</f>
        <v>169.94519398285706</v>
      </c>
      <c r="F6" s="34">
        <f>$C$26*('E Balans VL '!L12+'E Balans VL '!N12)/100/3.6*1000000</f>
        <v>12206.012134938521</v>
      </c>
      <c r="G6" s="35"/>
      <c r="H6" s="34"/>
      <c r="I6" s="34"/>
      <c r="J6" s="34">
        <f>$C$26*('E Balans VL '!D12+'E Balans VL '!E12)/100/3.6*1000000</f>
        <v>0</v>
      </c>
      <c r="K6" s="34"/>
      <c r="L6" s="34"/>
      <c r="M6" s="34"/>
      <c r="N6" s="34">
        <f>$C$26*'E Balans VL '!Y12/100/3.6*1000000</f>
        <v>20.921621804020898</v>
      </c>
      <c r="O6" s="34"/>
      <c r="P6" s="34"/>
      <c r="R6" s="33"/>
    </row>
    <row r="7" spans="1:18">
      <c r="A7" s="33" t="s">
        <v>53</v>
      </c>
      <c r="B7" s="38">
        <f t="shared" ref="B7:B12" si="0">B27</f>
        <v>11918.983072834801</v>
      </c>
      <c r="C7" s="34"/>
      <c r="D7" s="38">
        <f>IF(ISERROR(TER_horeca_gas_kWh/1000),0,TER_horeca_gas_kWh/1000)*0.902</f>
        <v>22652.871165196382</v>
      </c>
      <c r="E7" s="34">
        <f>$C$27*'E Balans VL '!I9/100/3.6*1000000</f>
        <v>618.50897387298107</v>
      </c>
      <c r="F7" s="34">
        <f>$C$27*('E Balans VL '!L9+'E Balans VL '!N9)/100/3.6*1000000</f>
        <v>2719.9205856778831</v>
      </c>
      <c r="G7" s="35"/>
      <c r="H7" s="34"/>
      <c r="I7" s="34"/>
      <c r="J7" s="34">
        <f>$C$27*('E Balans VL '!D9+'E Balans VL '!E9)/100/3.6*1000000</f>
        <v>0</v>
      </c>
      <c r="K7" s="34"/>
      <c r="L7" s="34"/>
      <c r="M7" s="34"/>
      <c r="N7" s="34">
        <f>$C$27*'E Balans VL '!Y9/100/3.6*1000000</f>
        <v>1.2586391503790644</v>
      </c>
      <c r="O7" s="34"/>
      <c r="P7" s="34"/>
      <c r="R7" s="33"/>
    </row>
    <row r="8" spans="1:18">
      <c r="A8" s="6" t="s">
        <v>52</v>
      </c>
      <c r="B8" s="38">
        <f t="shared" si="0"/>
        <v>44244.2563265032</v>
      </c>
      <c r="C8" s="34"/>
      <c r="D8" s="38">
        <f>IF(ISERROR(TER_handel_gas_kWh/1000),0,TER_handel_gas_kWh/1000)*0.902</f>
        <v>36882.721998173191</v>
      </c>
      <c r="E8" s="34">
        <f>$C$28*'E Balans VL '!I13/100/3.6*1000000</f>
        <v>238.26075721470036</v>
      </c>
      <c r="F8" s="34">
        <f>$C$28*('E Balans VL '!L13+'E Balans VL '!N13)/100/3.6*1000000</f>
        <v>9022.7186858503683</v>
      </c>
      <c r="G8" s="35"/>
      <c r="H8" s="34"/>
      <c r="I8" s="34"/>
      <c r="J8" s="34">
        <f>$C$28*('E Balans VL '!D13+'E Balans VL '!E13)/100/3.6*1000000</f>
        <v>0</v>
      </c>
      <c r="K8" s="34"/>
      <c r="L8" s="34"/>
      <c r="M8" s="34"/>
      <c r="N8" s="34">
        <f>$C$28*'E Balans VL '!Y13/100/3.6*1000000</f>
        <v>220.00332198934728</v>
      </c>
      <c r="O8" s="34"/>
      <c r="P8" s="34"/>
      <c r="R8" s="33"/>
    </row>
    <row r="9" spans="1:18">
      <c r="A9" s="33" t="s">
        <v>51</v>
      </c>
      <c r="B9" s="38">
        <f t="shared" si="0"/>
        <v>11341.210176642699</v>
      </c>
      <c r="C9" s="34"/>
      <c r="D9" s="38">
        <f>IF(ISERROR(TER_gezond_gas_kWh/1000),0,TER_gezond_gas_kWh/1000)*0.902</f>
        <v>22474.716044715518</v>
      </c>
      <c r="E9" s="34">
        <f>$C$29*'E Balans VL '!I10/100/3.6*1000000</f>
        <v>11.239268256761282</v>
      </c>
      <c r="F9" s="34">
        <f>$C$29*('E Balans VL '!L10+'E Balans VL '!N10)/100/3.6*1000000</f>
        <v>3935.0730334528998</v>
      </c>
      <c r="G9" s="35"/>
      <c r="H9" s="34"/>
      <c r="I9" s="34"/>
      <c r="J9" s="34">
        <f>$C$29*('E Balans VL '!D10+'E Balans VL '!E10)/100/3.6*1000000</f>
        <v>0</v>
      </c>
      <c r="K9" s="34"/>
      <c r="L9" s="34"/>
      <c r="M9" s="34"/>
      <c r="N9" s="34">
        <f>$C$29*'E Balans VL '!Y10/100/3.6*1000000</f>
        <v>97.726225607802874</v>
      </c>
      <c r="O9" s="34"/>
      <c r="P9" s="34"/>
      <c r="R9" s="33"/>
    </row>
    <row r="10" spans="1:18">
      <c r="A10" s="33" t="s">
        <v>50</v>
      </c>
      <c r="B10" s="38">
        <f t="shared" si="0"/>
        <v>14920.2396382936</v>
      </c>
      <c r="C10" s="34"/>
      <c r="D10" s="38">
        <f>IF(ISERROR(TER_ander_gas_kWh/1000),0,TER_ander_gas_kWh/1000)*0.902</f>
        <v>30193.931314826059</v>
      </c>
      <c r="E10" s="34">
        <f>$C$30*'E Balans VL '!I14/100/3.6*1000000</f>
        <v>122.06247195877984</v>
      </c>
      <c r="F10" s="34">
        <f>$C$30*('E Balans VL '!L14+'E Balans VL '!N14)/100/3.6*1000000</f>
        <v>4362.0706421238283</v>
      </c>
      <c r="G10" s="35"/>
      <c r="H10" s="34"/>
      <c r="I10" s="34"/>
      <c r="J10" s="34">
        <f>$C$30*('E Balans VL '!D14+'E Balans VL '!E14)/100/3.6*1000000</f>
        <v>0</v>
      </c>
      <c r="K10" s="34"/>
      <c r="L10" s="34"/>
      <c r="M10" s="34"/>
      <c r="N10" s="34">
        <f>$C$30*'E Balans VL '!Y14/100/3.6*1000000</f>
        <v>8607.020570440045</v>
      </c>
      <c r="O10" s="34"/>
      <c r="P10" s="34"/>
      <c r="R10" s="33"/>
    </row>
    <row r="11" spans="1:18">
      <c r="A11" s="33" t="s">
        <v>55</v>
      </c>
      <c r="B11" s="38">
        <f t="shared" si="0"/>
        <v>5869.2255416395701</v>
      </c>
      <c r="C11" s="34"/>
      <c r="D11" s="38">
        <f>IF(ISERROR(TER_onderwijs_gas_kWh/1000),0,TER_onderwijs_gas_kWh/1000)*0.902</f>
        <v>14314.642588470673</v>
      </c>
      <c r="E11" s="34">
        <f>$C$31*'E Balans VL '!I11/100/3.6*1000000</f>
        <v>3.6175429766541636</v>
      </c>
      <c r="F11" s="34">
        <f>$C$31*('E Balans VL '!L11+'E Balans VL '!N11)/100/3.6*1000000</f>
        <v>2269.1376445646388</v>
      </c>
      <c r="G11" s="35"/>
      <c r="H11" s="34"/>
      <c r="I11" s="34"/>
      <c r="J11" s="34">
        <f>$C$31*('E Balans VL '!D11+'E Balans VL '!E11)/100/3.6*1000000</f>
        <v>0</v>
      </c>
      <c r="K11" s="34"/>
      <c r="L11" s="34"/>
      <c r="M11" s="34"/>
      <c r="N11" s="34">
        <f>$C$31*'E Balans VL '!Y11/100/3.6*1000000</f>
        <v>19.091332938774688</v>
      </c>
      <c r="O11" s="34"/>
      <c r="P11" s="34"/>
      <c r="R11" s="33"/>
    </row>
    <row r="12" spans="1:18">
      <c r="A12" s="33" t="s">
        <v>260</v>
      </c>
      <c r="B12" s="38">
        <f t="shared" si="0"/>
        <v>15087.202747342199</v>
      </c>
      <c r="C12" s="34"/>
      <c r="D12" s="38">
        <f>IF(ISERROR(TER_rest_gas_kWh/1000),0,TER_rest_gas_kWh/1000)*0.902</f>
        <v>14237.26486645262</v>
      </c>
      <c r="E12" s="34">
        <f>$C$32*'E Balans VL '!I8/100/3.6*1000000</f>
        <v>130.35857182149999</v>
      </c>
      <c r="F12" s="34">
        <f>$C$32*('E Balans VL '!L8+'E Balans VL '!N8)/100/3.6*1000000</f>
        <v>3005.18016922687</v>
      </c>
      <c r="G12" s="35"/>
      <c r="H12" s="34"/>
      <c r="I12" s="34"/>
      <c r="J12" s="34">
        <f>$C$32*('E Balans VL '!D8+'E Balans VL '!E8)/100/3.6*1000000</f>
        <v>0</v>
      </c>
      <c r="K12" s="34"/>
      <c r="L12" s="34"/>
      <c r="M12" s="34"/>
      <c r="N12" s="34">
        <f>$C$32*'E Balans VL '!Y8/100/3.6*1000000</f>
        <v>992.32901527226625</v>
      </c>
      <c r="O12" s="34"/>
      <c r="P12" s="34"/>
      <c r="R12" s="33"/>
    </row>
    <row r="13" spans="1:18">
      <c r="A13" s="17" t="s">
        <v>502</v>
      </c>
      <c r="B13" s="250">
        <f ca="1">'lokale energieproductie'!N91+'lokale energieproductie'!N60</f>
        <v>9945</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-28414.285714285717</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216875.29913918409</v>
      </c>
      <c r="C16" s="22">
        <f t="shared" ca="1" si="1"/>
        <v>0</v>
      </c>
      <c r="D16" s="22">
        <f t="shared" ca="1" si="1"/>
        <v>222414.68180787622</v>
      </c>
      <c r="E16" s="22">
        <f t="shared" si="1"/>
        <v>1293.992780084234</v>
      </c>
      <c r="F16" s="22">
        <f t="shared" ca="1" si="1"/>
        <v>37520.112895835009</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0.21255294780045864</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46097.484137139851</v>
      </c>
      <c r="C20" s="24">
        <f t="shared" ref="C20:P20" ca="1" si="2">C16*C18</f>
        <v>0</v>
      </c>
      <c r="D20" s="24">
        <f t="shared" ca="1" si="2"/>
        <v>44927.765725190999</v>
      </c>
      <c r="E20" s="24">
        <f t="shared" si="2"/>
        <v>293.73636107912114</v>
      </c>
      <c r="F20" s="24">
        <f t="shared" ca="1" si="2"/>
        <v>10017.870143187947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103549.18163592801</v>
      </c>
      <c r="C26" s="40">
        <f>IF(ISERROR(B26*3.6/1000000/'E Balans VL '!Z12*100),0,B26*3.6/1000000/'E Balans VL '!Z12*100)</f>
        <v>2.2003458514307694</v>
      </c>
      <c r="D26" s="240" t="s">
        <v>707</v>
      </c>
      <c r="F26" s="6"/>
    </row>
    <row r="27" spans="1:18">
      <c r="A27" s="234" t="s">
        <v>53</v>
      </c>
      <c r="B27" s="34">
        <f>IF(ISERROR(TER_horeca_ele_kWh/1000),0,TER_horeca_ele_kWh/1000)</f>
        <v>11918.983072834801</v>
      </c>
      <c r="C27" s="40">
        <f>IF(ISERROR(B27*3.6/1000000/'E Balans VL '!Z9*100),0,B27*3.6/1000000/'E Balans VL '!Z9*100)</f>
        <v>0.93811613692849527</v>
      </c>
      <c r="D27" s="240" t="s">
        <v>707</v>
      </c>
      <c r="F27" s="6"/>
    </row>
    <row r="28" spans="1:18">
      <c r="A28" s="174" t="s">
        <v>52</v>
      </c>
      <c r="B28" s="34">
        <f>IF(ISERROR(TER_handel_ele_kWh/1000),0,TER_handel_ele_kWh/1000)</f>
        <v>44244.2563265032</v>
      </c>
      <c r="C28" s="40">
        <f>IF(ISERROR(B28*3.6/1000000/'E Balans VL '!Z13*100),0,B28*3.6/1000000/'E Balans VL '!Z13*100)</f>
        <v>1.2393052982965169</v>
      </c>
      <c r="D28" s="240" t="s">
        <v>707</v>
      </c>
      <c r="F28" s="6"/>
    </row>
    <row r="29" spans="1:18">
      <c r="A29" s="234" t="s">
        <v>51</v>
      </c>
      <c r="B29" s="34">
        <f>IF(ISERROR(TER_gezond_ele_kWh/1000),0,TER_gezond_ele_kWh/1000)</f>
        <v>11341.210176642699</v>
      </c>
      <c r="C29" s="40">
        <f>IF(ISERROR(B29*3.6/1000000/'E Balans VL '!Z10*100),0,B29*3.6/1000000/'E Balans VL '!Z10*100)</f>
        <v>1.4508837259764666</v>
      </c>
      <c r="D29" s="240" t="s">
        <v>707</v>
      </c>
      <c r="F29" s="6"/>
    </row>
    <row r="30" spans="1:18">
      <c r="A30" s="234" t="s">
        <v>50</v>
      </c>
      <c r="B30" s="34">
        <f>IF(ISERROR(TER_ander_ele_kWh/1000),0,TER_ander_ele_kWh/1000)</f>
        <v>14920.2396382936</v>
      </c>
      <c r="C30" s="40">
        <f>IF(ISERROR(B30*3.6/1000000/'E Balans VL '!Z14*100),0,B30*3.6/1000000/'E Balans VL '!Z14*100)</f>
        <v>1.1159082048089763</v>
      </c>
      <c r="D30" s="240" t="s">
        <v>707</v>
      </c>
      <c r="F30" s="6"/>
    </row>
    <row r="31" spans="1:18">
      <c r="A31" s="234" t="s">
        <v>55</v>
      </c>
      <c r="B31" s="34">
        <f>IF(ISERROR(TER_onderwijs_ele_kWh/1000),0,TER_onderwijs_ele_kWh/1000)</f>
        <v>5869.2255416395701</v>
      </c>
      <c r="C31" s="40">
        <f>IF(ISERROR(B31*3.6/1000000/'E Balans VL '!Z11*100),0,B31*3.6/1000000/'E Balans VL '!Z11*100)</f>
        <v>1.2392945757075422</v>
      </c>
      <c r="D31" s="240" t="s">
        <v>707</v>
      </c>
    </row>
    <row r="32" spans="1:18">
      <c r="A32" s="234" t="s">
        <v>260</v>
      </c>
      <c r="B32" s="34">
        <f>IF(ISERROR(TER_rest_ele_kWh/1000),0,TER_rest_ele_kWh/1000)</f>
        <v>15087.202747342199</v>
      </c>
      <c r="C32" s="40">
        <f>IF(ISERROR(B32*3.6/1000000/'E Balans VL '!Z8*100),0,B32*3.6/1000000/'E Balans VL '!Z8*100)</f>
        <v>0.1242873512901197</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191961.24600148655</v>
      </c>
      <c r="C5" s="18">
        <f>IF(ISERROR('Eigen informatie GS &amp; warmtenet'!B59),0,'Eigen informatie GS &amp; warmtenet'!B59)</f>
        <v>0</v>
      </c>
      <c r="D5" s="31">
        <f>SUM(D6:D15)</f>
        <v>297088.10718978802</v>
      </c>
      <c r="E5" s="18">
        <f>SUM(E6:E15)</f>
        <v>1851.4178684566282</v>
      </c>
      <c r="F5" s="18">
        <f>SUM(F6:F15)</f>
        <v>38693.582301329312</v>
      </c>
      <c r="G5" s="19"/>
      <c r="H5" s="18"/>
      <c r="I5" s="18"/>
      <c r="J5" s="18">
        <f>SUM(J6:J15)</f>
        <v>1269.2861052135436</v>
      </c>
      <c r="K5" s="18"/>
      <c r="L5" s="18"/>
      <c r="M5" s="18"/>
      <c r="N5" s="18">
        <f>SUM(N6:N15)</f>
        <v>7051.1061443559502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32913.355845885795</v>
      </c>
      <c r="C8" s="34"/>
      <c r="D8" s="38">
        <f>IF( ISERROR(IND_metaal_Gas_kWH/1000),0,IND_metaal_Gas_kWH/1000)*0.902</f>
        <v>4373.3284720609981</v>
      </c>
      <c r="E8" s="34">
        <f>C30*'E Balans VL '!I18/100/3.6*1000000</f>
        <v>299.73600029513261</v>
      </c>
      <c r="F8" s="34">
        <f>C30*'E Balans VL '!L18/100/3.6*1000000+C30*'E Balans VL '!N18/100/3.6*1000000</f>
        <v>4341.0216877550456</v>
      </c>
      <c r="G8" s="35"/>
      <c r="H8" s="34"/>
      <c r="I8" s="34"/>
      <c r="J8" s="41">
        <f>C30*'E Balans VL '!D18/100/3.6*1000000+C30*'E Balans VL '!E18/100/3.6*1000000</f>
        <v>539.73124740065009</v>
      </c>
      <c r="K8" s="34"/>
      <c r="L8" s="34"/>
      <c r="M8" s="34"/>
      <c r="N8" s="34">
        <f>C30*'E Balans VL '!Y18/100/3.6*1000000</f>
        <v>113.11012924523907</v>
      </c>
      <c r="O8" s="34"/>
      <c r="P8" s="34"/>
      <c r="R8" s="33"/>
    </row>
    <row r="9" spans="1:18">
      <c r="A9" s="6" t="s">
        <v>33</v>
      </c>
      <c r="B9" s="38">
        <f t="shared" si="0"/>
        <v>5765.3986480718604</v>
      </c>
      <c r="C9" s="34"/>
      <c r="D9" s="38">
        <f>IF( ISERROR(IND_andere_gas_kWh/1000),0,IND_andere_gas_kWh/1000)*0.902</f>
        <v>5568.3919687868238</v>
      </c>
      <c r="E9" s="34">
        <f>C31*'E Balans VL '!I19/100/3.6*1000000</f>
        <v>33.324865753420497</v>
      </c>
      <c r="F9" s="34">
        <f>C31*'E Balans VL '!L19/100/3.6*1000000+C31*'E Balans VL '!N19/100/3.6*1000000</f>
        <v>4586.6520445461974</v>
      </c>
      <c r="G9" s="35"/>
      <c r="H9" s="34"/>
      <c r="I9" s="34"/>
      <c r="J9" s="41">
        <f>C31*'E Balans VL '!D19/100/3.6*1000000+C31*'E Balans VL '!E19/100/3.6*1000000</f>
        <v>0.5453426718732779</v>
      </c>
      <c r="K9" s="34"/>
      <c r="L9" s="34"/>
      <c r="M9" s="34"/>
      <c r="N9" s="34">
        <f>C31*'E Balans VL '!Y19/100/3.6*1000000</f>
        <v>436.81619714060628</v>
      </c>
      <c r="O9" s="34"/>
      <c r="P9" s="34"/>
      <c r="R9" s="33"/>
    </row>
    <row r="10" spans="1:18">
      <c r="A10" s="6" t="s">
        <v>41</v>
      </c>
      <c r="B10" s="38">
        <f t="shared" si="0"/>
        <v>2789.7160872220097</v>
      </c>
      <c r="C10" s="34"/>
      <c r="D10" s="38">
        <f>IF( ISERROR(IND_voed_gas_kWh/1000),0,IND_voed_gas_kWh/1000)*0.902</f>
        <v>2763.8736927843688</v>
      </c>
      <c r="E10" s="34">
        <f>C32*'E Balans VL '!I20/100/3.6*1000000</f>
        <v>27.430207456801607</v>
      </c>
      <c r="F10" s="34">
        <f>C32*'E Balans VL '!L20/100/3.6*1000000+C32*'E Balans VL '!N20/100/3.6*1000000</f>
        <v>309.83438465804414</v>
      </c>
      <c r="G10" s="35"/>
      <c r="H10" s="34"/>
      <c r="I10" s="34"/>
      <c r="J10" s="41">
        <f>C32*'E Balans VL '!D20/100/3.6*1000000+C32*'E Balans VL '!E20/100/3.6*1000000</f>
        <v>1.099553755464003E-2</v>
      </c>
      <c r="K10" s="34"/>
      <c r="L10" s="34"/>
      <c r="M10" s="34"/>
      <c r="N10" s="34">
        <f>C32*'E Balans VL '!Y20/100/3.6*1000000</f>
        <v>41.309133147824355</v>
      </c>
      <c r="O10" s="34"/>
      <c r="P10" s="34"/>
      <c r="R10" s="33"/>
    </row>
    <row r="11" spans="1:18">
      <c r="A11" s="6" t="s">
        <v>40</v>
      </c>
      <c r="B11" s="38">
        <f t="shared" si="0"/>
        <v>93.721602831049893</v>
      </c>
      <c r="C11" s="34"/>
      <c r="D11" s="38">
        <f>IF( ISERROR(IND_textiel_gas_kWh/1000),0,IND_textiel_gas_kWh/1000)*0.902</f>
        <v>205.11568291554264</v>
      </c>
      <c r="E11" s="34">
        <f>C33*'E Balans VL '!I21/100/3.6*1000000</f>
        <v>0.18249772350985294</v>
      </c>
      <c r="F11" s="34">
        <f>C33*'E Balans VL '!L21/100/3.6*1000000+C33*'E Balans VL '!N21/100/3.6*1000000</f>
        <v>3.0912460091434566</v>
      </c>
      <c r="G11" s="35"/>
      <c r="H11" s="34"/>
      <c r="I11" s="34"/>
      <c r="J11" s="41">
        <f>C33*'E Balans VL '!D21/100/3.6*1000000+C33*'E Balans VL '!E21/100/3.6*1000000</f>
        <v>0</v>
      </c>
      <c r="K11" s="34"/>
      <c r="L11" s="34"/>
      <c r="M11" s="34"/>
      <c r="N11" s="34">
        <f>C33*'E Balans VL '!Y21/100/3.6*1000000</f>
        <v>0.97213952578968632</v>
      </c>
      <c r="O11" s="34"/>
      <c r="P11" s="34"/>
      <c r="R11" s="33"/>
    </row>
    <row r="12" spans="1:18">
      <c r="A12" s="6" t="s">
        <v>37</v>
      </c>
      <c r="B12" s="38">
        <f t="shared" si="0"/>
        <v>126.16304633456501</v>
      </c>
      <c r="C12" s="34"/>
      <c r="D12" s="38">
        <f>IF( ISERROR(IND_min_gas_kWh/1000),0,IND_min_gas_kWh/1000)*0.902</f>
        <v>0</v>
      </c>
      <c r="E12" s="34">
        <f>C34*'E Balans VL '!I22/100/3.6*1000000</f>
        <v>3.1984577311011848</v>
      </c>
      <c r="F12" s="34">
        <f>C34*'E Balans VL '!L22/100/3.6*1000000+C34*'E Balans VL '!N22/100/3.6*1000000</f>
        <v>34.909754673461734</v>
      </c>
      <c r="G12" s="35"/>
      <c r="H12" s="34"/>
      <c r="I12" s="34"/>
      <c r="J12" s="41">
        <f>C34*'E Balans VL '!D22/100/3.6*1000000+C34*'E Balans VL '!E22/100/3.6*1000000</f>
        <v>0.83320611057468663</v>
      </c>
      <c r="K12" s="34"/>
      <c r="L12" s="34"/>
      <c r="M12" s="34"/>
      <c r="N12" s="34">
        <f>C34*'E Balans VL '!Y22/100/3.6*1000000</f>
        <v>0</v>
      </c>
      <c r="O12" s="34"/>
      <c r="P12" s="34"/>
      <c r="R12" s="33"/>
    </row>
    <row r="13" spans="1:18">
      <c r="A13" s="6" t="s">
        <v>39</v>
      </c>
      <c r="B13" s="38">
        <f t="shared" si="0"/>
        <v>5473.0182132182699</v>
      </c>
      <c r="C13" s="34"/>
      <c r="D13" s="38">
        <f>IF( ISERROR(IND_papier_gas_kWh/1000),0,IND_papier_gas_kWh/1000)*0.902</f>
        <v>6061.4263301726542</v>
      </c>
      <c r="E13" s="34">
        <f>C35*'E Balans VL '!I23/100/3.6*1000000</f>
        <v>186.41893570558233</v>
      </c>
      <c r="F13" s="34">
        <f>C35*'E Balans VL '!L23/100/3.6*1000000+C35*'E Balans VL '!N23/100/3.6*1000000</f>
        <v>904.01415985113113</v>
      </c>
      <c r="G13" s="35"/>
      <c r="H13" s="34"/>
      <c r="I13" s="34"/>
      <c r="J13" s="41">
        <f>C35*'E Balans VL '!D23/100/3.6*1000000+C35*'E Balans VL '!E23/100/3.6*1000000</f>
        <v>0</v>
      </c>
      <c r="K13" s="34"/>
      <c r="L13" s="34"/>
      <c r="M13" s="34"/>
      <c r="N13" s="34">
        <f>C35*'E Balans VL '!Y23/100/3.6*1000000</f>
        <v>2013.9239274938482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144799.87255792299</v>
      </c>
      <c r="C15" s="34"/>
      <c r="D15" s="38">
        <f>IF( ISERROR(IND_rest_gas_kWh/1000),0,IND_rest_gas_kWh/1000)*0.902</f>
        <v>278115.97104306764</v>
      </c>
      <c r="E15" s="34">
        <f>C37*'E Balans VL '!I15/100/3.6*1000000</f>
        <v>1301.1269037910802</v>
      </c>
      <c r="F15" s="34">
        <f>C37*'E Balans VL '!L15/100/3.6*1000000+C37*'E Balans VL '!N15/100/3.6*1000000</f>
        <v>28514.059023836286</v>
      </c>
      <c r="G15" s="35"/>
      <c r="H15" s="34"/>
      <c r="I15" s="34"/>
      <c r="J15" s="41">
        <f>C37*'E Balans VL '!D15/100/3.6*1000000+C37*'E Balans VL '!E15/100/3.6*1000000</f>
        <v>728.16531349289085</v>
      </c>
      <c r="K15" s="34"/>
      <c r="L15" s="34"/>
      <c r="M15" s="34"/>
      <c r="N15" s="34">
        <f>C37*'E Balans VL '!Y15/100/3.6*1000000</f>
        <v>4444.9746178026426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191961.24600148655</v>
      </c>
      <c r="C18" s="22">
        <f>C5+C16</f>
        <v>0</v>
      </c>
      <c r="D18" s="22">
        <f>MAX((D5+D16),0)</f>
        <v>297088.10718978802</v>
      </c>
      <c r="E18" s="22">
        <f>MAX((E5+E16),0)</f>
        <v>1851.4178684566282</v>
      </c>
      <c r="F18" s="22">
        <f>MAX((F5+F16),0)</f>
        <v>38693.582301329312</v>
      </c>
      <c r="G18" s="22"/>
      <c r="H18" s="22"/>
      <c r="I18" s="22"/>
      <c r="J18" s="22">
        <f>MAX((J5+J16),0)</f>
        <v>1269.2861052135436</v>
      </c>
      <c r="K18" s="22"/>
      <c r="L18" s="22">
        <f>MAX((L5+L16),0)</f>
        <v>0</v>
      </c>
      <c r="M18" s="22"/>
      <c r="N18" s="22">
        <f>MAX((N5+N16),0)</f>
        <v>7051.1061443559502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0.21255294780045864</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40801.928701064971</v>
      </c>
      <c r="C22" s="24">
        <f ca="1">C18*C20</f>
        <v>0</v>
      </c>
      <c r="D22" s="24">
        <f>D18*D20</f>
        <v>60011.797652337184</v>
      </c>
      <c r="E22" s="24">
        <f>E18*E20</f>
        <v>420.27185613965463</v>
      </c>
      <c r="F22" s="24">
        <f>F18*F20</f>
        <v>10331.186474454928</v>
      </c>
      <c r="G22" s="24"/>
      <c r="H22" s="24"/>
      <c r="I22" s="24"/>
      <c r="J22" s="24">
        <f>J18*J20</f>
        <v>449.32728124559441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32913.355845885795</v>
      </c>
      <c r="C30" s="40">
        <f>IF(ISERROR(B30*3.6/1000000/'E Balans VL '!Z18*100),0,B30*3.6/1000000/'E Balans VL '!Z18*100)</f>
        <v>1.8314081631013155</v>
      </c>
      <c r="D30" s="240" t="s">
        <v>707</v>
      </c>
    </row>
    <row r="31" spans="1:18">
      <c r="A31" s="6" t="s">
        <v>33</v>
      </c>
      <c r="B31" s="38">
        <f>IF( ISERROR(IND_ander_ele_kWh/1000),0,IND_ander_ele_kWh/1000)</f>
        <v>5765.3986480718604</v>
      </c>
      <c r="C31" s="40">
        <f>IF(ISERROR(B31*3.6/1000000/'E Balans VL '!Z19*100),0,B31*3.6/1000000/'E Balans VL '!Z19*100)</f>
        <v>0.26801824146673048</v>
      </c>
      <c r="D31" s="240" t="s">
        <v>707</v>
      </c>
    </row>
    <row r="32" spans="1:18">
      <c r="A32" s="174" t="s">
        <v>41</v>
      </c>
      <c r="B32" s="38">
        <f>IF( ISERROR(IND_voed_ele_kWh/1000),0,IND_voed_ele_kWh/1000)</f>
        <v>2789.7160872220097</v>
      </c>
      <c r="C32" s="40">
        <f>IF(ISERROR(B32*3.6/1000000/'E Balans VL '!Z20*100),0,B32*3.6/1000000/'E Balans VL '!Z20*100)</f>
        <v>9.8610829613054549E-2</v>
      </c>
      <c r="D32" s="240" t="s">
        <v>707</v>
      </c>
    </row>
    <row r="33" spans="1:5">
      <c r="A33" s="174" t="s">
        <v>40</v>
      </c>
      <c r="B33" s="38">
        <f>IF( ISERROR(IND_textiel_ele_kWh/1000),0,IND_textiel_ele_kWh/1000)</f>
        <v>93.721602831049893</v>
      </c>
      <c r="C33" s="40">
        <f>IF(ISERROR(B33*3.6/1000000/'E Balans VL '!Z21*100),0,B33*3.6/1000000/'E Balans VL '!Z21*100)</f>
        <v>1.2658524587994614E-2</v>
      </c>
      <c r="D33" s="240" t="s">
        <v>707</v>
      </c>
    </row>
    <row r="34" spans="1:5">
      <c r="A34" s="174" t="s">
        <v>37</v>
      </c>
      <c r="B34" s="38">
        <f>IF( ISERROR(IND_min_ele_kWh/1000),0,IND_min_ele_kWh/1000)</f>
        <v>126.16304633456501</v>
      </c>
      <c r="C34" s="40">
        <f>IF(ISERROR(B34*3.6/1000000/'E Balans VL '!Z22*100),0,B34*3.6/1000000/'E Balans VL '!Z22*100)</f>
        <v>2.5355214635533876E-2</v>
      </c>
      <c r="D34" s="240" t="s">
        <v>707</v>
      </c>
    </row>
    <row r="35" spans="1:5">
      <c r="A35" s="174" t="s">
        <v>39</v>
      </c>
      <c r="B35" s="38">
        <f>IF( ISERROR(IND_papier_ele_kWh/1000),0,IND_papier_ele_kWh/1000)</f>
        <v>5473.0182132182699</v>
      </c>
      <c r="C35" s="40">
        <f>IF(ISERROR(B35*3.6/1000000/'E Balans VL '!Z22*100),0,B35*3.6/1000000/'E Balans VL '!Z22*100)</f>
        <v>1.0999223269572915</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144799.87255792299</v>
      </c>
      <c r="C37" s="40">
        <f>IF(ISERROR(B37*3.6/1000000/'E Balans VL '!Z15*100),0,B37*3.6/1000000/'E Balans VL '!Z15*100)</f>
        <v>1.0934529395692341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1422.1261306212609</v>
      </c>
      <c r="C5" s="18">
        <f>'Eigen informatie GS &amp; warmtenet'!B60</f>
        <v>0</v>
      </c>
      <c r="D5" s="31">
        <f>IF(ISERROR(SUM(LB_lb_gas_kWh,LB_rest_gas_kWh)/1000),0,SUM(LB_lb_gas_kWh,LB_rest_gas_kWh)/1000)*0.902</f>
        <v>1348.0280501905204</v>
      </c>
      <c r="E5" s="18">
        <f>B17*'E Balans VL '!I25/3.6*1000000/100</f>
        <v>13.397381006216413</v>
      </c>
      <c r="F5" s="18">
        <f>B17*('E Balans VL '!L25/3.6*1000000+'E Balans VL '!N25/3.6*1000000)/100</f>
        <v>4640.8695264306662</v>
      </c>
      <c r="G5" s="19"/>
      <c r="H5" s="18"/>
      <c r="I5" s="18"/>
      <c r="J5" s="18">
        <f>('E Balans VL '!D25+'E Balans VL '!E25)/3.6*1000000*landbouw!B17/100</f>
        <v>175.92391957802059</v>
      </c>
      <c r="K5" s="18"/>
      <c r="L5" s="18">
        <f>L6*(-1)</f>
        <v>0</v>
      </c>
      <c r="M5" s="18"/>
      <c r="N5" s="18">
        <f>N6*(-1)</f>
        <v>0</v>
      </c>
      <c r="O5" s="18"/>
      <c r="P5" s="18"/>
      <c r="R5" s="33"/>
    </row>
    <row r="6" spans="1:18">
      <c r="A6" s="17" t="s">
        <v>502</v>
      </c>
      <c r="B6" s="18" t="s">
        <v>211</v>
      </c>
      <c r="C6" s="18">
        <f>'lokale energieproductie'!O92+'lokale energieproductie'!O61</f>
        <v>2.0454545454545454</v>
      </c>
      <c r="D6" s="312">
        <f>('lokale energieproductie'!P61+'lokale energieproductie'!P92)*(-1)</f>
        <v>-2.7272727272727275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1422.1261306212609</v>
      </c>
      <c r="C8" s="22">
        <f>C5+C6</f>
        <v>2.0454545454545454</v>
      </c>
      <c r="D8" s="22">
        <f>MAX((D5+D6),0)</f>
        <v>1345.3007774632476</v>
      </c>
      <c r="E8" s="22">
        <f>MAX((E5+E6),0)</f>
        <v>13.397381006216413</v>
      </c>
      <c r="F8" s="22">
        <f>MAX((F5+F6),0)</f>
        <v>4640.8695264306662</v>
      </c>
      <c r="G8" s="22"/>
      <c r="H8" s="22"/>
      <c r="I8" s="22"/>
      <c r="J8" s="22">
        <f>MAX((J5+J6),0)</f>
        <v>175.92391957802059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0.21255294780045864</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302.27710120760912</v>
      </c>
      <c r="C12" s="24">
        <f ca="1">C8*C10</f>
        <v>0.45909090909090916</v>
      </c>
      <c r="D12" s="24">
        <f>D8*D10</f>
        <v>271.75075704757603</v>
      </c>
      <c r="E12" s="24">
        <f>E8*E10</f>
        <v>3.0412054884111259</v>
      </c>
      <c r="F12" s="24">
        <f>F8*F10</f>
        <v>1239.112163556988</v>
      </c>
      <c r="G12" s="24"/>
      <c r="H12" s="24"/>
      <c r="I12" s="24"/>
      <c r="J12" s="24">
        <f>J8*J10</f>
        <v>62.277067530619284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0.19253315323699594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114.38056731465322</v>
      </c>
      <c r="C26" s="250">
        <f>B26*'GWP N2O_CH4'!B5</f>
        <v>2401.9919136077178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15.367897122502571</v>
      </c>
      <c r="C27" s="250">
        <f>B27*'GWP N2O_CH4'!B5</f>
        <v>322.72583957255398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1.5755876730225329</v>
      </c>
      <c r="C28" s="250">
        <f>B28*'GWP N2O_CH4'!B4</f>
        <v>488.43217863698521</v>
      </c>
      <c r="D28" s="51"/>
    </row>
    <row r="29" spans="1:4">
      <c r="A29" s="42" t="s">
        <v>277</v>
      </c>
      <c r="B29" s="250">
        <f>B34*'ha_N2O bodem landbouw'!B4</f>
        <v>10.639138803636961</v>
      </c>
      <c r="C29" s="250">
        <f>B29*'GWP N2O_CH4'!B4</f>
        <v>3298.1330291274576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2.8722325540535107E-3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4.6652419541682889E-5</v>
      </c>
      <c r="C5" s="447" t="s">
        <v>211</v>
      </c>
      <c r="D5" s="432">
        <f>SUM(D6:D11)</f>
        <v>1.235610696063872E-4</v>
      </c>
      <c r="E5" s="432">
        <f>SUM(E6:E11)</f>
        <v>8.2448277202380998E-3</v>
      </c>
      <c r="F5" s="445" t="s">
        <v>211</v>
      </c>
      <c r="G5" s="432">
        <f>SUM(G6:G11)</f>
        <v>1.6623351747821744</v>
      </c>
      <c r="H5" s="432">
        <f>SUM(H6:H11)</f>
        <v>0.28464698387993642</v>
      </c>
      <c r="I5" s="447" t="s">
        <v>211</v>
      </c>
      <c r="J5" s="447" t="s">
        <v>211</v>
      </c>
      <c r="K5" s="447" t="s">
        <v>211</v>
      </c>
      <c r="L5" s="447" t="s">
        <v>211</v>
      </c>
      <c r="M5" s="432">
        <f>SUM(M6:M11)</f>
        <v>8.7045050377326905E-2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1.6229648016293579E-5</v>
      </c>
      <c r="C6" s="433"/>
      <c r="D6" s="433">
        <f>vkm_2011_GW_PW*SUMIFS(TableVerdeelsleutelVkm[CNG],TableVerdeelsleutelVkm[Voertuigtype],"Lichte voertuigen")*SUMIFS(TableECFTransport[EnergieConsumptieFactor (PJ per km)],TableECFTransport[Index],CONCATENATE($A6,"_CNG_CNG"))</f>
        <v>3.963307225543186E-5</v>
      </c>
      <c r="E6" s="435">
        <f>vkm_2011_GW_PW*SUMIFS(TableVerdeelsleutelVkm[LPG],TableVerdeelsleutelVkm[Voertuigtype],"Lichte voertuigen")*SUMIFS(TableECFTransport[EnergieConsumptieFactor (PJ per km)],TableECFTransport[Index],CONCATENATE($A6,"_LPG_LPG"))</f>
        <v>2.3492437050927047E-3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0.33961081284400391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8.9002237208495663E-2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1.9194081720695959E-2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0.13099111141406777</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5.2849806541399614E-5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5.8356134851306266E-3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3.7969643335109658E-6</v>
      </c>
      <c r="C8" s="433"/>
      <c r="D8" s="435">
        <f>vkm_2011_NGW_PW*SUMIFS(TableVerdeelsleutelVkm[CNG],TableVerdeelsleutelVkm[Voertuigtype],"Lichte voertuigen")*SUMIFS(TableECFTransport[EnergieConsumptieFactor (PJ per km)],TableECFTransport[Index],CONCATENATE($A8,"_CNG_CNG"))</f>
        <v>1.663599274564418E-5</v>
      </c>
      <c r="E8" s="435">
        <f>vkm_2011_NGW_PW*SUMIFS(TableVerdeelsleutelVkm[LPG],TableVerdeelsleutelVkm[Voertuigtype],"Lichte voertuigen")*SUMIFS(TableECFTransport[EnergieConsumptieFactor (PJ per km)],TableECFTransport[Index],CONCATENATE($A8,"_LPG_LPG"))</f>
        <v>9.0464389802941256E-4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0.12354298656203726</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3.5774597516579111E-2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7.1377836901438752E-3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1.5252586459845181E-2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5.3581074545078459E-6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6.7946161311653998E-4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2.6625807191878344E-5</v>
      </c>
      <c r="C10" s="433"/>
      <c r="D10" s="435">
        <f>vkm_2011_SW_PW*SUMIFS(TableVerdeelsleutelVkm[CNG],TableVerdeelsleutelVkm[Voertuigtype],"Lichte voertuigen")*SUMIFS(TableECFTransport[EnergieConsumptieFactor (PJ per km)],TableECFTransport[Index],CONCATENATE($A10,"_CNG_CNG"))</f>
        <v>6.729200460531116E-5</v>
      </c>
      <c r="E10" s="435">
        <f>vkm_2011_SW_PW*SUMIFS(TableVerdeelsleutelVkm[LPG],TableVerdeelsleutelVkm[Voertuigtype],"Lichte voertuigen")*SUMIFS(TableECFTransport[EnergieConsumptieFactor (PJ per km)],TableECFTransport[Index],CONCATENATE($A10,"_LPG_LPG"))</f>
        <v>4.990940117115982E-3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0.65752844593527393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0.15964268576783572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3.6582306217202536E-2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0.39540923156694641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1.6925547303003684E-4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1.7615803651037369E-2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12.959005428245247</v>
      </c>
      <c r="C14" s="22"/>
      <c r="D14" s="22">
        <f t="shared" ref="D14:M14" si="0">((D5)*10^9/3600)+D12</f>
        <v>34.322519335107557</v>
      </c>
      <c r="E14" s="22">
        <f t="shared" si="0"/>
        <v>2290.2299222883612</v>
      </c>
      <c r="F14" s="22"/>
      <c r="G14" s="22">
        <f t="shared" si="0"/>
        <v>461759.77077282622</v>
      </c>
      <c r="H14" s="22">
        <f t="shared" si="0"/>
        <v>79068.606633315663</v>
      </c>
      <c r="I14" s="22"/>
      <c r="J14" s="22"/>
      <c r="K14" s="22"/>
      <c r="L14" s="22"/>
      <c r="M14" s="22">
        <f t="shared" si="0"/>
        <v>24179.180660368584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0.21255294780045864</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2.7544748043356719</v>
      </c>
      <c r="C18" s="24"/>
      <c r="D18" s="24">
        <f t="shared" ref="D18:M18" si="1">D14*D16</f>
        <v>6.933148905691727</v>
      </c>
      <c r="E18" s="24">
        <f t="shared" si="1"/>
        <v>519.88219235945803</v>
      </c>
      <c r="F18" s="24"/>
      <c r="G18" s="24">
        <f t="shared" si="1"/>
        <v>123289.8587963446</v>
      </c>
      <c r="H18" s="24">
        <f t="shared" si="1"/>
        <v>19688.083051695601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4.1761414695485652E-2</v>
      </c>
      <c r="H50" s="323">
        <f t="shared" si="2"/>
        <v>0</v>
      </c>
      <c r="I50" s="323">
        <f t="shared" si="2"/>
        <v>0</v>
      </c>
      <c r="J50" s="323">
        <f t="shared" si="2"/>
        <v>0</v>
      </c>
      <c r="K50" s="323">
        <f t="shared" si="2"/>
        <v>0</v>
      </c>
      <c r="L50" s="323">
        <f t="shared" si="2"/>
        <v>0</v>
      </c>
      <c r="M50" s="323">
        <f t="shared" si="2"/>
        <v>1.8338126090414451E-3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4.1761414695485652E-2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1.8338126090414451E-3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11600.392970968236</v>
      </c>
      <c r="H54" s="22">
        <f t="shared" si="3"/>
        <v>0</v>
      </c>
      <c r="I54" s="22">
        <f t="shared" si="3"/>
        <v>0</v>
      </c>
      <c r="J54" s="22">
        <f t="shared" si="3"/>
        <v>0</v>
      </c>
      <c r="K54" s="22">
        <f t="shared" si="3"/>
        <v>0</v>
      </c>
      <c r="L54" s="22">
        <f t="shared" si="3"/>
        <v>0</v>
      </c>
      <c r="M54" s="22">
        <f t="shared" si="3"/>
        <v>509.39239140040144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0.21255294780045864</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3097.3049232485191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221299.97613918409</v>
      </c>
      <c r="D10" s="688">
        <f ca="1">tertiair!C16</f>
        <v>0</v>
      </c>
      <c r="E10" s="688">
        <f ca="1">tertiair!D16</f>
        <v>222414.68180787622</v>
      </c>
      <c r="F10" s="688">
        <f>tertiair!E16</f>
        <v>1293.992780084234</v>
      </c>
      <c r="G10" s="688">
        <f ca="1">tertiair!F16</f>
        <v>37520.112895835009</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482528.76362297958</v>
      </c>
      <c r="S10" s="68"/>
    </row>
    <row r="11" spans="1:19" s="457" customFormat="1">
      <c r="A11" s="803" t="s">
        <v>225</v>
      </c>
      <c r="B11" s="808"/>
      <c r="C11" s="688">
        <f>huishoudens!B8</f>
        <v>119110.29714426915</v>
      </c>
      <c r="D11" s="688">
        <f>huishoudens!C8</f>
        <v>0</v>
      </c>
      <c r="E11" s="688">
        <f>huishoudens!D8</f>
        <v>411783.2465173169</v>
      </c>
      <c r="F11" s="688">
        <f>huishoudens!E8</f>
        <v>8124.3308058083658</v>
      </c>
      <c r="G11" s="688">
        <f>huishoudens!F8</f>
        <v>0</v>
      </c>
      <c r="H11" s="688">
        <f>huishoudens!G8</f>
        <v>0</v>
      </c>
      <c r="I11" s="688">
        <f>huishoudens!H8</f>
        <v>0</v>
      </c>
      <c r="J11" s="688">
        <f>huishoudens!I8</f>
        <v>0</v>
      </c>
      <c r="K11" s="688">
        <f>huishoudens!J8</f>
        <v>1454.7785676716121</v>
      </c>
      <c r="L11" s="688">
        <f>huishoudens!K8</f>
        <v>0</v>
      </c>
      <c r="M11" s="688">
        <f>huishoudens!L8</f>
        <v>0</v>
      </c>
      <c r="N11" s="688">
        <f>huishoudens!M8</f>
        <v>0</v>
      </c>
      <c r="O11" s="688">
        <f>huishoudens!N8</f>
        <v>36589.283292084532</v>
      </c>
      <c r="P11" s="688">
        <f>huishoudens!O8</f>
        <v>232.9366666666667</v>
      </c>
      <c r="Q11" s="689">
        <f>huishoudens!P8</f>
        <v>400.4</v>
      </c>
      <c r="R11" s="691">
        <f>SUM(C11:Q11)</f>
        <v>577695.27299381734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191961.24600148655</v>
      </c>
      <c r="D13" s="688">
        <f>industrie!C18</f>
        <v>0</v>
      </c>
      <c r="E13" s="688">
        <f>industrie!D18</f>
        <v>297088.10718978802</v>
      </c>
      <c r="F13" s="688">
        <f>industrie!E18</f>
        <v>1851.4178684566282</v>
      </c>
      <c r="G13" s="688">
        <f>industrie!F18</f>
        <v>38693.582301329312</v>
      </c>
      <c r="H13" s="688">
        <f>industrie!G18</f>
        <v>0</v>
      </c>
      <c r="I13" s="688">
        <f>industrie!H18</f>
        <v>0</v>
      </c>
      <c r="J13" s="688">
        <f>industrie!I18</f>
        <v>0</v>
      </c>
      <c r="K13" s="688">
        <f>industrie!J18</f>
        <v>1269.2861052135436</v>
      </c>
      <c r="L13" s="688">
        <f>industrie!K18</f>
        <v>0</v>
      </c>
      <c r="M13" s="688">
        <f>industrie!L18</f>
        <v>0</v>
      </c>
      <c r="N13" s="688">
        <f>industrie!M18</f>
        <v>0</v>
      </c>
      <c r="O13" s="688">
        <f>industrie!N18</f>
        <v>7051.1061443559502</v>
      </c>
      <c r="P13" s="688">
        <f>industrie!O18</f>
        <v>0</v>
      </c>
      <c r="Q13" s="689">
        <f>industrie!P18</f>
        <v>0</v>
      </c>
      <c r="R13" s="691">
        <f>SUM(C13:Q13)</f>
        <v>537914.74561063002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532371.51928493986</v>
      </c>
      <c r="D16" s="721">
        <f t="shared" ref="D16:R16" ca="1" si="0">SUM(D9:D15)</f>
        <v>0</v>
      </c>
      <c r="E16" s="721">
        <f t="shared" ca="1" si="0"/>
        <v>931286.03551498114</v>
      </c>
      <c r="F16" s="721">
        <f t="shared" si="0"/>
        <v>11269.741454349229</v>
      </c>
      <c r="G16" s="721">
        <f t="shared" ca="1" si="0"/>
        <v>76213.695197164314</v>
      </c>
      <c r="H16" s="721">
        <f t="shared" si="0"/>
        <v>0</v>
      </c>
      <c r="I16" s="721">
        <f t="shared" si="0"/>
        <v>0</v>
      </c>
      <c r="J16" s="721">
        <f t="shared" si="0"/>
        <v>0</v>
      </c>
      <c r="K16" s="721">
        <f t="shared" si="0"/>
        <v>2724.0646728851557</v>
      </c>
      <c r="L16" s="721">
        <f t="shared" si="0"/>
        <v>0</v>
      </c>
      <c r="M16" s="721">
        <f t="shared" ca="1" si="0"/>
        <v>0</v>
      </c>
      <c r="N16" s="721">
        <f t="shared" si="0"/>
        <v>0</v>
      </c>
      <c r="O16" s="721">
        <f t="shared" ca="1" si="0"/>
        <v>43640.389436440484</v>
      </c>
      <c r="P16" s="721">
        <f t="shared" si="0"/>
        <v>232.9366666666667</v>
      </c>
      <c r="Q16" s="721">
        <f t="shared" si="0"/>
        <v>400.4</v>
      </c>
      <c r="R16" s="721">
        <f t="shared" ca="1" si="0"/>
        <v>1598138.7822274268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11600.392970968236</v>
      </c>
      <c r="I19" s="688">
        <f>transport!H54</f>
        <v>0</v>
      </c>
      <c r="J19" s="688">
        <f>transport!I54</f>
        <v>0</v>
      </c>
      <c r="K19" s="688">
        <f>transport!J54</f>
        <v>0</v>
      </c>
      <c r="L19" s="688">
        <f>transport!K54</f>
        <v>0</v>
      </c>
      <c r="M19" s="688">
        <f>transport!L54</f>
        <v>0</v>
      </c>
      <c r="N19" s="688">
        <f>transport!M54</f>
        <v>509.39239140040144</v>
      </c>
      <c r="O19" s="688">
        <f>transport!N54</f>
        <v>0</v>
      </c>
      <c r="P19" s="688">
        <f>transport!O54</f>
        <v>0</v>
      </c>
      <c r="Q19" s="689">
        <f>transport!P54</f>
        <v>0</v>
      </c>
      <c r="R19" s="691">
        <f>SUM(C19:Q19)</f>
        <v>12109.785362368637</v>
      </c>
      <c r="S19" s="68"/>
    </row>
    <row r="20" spans="1:19" s="457" customFormat="1">
      <c r="A20" s="803" t="s">
        <v>307</v>
      </c>
      <c r="B20" s="808"/>
      <c r="C20" s="688">
        <f>transport!B14</f>
        <v>12.959005428245247</v>
      </c>
      <c r="D20" s="688">
        <f>transport!C14</f>
        <v>0</v>
      </c>
      <c r="E20" s="688">
        <f>transport!D14</f>
        <v>34.322519335107557</v>
      </c>
      <c r="F20" s="688">
        <f>transport!E14</f>
        <v>2290.2299222883612</v>
      </c>
      <c r="G20" s="688">
        <f>transport!F14</f>
        <v>0</v>
      </c>
      <c r="H20" s="688">
        <f>transport!G14</f>
        <v>461759.77077282622</v>
      </c>
      <c r="I20" s="688">
        <f>transport!H14</f>
        <v>79068.606633315663</v>
      </c>
      <c r="J20" s="688">
        <f>transport!I14</f>
        <v>0</v>
      </c>
      <c r="K20" s="688">
        <f>transport!J14</f>
        <v>0</v>
      </c>
      <c r="L20" s="688">
        <f>transport!K14</f>
        <v>0</v>
      </c>
      <c r="M20" s="688">
        <f>transport!L14</f>
        <v>0</v>
      </c>
      <c r="N20" s="688">
        <f>transport!M14</f>
        <v>24179.180660368584</v>
      </c>
      <c r="O20" s="688">
        <f>transport!N14</f>
        <v>0</v>
      </c>
      <c r="P20" s="688">
        <f>transport!O14</f>
        <v>0</v>
      </c>
      <c r="Q20" s="689">
        <f>transport!P14</f>
        <v>0</v>
      </c>
      <c r="R20" s="691">
        <f>SUM(C20:Q20)</f>
        <v>567345.06951356214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12.959005428245247</v>
      </c>
      <c r="D22" s="806">
        <f t="shared" ref="D22:R22" si="1">SUM(D18:D21)</f>
        <v>0</v>
      </c>
      <c r="E22" s="806">
        <f t="shared" si="1"/>
        <v>34.322519335107557</v>
      </c>
      <c r="F22" s="806">
        <f t="shared" si="1"/>
        <v>2290.2299222883612</v>
      </c>
      <c r="G22" s="806">
        <f t="shared" si="1"/>
        <v>0</v>
      </c>
      <c r="H22" s="806">
        <f t="shared" si="1"/>
        <v>473360.16374379443</v>
      </c>
      <c r="I22" s="806">
        <f t="shared" si="1"/>
        <v>79068.606633315663</v>
      </c>
      <c r="J22" s="806">
        <f t="shared" si="1"/>
        <v>0</v>
      </c>
      <c r="K22" s="806">
        <f t="shared" si="1"/>
        <v>0</v>
      </c>
      <c r="L22" s="806">
        <f t="shared" si="1"/>
        <v>0</v>
      </c>
      <c r="M22" s="806">
        <f t="shared" si="1"/>
        <v>0</v>
      </c>
      <c r="N22" s="806">
        <f t="shared" si="1"/>
        <v>24688.573051768984</v>
      </c>
      <c r="O22" s="806">
        <f t="shared" si="1"/>
        <v>0</v>
      </c>
      <c r="P22" s="806">
        <f t="shared" si="1"/>
        <v>0</v>
      </c>
      <c r="Q22" s="806">
        <f t="shared" si="1"/>
        <v>0</v>
      </c>
      <c r="R22" s="806">
        <f t="shared" si="1"/>
        <v>579454.85487593082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1422.1261306212609</v>
      </c>
      <c r="D24" s="688">
        <f>+landbouw!C8</f>
        <v>2.0454545454545454</v>
      </c>
      <c r="E24" s="688">
        <f>+landbouw!D8</f>
        <v>1345.3007774632476</v>
      </c>
      <c r="F24" s="688">
        <f>+landbouw!E8</f>
        <v>13.397381006216413</v>
      </c>
      <c r="G24" s="688">
        <f>+landbouw!F8</f>
        <v>4640.8695264306662</v>
      </c>
      <c r="H24" s="688">
        <f>+landbouw!G8</f>
        <v>0</v>
      </c>
      <c r="I24" s="688">
        <f>+landbouw!H8</f>
        <v>0</v>
      </c>
      <c r="J24" s="688">
        <f>+landbouw!I8</f>
        <v>0</v>
      </c>
      <c r="K24" s="688">
        <f>+landbouw!J8</f>
        <v>175.92391957802059</v>
      </c>
      <c r="L24" s="688">
        <f>+landbouw!K8</f>
        <v>0</v>
      </c>
      <c r="M24" s="688">
        <f>+landbouw!L8</f>
        <v>0</v>
      </c>
      <c r="N24" s="688">
        <f>+landbouw!M8</f>
        <v>0</v>
      </c>
      <c r="O24" s="688">
        <f>+landbouw!N8</f>
        <v>0</v>
      </c>
      <c r="P24" s="688">
        <f>+landbouw!O8</f>
        <v>0</v>
      </c>
      <c r="Q24" s="689">
        <f>+landbouw!P8</f>
        <v>0</v>
      </c>
      <c r="R24" s="691">
        <f>SUM(C24:Q24)</f>
        <v>7599.6631896448671</v>
      </c>
      <c r="S24" s="68"/>
    </row>
    <row r="25" spans="1:19" s="457" customFormat="1" ht="15" thickBot="1">
      <c r="A25" s="825" t="s">
        <v>912</v>
      </c>
      <c r="B25" s="1001"/>
      <c r="C25" s="1002">
        <f>IF(Onbekend_ele_kWh="---",0,Onbekend_ele_kWh)/1000+IF(REST_rest_ele_kWh="---",0,REST_rest_ele_kWh)/1000</f>
        <v>6465.0358821835098</v>
      </c>
      <c r="D25" s="1002"/>
      <c r="E25" s="1002">
        <f>IF(onbekend_gas_kWh="---",0,onbekend_gas_kWh)/1000+IF(REST_rest_gas_kWh="---",0,REST_rest_gas_kWh)/1000</f>
        <v>31963.997644987699</v>
      </c>
      <c r="F25" s="1002"/>
      <c r="G25" s="1002"/>
      <c r="H25" s="1002"/>
      <c r="I25" s="1002"/>
      <c r="J25" s="1002"/>
      <c r="K25" s="1002"/>
      <c r="L25" s="1002"/>
      <c r="M25" s="1002"/>
      <c r="N25" s="1002"/>
      <c r="O25" s="1002"/>
      <c r="P25" s="1002"/>
      <c r="Q25" s="1003"/>
      <c r="R25" s="691">
        <f>SUM(C25:Q25)</f>
        <v>38429.03352717121</v>
      </c>
      <c r="S25" s="68"/>
    </row>
    <row r="26" spans="1:19" s="457" customFormat="1" ht="15.75" thickBot="1">
      <c r="A26" s="694" t="s">
        <v>913</v>
      </c>
      <c r="B26" s="811"/>
      <c r="C26" s="806">
        <f>SUM(C24:C25)</f>
        <v>7887.1620128047707</v>
      </c>
      <c r="D26" s="806">
        <f t="shared" ref="D26:R26" si="2">SUM(D24:D25)</f>
        <v>2.0454545454545454</v>
      </c>
      <c r="E26" s="806">
        <f t="shared" si="2"/>
        <v>33309.298422450949</v>
      </c>
      <c r="F26" s="806">
        <f t="shared" si="2"/>
        <v>13.397381006216413</v>
      </c>
      <c r="G26" s="806">
        <f t="shared" si="2"/>
        <v>4640.8695264306662</v>
      </c>
      <c r="H26" s="806">
        <f t="shared" si="2"/>
        <v>0</v>
      </c>
      <c r="I26" s="806">
        <f t="shared" si="2"/>
        <v>0</v>
      </c>
      <c r="J26" s="806">
        <f t="shared" si="2"/>
        <v>0</v>
      </c>
      <c r="K26" s="806">
        <f t="shared" si="2"/>
        <v>175.92391957802059</v>
      </c>
      <c r="L26" s="806">
        <f t="shared" si="2"/>
        <v>0</v>
      </c>
      <c r="M26" s="806">
        <f t="shared" si="2"/>
        <v>0</v>
      </c>
      <c r="N26" s="806">
        <f t="shared" si="2"/>
        <v>0</v>
      </c>
      <c r="O26" s="806">
        <f t="shared" si="2"/>
        <v>0</v>
      </c>
      <c r="P26" s="806">
        <f t="shared" si="2"/>
        <v>0</v>
      </c>
      <c r="Q26" s="806">
        <f t="shared" si="2"/>
        <v>0</v>
      </c>
      <c r="R26" s="806">
        <f t="shared" si="2"/>
        <v>46028.696716816077</v>
      </c>
      <c r="S26" s="68"/>
    </row>
    <row r="27" spans="1:19" s="457" customFormat="1" ht="17.25" thickTop="1" thickBot="1">
      <c r="A27" s="695" t="s">
        <v>116</v>
      </c>
      <c r="B27" s="798"/>
      <c r="C27" s="696">
        <f ca="1">C22+C16+C26</f>
        <v>540271.64030317287</v>
      </c>
      <c r="D27" s="696">
        <f t="shared" ref="D27:R27" ca="1" si="3">D22+D16+D26</f>
        <v>2.0454545454545454</v>
      </c>
      <c r="E27" s="696">
        <f t="shared" ca="1" si="3"/>
        <v>964629.65645676712</v>
      </c>
      <c r="F27" s="696">
        <f t="shared" si="3"/>
        <v>13573.368757643806</v>
      </c>
      <c r="G27" s="696">
        <f t="shared" ca="1" si="3"/>
        <v>80854.564723594987</v>
      </c>
      <c r="H27" s="696">
        <f t="shared" si="3"/>
        <v>473360.16374379443</v>
      </c>
      <c r="I27" s="696">
        <f t="shared" si="3"/>
        <v>79068.606633315663</v>
      </c>
      <c r="J27" s="696">
        <f t="shared" si="3"/>
        <v>0</v>
      </c>
      <c r="K27" s="696">
        <f t="shared" si="3"/>
        <v>2899.9885924631762</v>
      </c>
      <c r="L27" s="696">
        <f t="shared" si="3"/>
        <v>0</v>
      </c>
      <c r="M27" s="696">
        <f t="shared" ca="1" si="3"/>
        <v>0</v>
      </c>
      <c r="N27" s="696">
        <f t="shared" si="3"/>
        <v>24688.573051768984</v>
      </c>
      <c r="O27" s="696">
        <f t="shared" ca="1" si="3"/>
        <v>43640.389436440484</v>
      </c>
      <c r="P27" s="696">
        <f t="shared" si="3"/>
        <v>232.9366666666667</v>
      </c>
      <c r="Q27" s="696">
        <f t="shared" si="3"/>
        <v>400.4</v>
      </c>
      <c r="R27" s="696">
        <f t="shared" ca="1" si="3"/>
        <v>2223622.3338201735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47037.962276554739</v>
      </c>
      <c r="D40" s="688">
        <f ca="1">tertiair!C20</f>
        <v>0</v>
      </c>
      <c r="E40" s="688">
        <f ca="1">tertiair!D20</f>
        <v>44927.765725190999</v>
      </c>
      <c r="F40" s="688">
        <f>tertiair!E20</f>
        <v>293.73636107912114</v>
      </c>
      <c r="G40" s="688">
        <f ca="1">tertiair!F20</f>
        <v>10017.870143187947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102277.3345060128</v>
      </c>
    </row>
    <row r="41" spans="1:18">
      <c r="A41" s="816" t="s">
        <v>225</v>
      </c>
      <c r="B41" s="823"/>
      <c r="C41" s="688">
        <f ca="1">huishoudens!B12</f>
        <v>25317.244771402959</v>
      </c>
      <c r="D41" s="688">
        <f ca="1">huishoudens!C12</f>
        <v>0</v>
      </c>
      <c r="E41" s="688">
        <f>huishoudens!D12</f>
        <v>83180.215796498014</v>
      </c>
      <c r="F41" s="688">
        <f>huishoudens!E12</f>
        <v>1844.2230929184991</v>
      </c>
      <c r="G41" s="688">
        <f>huishoudens!F12</f>
        <v>0</v>
      </c>
      <c r="H41" s="688">
        <f>huishoudens!G12</f>
        <v>0</v>
      </c>
      <c r="I41" s="688">
        <f>huishoudens!H12</f>
        <v>0</v>
      </c>
      <c r="J41" s="688">
        <f>huishoudens!I12</f>
        <v>0</v>
      </c>
      <c r="K41" s="688">
        <f>huishoudens!J12</f>
        <v>514.99161295575061</v>
      </c>
      <c r="L41" s="688">
        <f>huishoudens!K12</f>
        <v>0</v>
      </c>
      <c r="M41" s="688">
        <f>huishoudens!L12</f>
        <v>0</v>
      </c>
      <c r="N41" s="688">
        <f>huishoudens!M12</f>
        <v>0</v>
      </c>
      <c r="O41" s="688">
        <f>huishoudens!N12</f>
        <v>0</v>
      </c>
      <c r="P41" s="688">
        <f>huishoudens!O12</f>
        <v>0</v>
      </c>
      <c r="Q41" s="763">
        <f>huishoudens!P12</f>
        <v>0</v>
      </c>
      <c r="R41" s="844">
        <f t="shared" ca="1" si="4"/>
        <v>110856.67527377522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40801.928701064971</v>
      </c>
      <c r="D43" s="688">
        <f ca="1">industrie!C22</f>
        <v>0</v>
      </c>
      <c r="E43" s="688">
        <f>industrie!D22</f>
        <v>60011.797652337184</v>
      </c>
      <c r="F43" s="688">
        <f>industrie!E22</f>
        <v>420.27185613965463</v>
      </c>
      <c r="G43" s="688">
        <f>industrie!F22</f>
        <v>10331.186474454928</v>
      </c>
      <c r="H43" s="688">
        <f>industrie!G22</f>
        <v>0</v>
      </c>
      <c r="I43" s="688">
        <f>industrie!H22</f>
        <v>0</v>
      </c>
      <c r="J43" s="688">
        <f>industrie!I22</f>
        <v>0</v>
      </c>
      <c r="K43" s="688">
        <f>industrie!J22</f>
        <v>449.32728124559441</v>
      </c>
      <c r="L43" s="688">
        <f>industrie!K22</f>
        <v>0</v>
      </c>
      <c r="M43" s="688">
        <f>industrie!L22</f>
        <v>0</v>
      </c>
      <c r="N43" s="688">
        <f>industrie!M22</f>
        <v>0</v>
      </c>
      <c r="O43" s="688">
        <f>industrie!N22</f>
        <v>0</v>
      </c>
      <c r="P43" s="688">
        <f>industrie!O22</f>
        <v>0</v>
      </c>
      <c r="Q43" s="763">
        <f>industrie!P22</f>
        <v>0</v>
      </c>
      <c r="R43" s="843">
        <f t="shared" ca="1" si="4"/>
        <v>112014.51196524235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113157.13574902267</v>
      </c>
      <c r="D46" s="721">
        <f t="shared" ref="D46:Q46" ca="1" si="5">SUM(D39:D45)</f>
        <v>0</v>
      </c>
      <c r="E46" s="721">
        <f t="shared" ca="1" si="5"/>
        <v>188119.77917402619</v>
      </c>
      <c r="F46" s="721">
        <f t="shared" si="5"/>
        <v>2558.2313101372747</v>
      </c>
      <c r="G46" s="721">
        <f t="shared" ca="1" si="5"/>
        <v>20349.056617642877</v>
      </c>
      <c r="H46" s="721">
        <f t="shared" si="5"/>
        <v>0</v>
      </c>
      <c r="I46" s="721">
        <f t="shared" si="5"/>
        <v>0</v>
      </c>
      <c r="J46" s="721">
        <f t="shared" si="5"/>
        <v>0</v>
      </c>
      <c r="K46" s="721">
        <f t="shared" si="5"/>
        <v>964.31889420134507</v>
      </c>
      <c r="L46" s="721">
        <f t="shared" si="5"/>
        <v>0</v>
      </c>
      <c r="M46" s="721">
        <f t="shared" ca="1" si="5"/>
        <v>0</v>
      </c>
      <c r="N46" s="721">
        <f t="shared" si="5"/>
        <v>0</v>
      </c>
      <c r="O46" s="721">
        <f t="shared" ca="1" si="5"/>
        <v>0</v>
      </c>
      <c r="P46" s="721">
        <f t="shared" si="5"/>
        <v>0</v>
      </c>
      <c r="Q46" s="721">
        <f t="shared" si="5"/>
        <v>0</v>
      </c>
      <c r="R46" s="721">
        <f ca="1">SUM(R39:R45)</f>
        <v>325148.52174503036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3097.3049232485191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3097.3049232485191</v>
      </c>
    </row>
    <row r="50" spans="1:18">
      <c r="A50" s="819" t="s">
        <v>307</v>
      </c>
      <c r="B50" s="829"/>
      <c r="C50" s="1008">
        <f ca="1">transport!B18</f>
        <v>2.7544748043356719</v>
      </c>
      <c r="D50" s="1008">
        <f>transport!C18</f>
        <v>0</v>
      </c>
      <c r="E50" s="1008">
        <f>transport!D18</f>
        <v>6.933148905691727</v>
      </c>
      <c r="F50" s="1008">
        <f>transport!E18</f>
        <v>519.88219235945803</v>
      </c>
      <c r="G50" s="1008">
        <f>transport!F18</f>
        <v>0</v>
      </c>
      <c r="H50" s="1008">
        <f>transport!G18</f>
        <v>123289.8587963446</v>
      </c>
      <c r="I50" s="1008">
        <f>transport!H18</f>
        <v>19688.083051695601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143507.51166410968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2.7544748043356719</v>
      </c>
      <c r="D52" s="721">
        <f t="shared" ref="D52:Q52" ca="1" si="6">SUM(D48:D51)</f>
        <v>0</v>
      </c>
      <c r="E52" s="721">
        <f t="shared" si="6"/>
        <v>6.933148905691727</v>
      </c>
      <c r="F52" s="721">
        <f t="shared" si="6"/>
        <v>519.88219235945803</v>
      </c>
      <c r="G52" s="721">
        <f t="shared" si="6"/>
        <v>0</v>
      </c>
      <c r="H52" s="721">
        <f t="shared" si="6"/>
        <v>126387.16371959313</v>
      </c>
      <c r="I52" s="721">
        <f t="shared" si="6"/>
        <v>19688.083051695601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146604.81658735819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302.27710120760912</v>
      </c>
      <c r="D54" s="1008">
        <f ca="1">+landbouw!C12</f>
        <v>0.45909090909090916</v>
      </c>
      <c r="E54" s="1008">
        <f>+landbouw!D12</f>
        <v>271.75075704757603</v>
      </c>
      <c r="F54" s="1008">
        <f>+landbouw!E12</f>
        <v>3.0412054884111259</v>
      </c>
      <c r="G54" s="1008">
        <f>+landbouw!F12</f>
        <v>1239.112163556988</v>
      </c>
      <c r="H54" s="1008">
        <f>+landbouw!G12</f>
        <v>0</v>
      </c>
      <c r="I54" s="1008">
        <f>+landbouw!H12</f>
        <v>0</v>
      </c>
      <c r="J54" s="1008">
        <f>+landbouw!I12</f>
        <v>0</v>
      </c>
      <c r="K54" s="1008">
        <f>+landbouw!J12</f>
        <v>62.277067530619284</v>
      </c>
      <c r="L54" s="1008">
        <f>+landbouw!K12</f>
        <v>0</v>
      </c>
      <c r="M54" s="1008">
        <f>+landbouw!L12</f>
        <v>0</v>
      </c>
      <c r="N54" s="1008">
        <f>+landbouw!M12</f>
        <v>0</v>
      </c>
      <c r="O54" s="1008">
        <f>+landbouw!N12</f>
        <v>0</v>
      </c>
      <c r="P54" s="1008">
        <f>+landbouw!O12</f>
        <v>0</v>
      </c>
      <c r="Q54" s="1009">
        <f>+landbouw!P12</f>
        <v>0</v>
      </c>
      <c r="R54" s="720">
        <f ca="1">SUM(C54:Q54)</f>
        <v>1878.9173857402943</v>
      </c>
    </row>
    <row r="55" spans="1:18" ht="15" thickBot="1">
      <c r="A55" s="819" t="s">
        <v>912</v>
      </c>
      <c r="B55" s="829"/>
      <c r="C55" s="1008">
        <f ca="1">C25*'EF ele_warmte'!B12</f>
        <v>1374.1624343938436</v>
      </c>
      <c r="D55" s="1008"/>
      <c r="E55" s="1008">
        <f>E25*EF_CO2_aardgas</f>
        <v>6456.7275242875157</v>
      </c>
      <c r="F55" s="1008"/>
      <c r="G55" s="1008"/>
      <c r="H55" s="1008"/>
      <c r="I55" s="1008"/>
      <c r="J55" s="1008"/>
      <c r="K55" s="1008"/>
      <c r="L55" s="1008"/>
      <c r="M55" s="1008"/>
      <c r="N55" s="1008"/>
      <c r="O55" s="1008"/>
      <c r="P55" s="1008"/>
      <c r="Q55" s="1009"/>
      <c r="R55" s="720">
        <f ca="1">SUM(C55:Q55)</f>
        <v>7830.8899586813595</v>
      </c>
    </row>
    <row r="56" spans="1:18" ht="15.75" thickBot="1">
      <c r="A56" s="817" t="s">
        <v>913</v>
      </c>
      <c r="B56" s="830"/>
      <c r="C56" s="721">
        <f ca="1">SUM(C54:C55)</f>
        <v>1676.4395356014527</v>
      </c>
      <c r="D56" s="721">
        <f t="shared" ref="D56:Q56" ca="1" si="7">SUM(D54:D55)</f>
        <v>0.45909090909090916</v>
      </c>
      <c r="E56" s="721">
        <f t="shared" si="7"/>
        <v>6728.4782813350921</v>
      </c>
      <c r="F56" s="721">
        <f t="shared" si="7"/>
        <v>3.0412054884111259</v>
      </c>
      <c r="G56" s="721">
        <f t="shared" si="7"/>
        <v>1239.112163556988</v>
      </c>
      <c r="H56" s="721">
        <f t="shared" si="7"/>
        <v>0</v>
      </c>
      <c r="I56" s="721">
        <f t="shared" si="7"/>
        <v>0</v>
      </c>
      <c r="J56" s="721">
        <f t="shared" si="7"/>
        <v>0</v>
      </c>
      <c r="K56" s="721">
        <f t="shared" si="7"/>
        <v>62.277067530619284</v>
      </c>
      <c r="L56" s="721">
        <f t="shared" si="7"/>
        <v>0</v>
      </c>
      <c r="M56" s="721">
        <f t="shared" si="7"/>
        <v>0</v>
      </c>
      <c r="N56" s="721">
        <f t="shared" si="7"/>
        <v>0</v>
      </c>
      <c r="O56" s="721">
        <f t="shared" si="7"/>
        <v>0</v>
      </c>
      <c r="P56" s="721">
        <f t="shared" si="7"/>
        <v>0</v>
      </c>
      <c r="Q56" s="722">
        <f t="shared" si="7"/>
        <v>0</v>
      </c>
      <c r="R56" s="723">
        <f ca="1">SUM(R54:R55)</f>
        <v>9709.8073444216534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114836.32975942845</v>
      </c>
      <c r="D61" s="729">
        <f t="shared" ref="D61:Q61" ca="1" si="8">D46+D52+D56</f>
        <v>0.45909090909090916</v>
      </c>
      <c r="E61" s="729">
        <f t="shared" ca="1" si="8"/>
        <v>194855.19060426697</v>
      </c>
      <c r="F61" s="729">
        <f t="shared" si="8"/>
        <v>3081.1547079851434</v>
      </c>
      <c r="G61" s="729">
        <f t="shared" ca="1" si="8"/>
        <v>21588.168781199864</v>
      </c>
      <c r="H61" s="729">
        <f t="shared" si="8"/>
        <v>126387.16371959313</v>
      </c>
      <c r="I61" s="729">
        <f t="shared" si="8"/>
        <v>19688.083051695601</v>
      </c>
      <c r="J61" s="729">
        <f t="shared" si="8"/>
        <v>0</v>
      </c>
      <c r="K61" s="729">
        <f t="shared" si="8"/>
        <v>1026.5959617319643</v>
      </c>
      <c r="L61" s="729">
        <f t="shared" si="8"/>
        <v>0</v>
      </c>
      <c r="M61" s="729">
        <f t="shared" ca="1" si="8"/>
        <v>0</v>
      </c>
      <c r="N61" s="729">
        <f t="shared" si="8"/>
        <v>0</v>
      </c>
      <c r="O61" s="729">
        <f t="shared" ca="1" si="8"/>
        <v>0</v>
      </c>
      <c r="P61" s="729">
        <f t="shared" si="8"/>
        <v>0</v>
      </c>
      <c r="Q61" s="729">
        <f t="shared" si="8"/>
        <v>0</v>
      </c>
      <c r="R61" s="729">
        <f ca="1">R46+R52+R56</f>
        <v>481463.14567681018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0.21255294780045861</v>
      </c>
      <c r="D63" s="773">
        <f t="shared" ca="1" si="9"/>
        <v>0.22444444444444447</v>
      </c>
      <c r="E63" s="1010">
        <f t="shared" ca="1" si="9"/>
        <v>0.20200000000000001</v>
      </c>
      <c r="F63" s="773">
        <f t="shared" si="9"/>
        <v>0.22699999999999995</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315</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10390.24505277669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0.40909090909090912</v>
      </c>
      <c r="D76" s="1020">
        <f>'lokale energieproductie'!C8</f>
        <v>0.45454545454545464</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9.181818181818184E-2</v>
      </c>
      <c r="R76" s="846">
        <v>0</v>
      </c>
    </row>
    <row r="77" spans="1:18" ht="30.75" thickBot="1">
      <c r="A77" s="742" t="s">
        <v>353</v>
      </c>
      <c r="B77" s="739">
        <f>'lokale energieproductie'!B9*IFERROR(SUM(I77:O77)/SUM(D77:O77),0)</f>
        <v>9945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28414.285714285717</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20650.245052776692</v>
      </c>
      <c r="C78" s="744">
        <f>SUM(C72:C77)</f>
        <v>0.40909090909090912</v>
      </c>
      <c r="D78" s="745">
        <f t="shared" ref="D78:H78" si="10">SUM(D76:D77)</f>
        <v>0.45454545454545464</v>
      </c>
      <c r="E78" s="745">
        <f t="shared" si="10"/>
        <v>0</v>
      </c>
      <c r="F78" s="745">
        <f t="shared" si="10"/>
        <v>0</v>
      </c>
      <c r="G78" s="745">
        <f t="shared" si="10"/>
        <v>0</v>
      </c>
      <c r="H78" s="745">
        <f t="shared" si="10"/>
        <v>0</v>
      </c>
      <c r="I78" s="745">
        <f>SUM(I76:I77)</f>
        <v>0</v>
      </c>
      <c r="J78" s="745">
        <f>SUM(J76:J77)</f>
        <v>28414.285714285717</v>
      </c>
      <c r="K78" s="745">
        <f t="shared" ref="K78:L78" si="11">SUM(K76:K77)</f>
        <v>0</v>
      </c>
      <c r="L78" s="745">
        <f t="shared" si="11"/>
        <v>0</v>
      </c>
      <c r="M78" s="745">
        <f>SUM(M76:M77)</f>
        <v>0</v>
      </c>
      <c r="N78" s="745">
        <f>SUM(N76:N77)</f>
        <v>0</v>
      </c>
      <c r="O78" s="854">
        <f>SUM(O76:O77)</f>
        <v>0</v>
      </c>
      <c r="P78" s="746">
        <v>0</v>
      </c>
      <c r="Q78" s="746">
        <f>SUM(Q76:Q77)</f>
        <v>9.181818181818184E-2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2.0454545454545454</v>
      </c>
      <c r="D87" s="766">
        <f>'lokale energieproductie'!C17</f>
        <v>2.2727272727272729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0.45909090909090916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2.0454545454545454</v>
      </c>
      <c r="D90" s="744">
        <f t="shared" ref="D90:H90" si="12">SUM(D87:D89)</f>
        <v>2.2727272727272729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0.45909090909090916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315</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10390.24505277669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0.40909090909090912</v>
      </c>
      <c r="C8" s="558">
        <f>B101</f>
        <v>0.45454545454545464</v>
      </c>
      <c r="D8" s="991"/>
      <c r="E8" s="991">
        <f>E101</f>
        <v>0</v>
      </c>
      <c r="F8" s="992"/>
      <c r="G8" s="559"/>
      <c r="H8" s="991">
        <f>I101</f>
        <v>0</v>
      </c>
      <c r="I8" s="991">
        <f>G101+F101</f>
        <v>0</v>
      </c>
      <c r="J8" s="991">
        <f>H101+D101+C101</f>
        <v>0</v>
      </c>
      <c r="K8" s="991"/>
      <c r="L8" s="991"/>
      <c r="M8" s="991"/>
      <c r="N8" s="560"/>
      <c r="O8" s="561">
        <f>C8*$C$12+D8*$D$12+E8*$E$12+F8*$F$12+G8*$G$12+H8*$H$12+I8*$I$12+J8*$J$12</f>
        <v>9.181818181818184E-2</v>
      </c>
      <c r="P8" s="1245"/>
      <c r="Q8" s="1246"/>
      <c r="S8" s="1028"/>
      <c r="T8" s="1220"/>
      <c r="U8" s="1220"/>
    </row>
    <row r="9" spans="1:21" s="546" customFormat="1" ht="17.45" customHeight="1" thickBot="1">
      <c r="A9" s="562" t="s">
        <v>248</v>
      </c>
      <c r="B9" s="993">
        <f>N89+'Eigen informatie GS &amp; warmtenet'!B12</f>
        <v>9945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20650.654143685781</v>
      </c>
      <c r="C10" s="570">
        <f t="shared" ref="C10:L10" si="0">SUM(C8:C9)</f>
        <v>0.45454545454545464</v>
      </c>
      <c r="D10" s="570">
        <f t="shared" si="0"/>
        <v>0</v>
      </c>
      <c r="E10" s="570">
        <f t="shared" si="0"/>
        <v>0</v>
      </c>
      <c r="F10" s="570">
        <f t="shared" si="0"/>
        <v>0</v>
      </c>
      <c r="G10" s="570">
        <f t="shared" si="0"/>
        <v>0</v>
      </c>
      <c r="H10" s="570">
        <f t="shared" si="0"/>
        <v>0</v>
      </c>
      <c r="I10" s="570">
        <f t="shared" si="0"/>
        <v>0</v>
      </c>
      <c r="J10" s="570">
        <f t="shared" si="0"/>
        <v>28414.285714285717</v>
      </c>
      <c r="K10" s="570">
        <f t="shared" si="0"/>
        <v>0</v>
      </c>
      <c r="L10" s="570">
        <f t="shared" si="0"/>
        <v>0</v>
      </c>
      <c r="M10" s="995"/>
      <c r="N10" s="995"/>
      <c r="O10" s="571">
        <f>SUM(O4:O9)</f>
        <v>9.181818181818184E-2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2.0454545454545454</v>
      </c>
      <c r="C17" s="582">
        <f>B102</f>
        <v>2.2727272727272729</v>
      </c>
      <c r="D17" s="583"/>
      <c r="E17" s="583">
        <f>E102</f>
        <v>0</v>
      </c>
      <c r="F17" s="584"/>
      <c r="G17" s="585"/>
      <c r="H17" s="582">
        <f>I102</f>
        <v>0</v>
      </c>
      <c r="I17" s="583">
        <f>G102+F102</f>
        <v>0</v>
      </c>
      <c r="J17" s="583">
        <f>H102+D102+C102</f>
        <v>0</v>
      </c>
      <c r="K17" s="583"/>
      <c r="L17" s="583"/>
      <c r="M17" s="583"/>
      <c r="N17" s="998"/>
      <c r="O17" s="586">
        <f>C17*$C$22+E17*$E$22+H17*$H$22+I17*$I$22+J17*$J$22+D17*$D$22+F17*$F$22+G17*$G$22+K17*$K$22+L17*$L$22</f>
        <v>0.45909090909090916</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2.0454545454545454</v>
      </c>
      <c r="C20" s="569">
        <f>SUM(C17:C19)</f>
        <v>2.2727272727272729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0.45909090909090916</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12025</v>
      </c>
      <c r="C28" s="789">
        <v>2800</v>
      </c>
      <c r="D28" s="642" t="s">
        <v>948</v>
      </c>
      <c r="E28" s="641" t="s">
        <v>949</v>
      </c>
      <c r="F28" s="641" t="s">
        <v>950</v>
      </c>
      <c r="G28" s="641" t="s">
        <v>951</v>
      </c>
      <c r="H28" s="641" t="s">
        <v>951</v>
      </c>
      <c r="I28" s="641" t="s">
        <v>949</v>
      </c>
      <c r="J28" s="788">
        <v>41201</v>
      </c>
      <c r="K28" s="788">
        <v>41214</v>
      </c>
      <c r="L28" s="641" t="s">
        <v>952</v>
      </c>
      <c r="M28" s="641">
        <v>1</v>
      </c>
      <c r="N28" s="641">
        <v>0.40909090909090912</v>
      </c>
      <c r="O28" s="641">
        <v>2.0454545454545454</v>
      </c>
      <c r="P28" s="641">
        <v>2.7272727272727275</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0.40909090909090912</v>
      </c>
      <c r="O58" s="599">
        <f t="shared" ref="O58:W58" si="2">SUM(O28:O57)</f>
        <v>2.0454545454545454</v>
      </c>
      <c r="P58" s="599">
        <f t="shared" si="2"/>
        <v>2.7272727272727275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0.40909090909090912</v>
      </c>
      <c r="O61" s="604">
        <f t="shared" si="4"/>
        <v>2.0454545454545454</v>
      </c>
      <c r="P61" s="604">
        <f t="shared" si="4"/>
        <v>2.7272727272727275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12025</v>
      </c>
      <c r="C64" s="789">
        <v>2800</v>
      </c>
      <c r="D64" s="644" t="s">
        <v>953</v>
      </c>
      <c r="E64" s="644" t="s">
        <v>954</v>
      </c>
      <c r="F64" s="644" t="s">
        <v>955</v>
      </c>
      <c r="G64" s="644" t="s">
        <v>956</v>
      </c>
      <c r="H64" s="644" t="s">
        <v>957</v>
      </c>
      <c r="I64" s="644" t="s">
        <v>958</v>
      </c>
      <c r="J64" s="788">
        <v>34973</v>
      </c>
      <c r="K64" s="788">
        <v>37681</v>
      </c>
      <c r="L64" s="644" t="s">
        <v>959</v>
      </c>
      <c r="M64" s="644">
        <v>2210</v>
      </c>
      <c r="N64" s="644">
        <v>9945</v>
      </c>
      <c r="O64" s="644">
        <v>0</v>
      </c>
      <c r="P64" s="644">
        <v>0</v>
      </c>
      <c r="Q64" s="644">
        <v>0</v>
      </c>
      <c r="R64" s="644">
        <v>28414.285714285717</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2210</v>
      </c>
      <c r="N89" s="599">
        <f t="shared" ref="N89:W89" si="5">SUM(N64:N88)</f>
        <v>9945</v>
      </c>
      <c r="O89" s="599">
        <f t="shared" si="5"/>
        <v>0</v>
      </c>
      <c r="P89" s="599">
        <f t="shared" si="5"/>
        <v>0</v>
      </c>
      <c r="Q89" s="599">
        <f t="shared" si="5"/>
        <v>0</v>
      </c>
      <c r="R89" s="599">
        <f t="shared" si="5"/>
        <v>28414.285714285717</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2210</v>
      </c>
      <c r="N91" s="599">
        <f t="shared" si="7"/>
        <v>9945</v>
      </c>
      <c r="O91" s="599">
        <f t="shared" si="7"/>
        <v>0</v>
      </c>
      <c r="P91" s="599">
        <f t="shared" si="7"/>
        <v>0</v>
      </c>
      <c r="Q91" s="599">
        <f t="shared" si="7"/>
        <v>0</v>
      </c>
      <c r="R91" s="599">
        <f t="shared" si="7"/>
        <v>28414.285714285717</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0.83333333333333326</v>
      </c>
      <c r="C98" s="624">
        <f>IF(ISERROR(N58/(O58+N58)),0,N58/(N58+O58))</f>
        <v>0.16666666666666669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0.45454545454545464</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2.2727272727272729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119110.29714426915</v>
      </c>
      <c r="C4" s="461">
        <f>huishoudens!C8</f>
        <v>0</v>
      </c>
      <c r="D4" s="461">
        <f>huishoudens!D8</f>
        <v>411783.2465173169</v>
      </c>
      <c r="E4" s="461">
        <f>huishoudens!E8</f>
        <v>8124.3308058083658</v>
      </c>
      <c r="F4" s="461">
        <f>huishoudens!F8</f>
        <v>0</v>
      </c>
      <c r="G4" s="461">
        <f>huishoudens!G8</f>
        <v>0</v>
      </c>
      <c r="H4" s="461">
        <f>huishoudens!H8</f>
        <v>0</v>
      </c>
      <c r="I4" s="461">
        <f>huishoudens!I8</f>
        <v>0</v>
      </c>
      <c r="J4" s="461">
        <f>huishoudens!J8</f>
        <v>1454.7785676716121</v>
      </c>
      <c r="K4" s="461">
        <f>huishoudens!K8</f>
        <v>0</v>
      </c>
      <c r="L4" s="461">
        <f>huishoudens!L8</f>
        <v>0</v>
      </c>
      <c r="M4" s="461">
        <f>huishoudens!M8</f>
        <v>0</v>
      </c>
      <c r="N4" s="461">
        <f>huishoudens!N8</f>
        <v>36589.283292084532</v>
      </c>
      <c r="O4" s="461">
        <f>huishoudens!O8</f>
        <v>232.9366666666667</v>
      </c>
      <c r="P4" s="462">
        <f>huishoudens!P8</f>
        <v>400.4</v>
      </c>
      <c r="Q4" s="463">
        <f>SUM(B4:P4)</f>
        <v>577695.27299381734</v>
      </c>
    </row>
    <row r="5" spans="1:17">
      <c r="A5" s="460" t="s">
        <v>156</v>
      </c>
      <c r="B5" s="461">
        <f ca="1">tertiair!B16</f>
        <v>216875.29913918409</v>
      </c>
      <c r="C5" s="461">
        <f ca="1">tertiair!C16</f>
        <v>0</v>
      </c>
      <c r="D5" s="461">
        <f ca="1">tertiair!D16</f>
        <v>222414.68180787622</v>
      </c>
      <c r="E5" s="461">
        <f>tertiair!E16</f>
        <v>1293.992780084234</v>
      </c>
      <c r="F5" s="461">
        <f ca="1">tertiair!F16</f>
        <v>37520.112895835009</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478104.08662297955</v>
      </c>
    </row>
    <row r="6" spans="1:17">
      <c r="A6" s="460" t="s">
        <v>194</v>
      </c>
      <c r="B6" s="461">
        <f>'openbare verlichting'!B8</f>
        <v>4424.6769999999997</v>
      </c>
      <c r="C6" s="461"/>
      <c r="D6" s="461"/>
      <c r="E6" s="461"/>
      <c r="F6" s="461"/>
      <c r="G6" s="461"/>
      <c r="H6" s="461"/>
      <c r="I6" s="461"/>
      <c r="J6" s="461"/>
      <c r="K6" s="461"/>
      <c r="L6" s="461"/>
      <c r="M6" s="461"/>
      <c r="N6" s="461"/>
      <c r="O6" s="461"/>
      <c r="P6" s="462"/>
      <c r="Q6" s="460">
        <f t="shared" si="0"/>
        <v>4424.6769999999997</v>
      </c>
    </row>
    <row r="7" spans="1:17">
      <c r="A7" s="460" t="s">
        <v>112</v>
      </c>
      <c r="B7" s="461">
        <f>landbouw!B8</f>
        <v>1422.1261306212609</v>
      </c>
      <c r="C7" s="461">
        <f>landbouw!C8</f>
        <v>2.0454545454545454</v>
      </c>
      <c r="D7" s="461">
        <f>landbouw!D8</f>
        <v>1345.3007774632476</v>
      </c>
      <c r="E7" s="461">
        <f>landbouw!E8</f>
        <v>13.397381006216413</v>
      </c>
      <c r="F7" s="461">
        <f>landbouw!F8</f>
        <v>4640.8695264306662</v>
      </c>
      <c r="G7" s="461">
        <f>landbouw!G8</f>
        <v>0</v>
      </c>
      <c r="H7" s="461">
        <f>landbouw!H8</f>
        <v>0</v>
      </c>
      <c r="I7" s="461">
        <f>landbouw!I8</f>
        <v>0</v>
      </c>
      <c r="J7" s="461">
        <f>landbouw!J8</f>
        <v>175.92391957802059</v>
      </c>
      <c r="K7" s="461">
        <f>landbouw!K8</f>
        <v>0</v>
      </c>
      <c r="L7" s="461">
        <f>landbouw!L8</f>
        <v>0</v>
      </c>
      <c r="M7" s="461">
        <f>landbouw!M8</f>
        <v>0</v>
      </c>
      <c r="N7" s="461">
        <f>landbouw!N8</f>
        <v>0</v>
      </c>
      <c r="O7" s="461">
        <f>landbouw!O8</f>
        <v>0</v>
      </c>
      <c r="P7" s="462">
        <f>landbouw!P8</f>
        <v>0</v>
      </c>
      <c r="Q7" s="460">
        <f t="shared" si="0"/>
        <v>7599.6631896448671</v>
      </c>
    </row>
    <row r="8" spans="1:17">
      <c r="A8" s="460" t="s">
        <v>685</v>
      </c>
      <c r="B8" s="461">
        <f>industrie!B18</f>
        <v>191961.24600148655</v>
      </c>
      <c r="C8" s="461">
        <f>industrie!C18</f>
        <v>0</v>
      </c>
      <c r="D8" s="461">
        <f>industrie!D18</f>
        <v>297088.10718978802</v>
      </c>
      <c r="E8" s="461">
        <f>industrie!E18</f>
        <v>1851.4178684566282</v>
      </c>
      <c r="F8" s="461">
        <f>industrie!F18</f>
        <v>38693.582301329312</v>
      </c>
      <c r="G8" s="461">
        <f>industrie!G18</f>
        <v>0</v>
      </c>
      <c r="H8" s="461">
        <f>industrie!H18</f>
        <v>0</v>
      </c>
      <c r="I8" s="461">
        <f>industrie!I18</f>
        <v>0</v>
      </c>
      <c r="J8" s="461">
        <f>industrie!J18</f>
        <v>1269.2861052135436</v>
      </c>
      <c r="K8" s="461">
        <f>industrie!K18</f>
        <v>0</v>
      </c>
      <c r="L8" s="461">
        <f>industrie!L18</f>
        <v>0</v>
      </c>
      <c r="M8" s="461">
        <f>industrie!M18</f>
        <v>0</v>
      </c>
      <c r="N8" s="461">
        <f>industrie!N18</f>
        <v>7051.1061443559502</v>
      </c>
      <c r="O8" s="461">
        <f>industrie!O18</f>
        <v>0</v>
      </c>
      <c r="P8" s="462">
        <f>industrie!P18</f>
        <v>0</v>
      </c>
      <c r="Q8" s="460">
        <f t="shared" si="0"/>
        <v>537914.74561063002</v>
      </c>
    </row>
    <row r="9" spans="1:17" s="466" customFormat="1">
      <c r="A9" s="464" t="s">
        <v>579</v>
      </c>
      <c r="B9" s="465">
        <f>transport!B14</f>
        <v>12.959005428245247</v>
      </c>
      <c r="C9" s="465">
        <f>transport!C14</f>
        <v>0</v>
      </c>
      <c r="D9" s="465">
        <f>transport!D14</f>
        <v>34.322519335107557</v>
      </c>
      <c r="E9" s="465">
        <f>transport!E14</f>
        <v>2290.2299222883612</v>
      </c>
      <c r="F9" s="465">
        <f>transport!F14</f>
        <v>0</v>
      </c>
      <c r="G9" s="465">
        <f>transport!G14</f>
        <v>461759.77077282622</v>
      </c>
      <c r="H9" s="465">
        <f>transport!H14</f>
        <v>79068.606633315663</v>
      </c>
      <c r="I9" s="465">
        <f>transport!I14</f>
        <v>0</v>
      </c>
      <c r="J9" s="465">
        <f>transport!J14</f>
        <v>0</v>
      </c>
      <c r="K9" s="465">
        <f>transport!K14</f>
        <v>0</v>
      </c>
      <c r="L9" s="465">
        <f>transport!L14</f>
        <v>0</v>
      </c>
      <c r="M9" s="465">
        <f>transport!M14</f>
        <v>24179.180660368584</v>
      </c>
      <c r="N9" s="465">
        <f>transport!N14</f>
        <v>0</v>
      </c>
      <c r="O9" s="465">
        <f>transport!O14</f>
        <v>0</v>
      </c>
      <c r="P9" s="465">
        <f>transport!P14</f>
        <v>0</v>
      </c>
      <c r="Q9" s="464">
        <f>SUM(B9:P9)</f>
        <v>567345.06951356214</v>
      </c>
    </row>
    <row r="10" spans="1:17">
      <c r="A10" s="460" t="s">
        <v>569</v>
      </c>
      <c r="B10" s="461">
        <f>transport!B54</f>
        <v>0</v>
      </c>
      <c r="C10" s="461">
        <f>transport!C54</f>
        <v>0</v>
      </c>
      <c r="D10" s="461">
        <f>transport!D54</f>
        <v>0</v>
      </c>
      <c r="E10" s="461">
        <f>transport!E54</f>
        <v>0</v>
      </c>
      <c r="F10" s="461">
        <f>transport!F54</f>
        <v>0</v>
      </c>
      <c r="G10" s="461">
        <f>transport!G54</f>
        <v>11600.392970968236</v>
      </c>
      <c r="H10" s="461">
        <f>transport!H54</f>
        <v>0</v>
      </c>
      <c r="I10" s="461">
        <f>transport!I54</f>
        <v>0</v>
      </c>
      <c r="J10" s="461">
        <f>transport!J54</f>
        <v>0</v>
      </c>
      <c r="K10" s="461">
        <f>transport!K54</f>
        <v>0</v>
      </c>
      <c r="L10" s="461">
        <f>transport!L54</f>
        <v>0</v>
      </c>
      <c r="M10" s="461">
        <f>transport!M54</f>
        <v>509.39239140040144</v>
      </c>
      <c r="N10" s="461">
        <f>transport!N54</f>
        <v>0</v>
      </c>
      <c r="O10" s="461">
        <f>transport!O54</f>
        <v>0</v>
      </c>
      <c r="P10" s="462">
        <f>transport!P54</f>
        <v>0</v>
      </c>
      <c r="Q10" s="460">
        <f t="shared" si="0"/>
        <v>12109.785362368637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6465.0358821835098</v>
      </c>
      <c r="C14" s="468"/>
      <c r="D14" s="468">
        <f>'SEAP template'!E25</f>
        <v>31963.997644987699</v>
      </c>
      <c r="E14" s="468"/>
      <c r="F14" s="468"/>
      <c r="G14" s="468"/>
      <c r="H14" s="468"/>
      <c r="I14" s="468"/>
      <c r="J14" s="468"/>
      <c r="K14" s="468"/>
      <c r="L14" s="468"/>
      <c r="M14" s="468"/>
      <c r="N14" s="468"/>
      <c r="O14" s="468"/>
      <c r="P14" s="469"/>
      <c r="Q14" s="460">
        <f t="shared" si="0"/>
        <v>38429.03352717121</v>
      </c>
    </row>
    <row r="15" spans="1:17" s="473" customFormat="1">
      <c r="A15" s="470" t="s">
        <v>573</v>
      </c>
      <c r="B15" s="471">
        <f ca="1">SUM(B4:B14)</f>
        <v>540271.64030317275</v>
      </c>
      <c r="C15" s="471">
        <f t="shared" ref="C15:Q15" ca="1" si="1">SUM(C4:C14)</f>
        <v>2.0454545454545454</v>
      </c>
      <c r="D15" s="471">
        <f t="shared" ca="1" si="1"/>
        <v>964629.65645676712</v>
      </c>
      <c r="E15" s="471">
        <f t="shared" si="1"/>
        <v>13573.368757643806</v>
      </c>
      <c r="F15" s="471">
        <f t="shared" ca="1" si="1"/>
        <v>80854.564723594987</v>
      </c>
      <c r="G15" s="471">
        <f t="shared" si="1"/>
        <v>473360.16374379443</v>
      </c>
      <c r="H15" s="471">
        <f t="shared" si="1"/>
        <v>79068.606633315663</v>
      </c>
      <c r="I15" s="471">
        <f t="shared" si="1"/>
        <v>0</v>
      </c>
      <c r="J15" s="471">
        <f t="shared" si="1"/>
        <v>2899.9885924631762</v>
      </c>
      <c r="K15" s="471">
        <f t="shared" si="1"/>
        <v>0</v>
      </c>
      <c r="L15" s="471">
        <f t="shared" ca="1" si="1"/>
        <v>0</v>
      </c>
      <c r="M15" s="471">
        <f t="shared" si="1"/>
        <v>24688.573051768984</v>
      </c>
      <c r="N15" s="471">
        <f t="shared" ca="1" si="1"/>
        <v>43640.389436440484</v>
      </c>
      <c r="O15" s="471">
        <f t="shared" si="1"/>
        <v>232.9366666666667</v>
      </c>
      <c r="P15" s="471">
        <f t="shared" si="1"/>
        <v>400.4</v>
      </c>
      <c r="Q15" s="471">
        <f t="shared" ca="1" si="1"/>
        <v>2223622.3338201735</v>
      </c>
    </row>
    <row r="17" spans="1:17">
      <c r="A17" s="474" t="s">
        <v>574</v>
      </c>
      <c r="B17" s="778">
        <f ca="1">huishoudens!B10</f>
        <v>0.21255294780045864</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25317.244771402959</v>
      </c>
      <c r="C22" s="461">
        <f t="shared" ref="C22:C32" ca="1" si="3">C4*$C$17</f>
        <v>0</v>
      </c>
      <c r="D22" s="461">
        <f t="shared" ref="D22:D32" si="4">D4*$D$17</f>
        <v>83180.215796498014</v>
      </c>
      <c r="E22" s="461">
        <f t="shared" ref="E22:E32" si="5">E4*$E$17</f>
        <v>1844.2230929184991</v>
      </c>
      <c r="F22" s="461">
        <f t="shared" ref="F22:F32" si="6">F4*$F$17</f>
        <v>0</v>
      </c>
      <c r="G22" s="461">
        <f t="shared" ref="G22:G32" si="7">G4*$G$17</f>
        <v>0</v>
      </c>
      <c r="H22" s="461">
        <f t="shared" ref="H22:H32" si="8">H4*$H$17</f>
        <v>0</v>
      </c>
      <c r="I22" s="461">
        <f t="shared" ref="I22:I32" si="9">I4*$I$17</f>
        <v>0</v>
      </c>
      <c r="J22" s="461">
        <f t="shared" ref="J22:J32" si="10">J4*$J$17</f>
        <v>514.99161295575061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110856.67527377522</v>
      </c>
    </row>
    <row r="23" spans="1:17">
      <c r="A23" s="460" t="s">
        <v>156</v>
      </c>
      <c r="B23" s="461">
        <f t="shared" ca="1" si="2"/>
        <v>46097.484137139851</v>
      </c>
      <c r="C23" s="461">
        <f t="shared" ca="1" si="3"/>
        <v>0</v>
      </c>
      <c r="D23" s="461">
        <f t="shared" ca="1" si="4"/>
        <v>44927.765725190999</v>
      </c>
      <c r="E23" s="461">
        <f t="shared" si="5"/>
        <v>293.73636107912114</v>
      </c>
      <c r="F23" s="461">
        <f t="shared" ca="1" si="6"/>
        <v>10017.870143187947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101336.85636659792</v>
      </c>
    </row>
    <row r="24" spans="1:17">
      <c r="A24" s="460" t="s">
        <v>194</v>
      </c>
      <c r="B24" s="461">
        <f t="shared" ca="1" si="2"/>
        <v>940.47813941488982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940.47813941488982</v>
      </c>
    </row>
    <row r="25" spans="1:17">
      <c r="A25" s="460" t="s">
        <v>112</v>
      </c>
      <c r="B25" s="461">
        <f t="shared" ca="1" si="2"/>
        <v>302.27710120760912</v>
      </c>
      <c r="C25" s="461">
        <f t="shared" ca="1" si="3"/>
        <v>0.45909090909090916</v>
      </c>
      <c r="D25" s="461">
        <f t="shared" si="4"/>
        <v>271.75075704757603</v>
      </c>
      <c r="E25" s="461">
        <f t="shared" si="5"/>
        <v>3.0412054884111259</v>
      </c>
      <c r="F25" s="461">
        <f t="shared" si="6"/>
        <v>1239.112163556988</v>
      </c>
      <c r="G25" s="461">
        <f t="shared" si="7"/>
        <v>0</v>
      </c>
      <c r="H25" s="461">
        <f t="shared" si="8"/>
        <v>0</v>
      </c>
      <c r="I25" s="461">
        <f t="shared" si="9"/>
        <v>0</v>
      </c>
      <c r="J25" s="461">
        <f t="shared" si="10"/>
        <v>62.277067530619284</v>
      </c>
      <c r="K25" s="461">
        <f t="shared" si="11"/>
        <v>0</v>
      </c>
      <c r="L25" s="461">
        <f t="shared" si="12"/>
        <v>0</v>
      </c>
      <c r="M25" s="461">
        <f t="shared" si="13"/>
        <v>0</v>
      </c>
      <c r="N25" s="461">
        <f t="shared" si="14"/>
        <v>0</v>
      </c>
      <c r="O25" s="461">
        <f t="shared" si="15"/>
        <v>0</v>
      </c>
      <c r="P25" s="462">
        <f t="shared" si="16"/>
        <v>0</v>
      </c>
      <c r="Q25" s="460">
        <f t="shared" ca="1" si="17"/>
        <v>1878.9173857402943</v>
      </c>
    </row>
    <row r="26" spans="1:17">
      <c r="A26" s="460" t="s">
        <v>685</v>
      </c>
      <c r="B26" s="461">
        <f t="shared" ca="1" si="2"/>
        <v>40801.928701064971</v>
      </c>
      <c r="C26" s="461">
        <f t="shared" ca="1" si="3"/>
        <v>0</v>
      </c>
      <c r="D26" s="461">
        <f t="shared" si="4"/>
        <v>60011.797652337184</v>
      </c>
      <c r="E26" s="461">
        <f t="shared" si="5"/>
        <v>420.27185613965463</v>
      </c>
      <c r="F26" s="461">
        <f t="shared" si="6"/>
        <v>10331.186474454928</v>
      </c>
      <c r="G26" s="461">
        <f t="shared" si="7"/>
        <v>0</v>
      </c>
      <c r="H26" s="461">
        <f t="shared" si="8"/>
        <v>0</v>
      </c>
      <c r="I26" s="461">
        <f t="shared" si="9"/>
        <v>0</v>
      </c>
      <c r="J26" s="461">
        <f t="shared" si="10"/>
        <v>449.32728124559441</v>
      </c>
      <c r="K26" s="461">
        <f t="shared" si="11"/>
        <v>0</v>
      </c>
      <c r="L26" s="461">
        <f t="shared" si="12"/>
        <v>0</v>
      </c>
      <c r="M26" s="461">
        <f t="shared" si="13"/>
        <v>0</v>
      </c>
      <c r="N26" s="461">
        <f t="shared" si="14"/>
        <v>0</v>
      </c>
      <c r="O26" s="461">
        <f t="shared" si="15"/>
        <v>0</v>
      </c>
      <c r="P26" s="462">
        <f t="shared" si="16"/>
        <v>0</v>
      </c>
      <c r="Q26" s="460">
        <f t="shared" ca="1" si="17"/>
        <v>112014.51196524235</v>
      </c>
    </row>
    <row r="27" spans="1:17" s="466" customFormat="1">
      <c r="A27" s="464" t="s">
        <v>579</v>
      </c>
      <c r="B27" s="772">
        <f t="shared" ca="1" si="2"/>
        <v>2.7544748043356719</v>
      </c>
      <c r="C27" s="465">
        <f t="shared" ca="1" si="3"/>
        <v>0</v>
      </c>
      <c r="D27" s="465">
        <f t="shared" si="4"/>
        <v>6.933148905691727</v>
      </c>
      <c r="E27" s="465">
        <f t="shared" si="5"/>
        <v>519.88219235945803</v>
      </c>
      <c r="F27" s="465">
        <f t="shared" si="6"/>
        <v>0</v>
      </c>
      <c r="G27" s="465">
        <f t="shared" si="7"/>
        <v>123289.8587963446</v>
      </c>
      <c r="H27" s="465">
        <f t="shared" si="8"/>
        <v>19688.083051695601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143507.51166410968</v>
      </c>
    </row>
    <row r="28" spans="1:17">
      <c r="A28" s="460" t="s">
        <v>569</v>
      </c>
      <c r="B28" s="461">
        <f t="shared" ca="1" si="2"/>
        <v>0</v>
      </c>
      <c r="C28" s="461">
        <f t="shared" ca="1" si="3"/>
        <v>0</v>
      </c>
      <c r="D28" s="461">
        <f t="shared" si="4"/>
        <v>0</v>
      </c>
      <c r="E28" s="461">
        <f t="shared" si="5"/>
        <v>0</v>
      </c>
      <c r="F28" s="461">
        <f t="shared" si="6"/>
        <v>0</v>
      </c>
      <c r="G28" s="461">
        <f t="shared" si="7"/>
        <v>3097.3049232485191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3097.3049232485191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1374.1624343938436</v>
      </c>
      <c r="C32" s="461">
        <f t="shared" ca="1" si="3"/>
        <v>0</v>
      </c>
      <c r="D32" s="461">
        <f t="shared" si="4"/>
        <v>6456.7275242875157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7830.8899586813595</v>
      </c>
    </row>
    <row r="33" spans="1:17" s="473" customFormat="1">
      <c r="A33" s="470" t="s">
        <v>573</v>
      </c>
      <c r="B33" s="471">
        <f ca="1">SUM(B22:B32)</f>
        <v>114836.32975942845</v>
      </c>
      <c r="C33" s="471">
        <f t="shared" ref="C33:Q33" ca="1" si="18">SUM(C22:C32)</f>
        <v>0.45909090909090916</v>
      </c>
      <c r="D33" s="471">
        <f t="shared" ca="1" si="18"/>
        <v>194855.19060426697</v>
      </c>
      <c r="E33" s="471">
        <f t="shared" si="18"/>
        <v>3081.1547079851434</v>
      </c>
      <c r="F33" s="471">
        <f t="shared" ca="1" si="18"/>
        <v>21588.168781199864</v>
      </c>
      <c r="G33" s="471">
        <f t="shared" si="18"/>
        <v>126387.16371959313</v>
      </c>
      <c r="H33" s="471">
        <f t="shared" si="18"/>
        <v>19688.083051695601</v>
      </c>
      <c r="I33" s="471">
        <f t="shared" si="18"/>
        <v>0</v>
      </c>
      <c r="J33" s="471">
        <f t="shared" si="18"/>
        <v>1026.5959617319643</v>
      </c>
      <c r="K33" s="471">
        <f t="shared" si="18"/>
        <v>0</v>
      </c>
      <c r="L33" s="471">
        <f t="shared" ca="1" si="18"/>
        <v>0</v>
      </c>
      <c r="M33" s="471">
        <f t="shared" si="18"/>
        <v>0</v>
      </c>
      <c r="N33" s="471">
        <f t="shared" ca="1" si="18"/>
        <v>0</v>
      </c>
      <c r="O33" s="471">
        <f t="shared" si="18"/>
        <v>0</v>
      </c>
      <c r="P33" s="471">
        <f t="shared" si="18"/>
        <v>0</v>
      </c>
      <c r="Q33" s="471">
        <f t="shared" ca="1" si="18"/>
        <v>481463.14567681029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315</v>
      </c>
      <c r="C5" s="1037"/>
      <c r="D5" s="1037"/>
      <c r="E5" s="1037"/>
      <c r="F5" s="1037"/>
      <c r="G5" s="1037"/>
      <c r="H5" s="1037"/>
      <c r="I5" s="1037"/>
      <c r="J5" s="1037"/>
      <c r="K5" s="1037"/>
      <c r="L5" s="1037"/>
      <c r="M5" s="1037"/>
      <c r="N5" s="1037"/>
      <c r="O5" s="1037"/>
      <c r="P5" s="1038">
        <f>'SEAP template'!Q73</f>
        <v>0</v>
      </c>
    </row>
    <row r="6" spans="1:16">
      <c r="A6" s="1039" t="s">
        <v>251</v>
      </c>
      <c r="B6" s="1037">
        <f>'SEAP template'!B74</f>
        <v>10390.24505277669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0.40909090909090912</v>
      </c>
      <c r="D8" s="1037">
        <f>'SEAP template'!D76</f>
        <v>0.45454545454545464</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9.181818181818184E-2</v>
      </c>
    </row>
    <row r="9" spans="1:16">
      <c r="A9" s="1040" t="s">
        <v>924</v>
      </c>
      <c r="B9" s="1037">
        <f>'SEAP template'!B77</f>
        <v>9945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28414.285714285717</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20650.245052776692</v>
      </c>
      <c r="C10" s="1041">
        <f>SUM(C4:C9)</f>
        <v>0.40909090909090912</v>
      </c>
      <c r="D10" s="1041">
        <f t="shared" ref="D10:H10" si="0">SUM(D8:D9)</f>
        <v>0.45454545454545464</v>
      </c>
      <c r="E10" s="1041">
        <f t="shared" si="0"/>
        <v>0</v>
      </c>
      <c r="F10" s="1041">
        <f t="shared" si="0"/>
        <v>0</v>
      </c>
      <c r="G10" s="1041">
        <f t="shared" si="0"/>
        <v>0</v>
      </c>
      <c r="H10" s="1041">
        <f t="shared" si="0"/>
        <v>0</v>
      </c>
      <c r="I10" s="1041">
        <f>SUM(I8:I9)</f>
        <v>0</v>
      </c>
      <c r="J10" s="1041">
        <f>SUM(J8:J9)</f>
        <v>28414.285714285717</v>
      </c>
      <c r="K10" s="1041">
        <f t="shared" ref="K10:L10" si="1">SUM(K8:K9)</f>
        <v>0</v>
      </c>
      <c r="L10" s="1041">
        <f t="shared" si="1"/>
        <v>0</v>
      </c>
      <c r="M10" s="1041">
        <f>SUM(M8:M9)</f>
        <v>0</v>
      </c>
      <c r="N10" s="1041">
        <f>SUM(N8:N9)</f>
        <v>0</v>
      </c>
      <c r="O10" s="1041">
        <f>SUM(O8:O9)</f>
        <v>0</v>
      </c>
      <c r="P10" s="1041">
        <f>SUM(P8:P9)</f>
        <v>9.181818181818184E-2</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0.21255294780045864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2.0454545454545454</v>
      </c>
      <c r="D17" s="1038">
        <f>'SEAP template'!D87</f>
        <v>2.2727272727272729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0.45909090909090916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2.0454545454545454</v>
      </c>
      <c r="D20" s="1041">
        <f t="shared" ref="D20:H20" si="2">SUM(D17:D19)</f>
        <v>2.2727272727272729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0.45909090909090916</v>
      </c>
    </row>
    <row r="22" spans="1:16">
      <c r="A22" s="474" t="s">
        <v>932</v>
      </c>
      <c r="B22" s="778" t="s">
        <v>926</v>
      </c>
      <c r="C22" s="778">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0.21255294780045864</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2019-08-12T07:52:42Z</dcterms:modified>
</cp:coreProperties>
</file>