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D20" s="1"/>
  <c r="C19"/>
  <c r="B19"/>
  <c r="N18"/>
  <c r="M18"/>
  <c r="L18"/>
  <c r="K18"/>
  <c r="J18"/>
  <c r="I18"/>
  <c r="H18"/>
  <c r="G18"/>
  <c r="F18"/>
  <c r="F20" s="1"/>
  <c r="E18"/>
  <c r="D18"/>
  <c r="C18"/>
  <c r="B18"/>
  <c r="L9"/>
  <c r="L10" s="1"/>
  <c r="K9"/>
  <c r="I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C98"/>
  <c r="I101" s="1"/>
  <c r="H8" s="1"/>
  <c r="H10" s="1"/>
  <c r="B10"/>
  <c r="O18"/>
  <c r="B17"/>
  <c r="B20" s="1"/>
  <c r="B8"/>
  <c r="O19"/>
  <c r="I102"/>
  <c r="H17" s="1"/>
  <c r="H20" s="1"/>
  <c r="E102"/>
  <c r="E17" s="1"/>
  <c r="E20" s="1"/>
  <c r="G102"/>
  <c r="C102"/>
  <c r="H102"/>
  <c r="D102"/>
  <c r="F102"/>
  <c r="B102"/>
  <c r="C17" s="1"/>
  <c r="N6" i="17"/>
  <c r="L6"/>
  <c r="F6"/>
  <c r="D6"/>
  <c r="C6"/>
  <c r="N16" i="16"/>
  <c r="L16"/>
  <c r="F16"/>
  <c r="D16"/>
  <c r="C16"/>
  <c r="B16"/>
  <c r="B13" i="15"/>
  <c r="E101" i="18" l="1"/>
  <c r="E8" s="1"/>
  <c r="E10" s="1"/>
  <c r="G101"/>
  <c r="F101"/>
  <c r="B101"/>
  <c r="C8" s="1"/>
  <c r="C10" s="1"/>
  <c r="C101"/>
  <c r="H101"/>
  <c r="D101"/>
  <c r="C20"/>
  <c r="I8"/>
  <c r="I10" s="1"/>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2"/>
  <c r="P29"/>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B75"/>
  <c r="B7" i="56" s="1"/>
  <c r="B74" i="14"/>
  <c r="B6" i="56" s="1"/>
  <c r="B73" i="14"/>
  <c r="B5" i="56" s="1"/>
  <c r="B72" i="14"/>
  <c r="B4" i="56" s="1"/>
  <c r="Q54" i="14"/>
  <c r="P54"/>
  <c r="L54"/>
  <c r="J54"/>
  <c r="I54"/>
  <c r="H54"/>
  <c r="H56" s="1"/>
  <c r="Q24"/>
  <c r="P24"/>
  <c r="P26" s="1"/>
  <c r="N24"/>
  <c r="L24"/>
  <c r="J24"/>
  <c r="I24"/>
  <c r="I26" s="1"/>
  <c r="H24"/>
  <c r="Q50"/>
  <c r="P50"/>
  <c r="O50"/>
  <c r="M50"/>
  <c r="L50"/>
  <c r="K50"/>
  <c r="J50"/>
  <c r="G50"/>
  <c r="D50"/>
  <c r="Q49"/>
  <c r="Q52" s="1"/>
  <c r="P49"/>
  <c r="P52" s="1"/>
  <c r="Q20"/>
  <c r="P20"/>
  <c r="O20"/>
  <c r="M20"/>
  <c r="L20"/>
  <c r="K20"/>
  <c r="J20"/>
  <c r="G20"/>
  <c r="D20"/>
  <c r="Q19"/>
  <c r="P19"/>
  <c r="O19"/>
  <c r="M19"/>
  <c r="M22" s="1"/>
  <c r="L19"/>
  <c r="K19"/>
  <c r="K22" s="1"/>
  <c r="J19"/>
  <c r="I19"/>
  <c r="G19"/>
  <c r="F19"/>
  <c r="E19"/>
  <c r="D19"/>
  <c r="Q48"/>
  <c r="P48"/>
  <c r="O48"/>
  <c r="M48"/>
  <c r="L48"/>
  <c r="K48"/>
  <c r="J48"/>
  <c r="G48"/>
  <c r="D48"/>
  <c r="Q18"/>
  <c r="Q22" s="1"/>
  <c r="P18"/>
  <c r="P22" s="1"/>
  <c r="O18"/>
  <c r="M18"/>
  <c r="L18"/>
  <c r="L22" s="1"/>
  <c r="K18"/>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Q56"/>
  <c r="I56"/>
  <c r="R44"/>
  <c r="Q26"/>
  <c r="N26"/>
  <c r="J26"/>
  <c r="E25"/>
  <c r="C25"/>
  <c r="B14" i="48" s="1"/>
  <c r="Q14" s="1"/>
  <c r="L26" i="14"/>
  <c r="H26"/>
  <c r="O22"/>
  <c r="G22"/>
  <c r="R12"/>
  <c r="F13" i="15"/>
  <c r="D13"/>
  <c r="C13"/>
  <c r="Q87" i="14" l="1"/>
  <c r="P17" i="56" s="1"/>
  <c r="D17"/>
  <c r="F90" i="14"/>
  <c r="D76"/>
  <c r="B76" s="1"/>
  <c r="Q89"/>
  <c r="P19" i="56" s="1"/>
  <c r="I76" i="14"/>
  <c r="I8" i="56" s="1"/>
  <c r="I10" s="1"/>
  <c r="I20"/>
  <c r="E8"/>
  <c r="E10" s="1"/>
  <c r="C77" i="14"/>
  <c r="C9" i="56" s="1"/>
  <c r="D9"/>
  <c r="Q88" i="14"/>
  <c r="P18" i="56" s="1"/>
  <c r="D18"/>
  <c r="K90" i="14"/>
  <c r="K18" i="56"/>
  <c r="Q11" i="48"/>
  <c r="F78" i="14"/>
  <c r="O10" i="56"/>
  <c r="C88" i="14"/>
  <c r="C18" i="56" s="1"/>
  <c r="N78" i="14"/>
  <c r="N8" i="56"/>
  <c r="N10" s="1"/>
  <c r="M78" i="14"/>
  <c r="M8" i="56"/>
  <c r="M10" s="1"/>
  <c r="H78" i="14"/>
  <c r="H9" i="56"/>
  <c r="H10" s="1"/>
  <c r="K78" i="14"/>
  <c r="K8" i="56"/>
  <c r="K10" s="1"/>
  <c r="O78" i="14"/>
  <c r="O9" i="56"/>
  <c r="L90" i="14"/>
  <c r="L17" i="56"/>
  <c r="L20" s="1"/>
  <c r="G90" i="14"/>
  <c r="G18" i="56"/>
  <c r="G20" s="1"/>
  <c r="O90" i="14"/>
  <c r="O18" i="56"/>
  <c r="O20" s="1"/>
  <c r="K20"/>
  <c r="M20"/>
  <c r="L78" i="14"/>
  <c r="J76"/>
  <c r="N20" i="56"/>
  <c r="D78" i="14"/>
  <c r="Q77"/>
  <c r="O17" i="18"/>
  <c r="O20" s="1"/>
  <c r="J87" i="14"/>
  <c r="B88"/>
  <c r="B18" i="56" s="1"/>
  <c r="C89" i="14"/>
  <c r="C19" i="56" s="1"/>
  <c r="B89" i="14"/>
  <c r="B19" i="56" s="1"/>
  <c r="B77" i="14"/>
  <c r="B9" i="56" s="1"/>
  <c r="O8" i="18"/>
  <c r="O10" s="1"/>
  <c r="N13" i="15"/>
  <c r="L13"/>
  <c r="O24" i="48"/>
  <c r="O30"/>
  <c r="P24"/>
  <c r="P30"/>
  <c r="R9" i="14"/>
  <c r="E78"/>
  <c r="E55"/>
  <c r="R25"/>
  <c r="E90"/>
  <c r="I90"/>
  <c r="M90"/>
  <c r="D90"/>
  <c r="B8" i="56" l="1"/>
  <c r="B10" s="1"/>
  <c r="B78" i="14"/>
  <c r="J90"/>
  <c r="J17" i="56"/>
  <c r="J20" s="1"/>
  <c r="D20"/>
  <c r="J8"/>
  <c r="J10" s="1"/>
  <c r="J78" i="14"/>
  <c r="D10" i="56"/>
  <c r="Q78" i="14"/>
  <c r="B9" i="6" s="1"/>
  <c r="P9" i="56"/>
  <c r="Q90" i="14"/>
  <c r="B17" i="6" s="1"/>
  <c r="I78" i="14"/>
  <c r="C87"/>
  <c r="C17" i="56" s="1"/>
  <c r="C20" s="1"/>
  <c r="D8"/>
  <c r="Q76" i="14"/>
  <c r="P8" i="56" s="1"/>
  <c r="C76" i="14"/>
  <c r="P20" i="56"/>
  <c r="C90" i="14"/>
  <c r="B87"/>
  <c r="C8" i="56" l="1"/>
  <c r="C10" s="1"/>
  <c r="C78" i="14"/>
  <c r="B4" i="6" s="1"/>
  <c r="B90" i="14"/>
  <c r="B17" i="56"/>
  <c r="B20" s="1"/>
  <c r="P10"/>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G26" i="48" l="1"/>
  <c r="G25"/>
  <c r="G32"/>
  <c r="G24"/>
  <c r="G22"/>
  <c r="G29"/>
  <c r="G30"/>
  <c r="G23"/>
  <c r="K28"/>
  <c r="K27"/>
  <c r="K32"/>
  <c r="K31"/>
  <c r="K25"/>
  <c r="K29"/>
  <c r="K26"/>
  <c r="K24"/>
  <c r="K30"/>
  <c r="K22"/>
  <c r="I5"/>
  <c r="J10" i="14"/>
  <c r="J16" s="1"/>
  <c r="J27" s="1"/>
  <c r="J31" i="48"/>
  <c r="J27"/>
  <c r="J32"/>
  <c r="J29"/>
  <c r="J24"/>
  <c r="J30"/>
  <c r="J28"/>
  <c r="Q11" i="14"/>
  <c r="P4" i="48"/>
  <c r="B7"/>
  <c r="C24" i="14"/>
  <c r="C26" s="1"/>
  <c r="P11"/>
  <c r="O4" i="48"/>
  <c r="I31"/>
  <c r="I25"/>
  <c r="I29"/>
  <c r="I26"/>
  <c r="I32"/>
  <c r="I22"/>
  <c r="I24"/>
  <c r="I27"/>
  <c r="I28"/>
  <c r="I30"/>
  <c r="H32"/>
  <c r="H29"/>
  <c r="H26"/>
  <c r="H25"/>
  <c r="H28"/>
  <c r="H22"/>
  <c r="H30"/>
  <c r="H24"/>
  <c r="H23"/>
  <c r="B4"/>
  <c r="C11" i="14"/>
  <c r="N30" i="48"/>
  <c r="N31"/>
  <c r="N28"/>
  <c r="N24"/>
  <c r="N27"/>
  <c r="N32"/>
  <c r="N29"/>
  <c r="C19" i="14"/>
  <c r="B10" i="48"/>
  <c r="E28"/>
  <c r="E32"/>
  <c r="E31"/>
  <c r="E24"/>
  <c r="E29"/>
  <c r="E30"/>
  <c r="M12" i="13"/>
  <c r="N41" i="14" s="1"/>
  <c r="M17" i="48"/>
  <c r="E11" i="14"/>
  <c r="D4" i="48"/>
  <c r="D22" s="1"/>
  <c r="C4"/>
  <c r="D11" i="14"/>
  <c r="F28" i="48"/>
  <c r="F24"/>
  <c r="F32"/>
  <c r="F27"/>
  <c r="F30"/>
  <c r="F29"/>
  <c r="F31"/>
  <c r="K5"/>
  <c r="L10" i="14"/>
  <c r="L16" s="1"/>
  <c r="L27" s="1"/>
  <c r="D30" i="48"/>
  <c r="D31"/>
  <c r="D29"/>
  <c r="D24"/>
  <c r="D28"/>
  <c r="D32"/>
  <c r="L31"/>
  <c r="L29"/>
  <c r="L32"/>
  <c r="L27"/>
  <c r="L28"/>
  <c r="L22"/>
  <c r="L24"/>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22" i="48" l="1"/>
  <c r="F4"/>
  <c r="F22" s="1"/>
  <c r="G11" i="14"/>
  <c r="I18"/>
  <c r="H13" i="48"/>
  <c r="H31" s="1"/>
  <c r="P10" i="14"/>
  <c r="O5" i="48"/>
  <c r="O23" s="1"/>
  <c r="M22"/>
  <c r="M25"/>
  <c r="M32"/>
  <c r="M26"/>
  <c r="M29"/>
  <c r="M30"/>
  <c r="M24"/>
  <c r="M23"/>
  <c r="I33"/>
  <c r="Q13" i="14"/>
  <c r="Q16" s="1"/>
  <c r="Q27" s="1"/>
  <c r="P8" i="48"/>
  <c r="P26" s="1"/>
  <c r="I23"/>
  <c r="I15"/>
  <c r="H18" i="14"/>
  <c r="G13" i="48"/>
  <c r="N18" i="14"/>
  <c r="M13" i="48"/>
  <c r="M31" s="1"/>
  <c r="K33"/>
  <c r="J46" i="14"/>
  <c r="J61" s="1"/>
  <c r="J63" s="1"/>
  <c r="L63"/>
  <c r="J12" i="17"/>
  <c r="K54" i="14" s="1"/>
  <c r="K56" s="1"/>
  <c r="J7" i="48"/>
  <c r="J25" s="1"/>
  <c r="K24" i="14"/>
  <c r="K26" s="1"/>
  <c r="K15" i="48"/>
  <c r="K23"/>
  <c r="P15"/>
  <c r="P22"/>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E4" i="48"/>
  <c r="N4"/>
  <c r="N22" s="1"/>
  <c r="O11" i="14"/>
  <c r="H9" i="48"/>
  <c r="I20" i="14"/>
  <c r="E9" i="48"/>
  <c r="E27" s="1"/>
  <c r="F20" i="14"/>
  <c r="F22" s="1"/>
  <c r="P46"/>
  <c r="P61" s="1"/>
  <c r="P63" s="1"/>
  <c r="N19"/>
  <c r="M10" i="48"/>
  <c r="M28" s="1"/>
  <c r="E20" i="14"/>
  <c r="E22" s="1"/>
  <c r="D9" i="48"/>
  <c r="D27" s="1"/>
  <c r="C20" i="14"/>
  <c r="B9" i="48"/>
  <c r="D18" i="22"/>
  <c r="E50" i="14" s="1"/>
  <c r="E52" s="1"/>
  <c r="Q46"/>
  <c r="Q61" s="1"/>
  <c r="Q63" s="1"/>
  <c r="I52"/>
  <c r="I61" s="1"/>
  <c r="I63" s="1"/>
  <c r="P33" i="48"/>
  <c r="P13" i="14"/>
  <c r="O8" i="48"/>
  <c r="R18" i="14"/>
  <c r="G31" i="48"/>
  <c r="Q13"/>
  <c r="G10"/>
  <c r="H19" i="14"/>
  <c r="J4" i="48"/>
  <c r="K11" i="14"/>
  <c r="M9" i="48"/>
  <c r="N20" i="14"/>
  <c r="N22" s="1"/>
  <c r="N27" s="1"/>
  <c r="E7" i="48"/>
  <c r="E25" s="1"/>
  <c r="F24" i="14"/>
  <c r="F26" s="1"/>
  <c r="I22"/>
  <c r="I27" s="1"/>
  <c r="P16"/>
  <c r="P27" s="1"/>
  <c r="M16"/>
  <c r="D22" i="16"/>
  <c r="E43" i="14" s="1"/>
  <c r="D8" i="48"/>
  <c r="D26" s="1"/>
  <c r="E13" i="14"/>
  <c r="C13"/>
  <c r="B8" i="48"/>
  <c r="O10" i="14"/>
  <c r="N5" i="48"/>
  <c r="N23" s="1"/>
  <c r="F5"/>
  <c r="G10" i="14"/>
  <c r="D27"/>
  <c r="B20" i="6" s="1"/>
  <c r="B22" s="1"/>
  <c r="C22" i="56" s="1"/>
  <c r="D20" i="15"/>
  <c r="E40" i="14" s="1"/>
  <c r="E46"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N63" l="1"/>
  <c r="J22" i="48"/>
  <c r="G9"/>
  <c r="H20" i="14"/>
  <c r="H22" s="1"/>
  <c r="H27" s="1"/>
  <c r="K10"/>
  <c r="J5" i="48"/>
  <c r="J23" s="1"/>
  <c r="M27"/>
  <c r="M33" s="1"/>
  <c r="M15"/>
  <c r="E22"/>
  <c r="Q4"/>
  <c r="R11" i="14"/>
  <c r="F10"/>
  <c r="E5" i="48"/>
  <c r="E23" s="1"/>
  <c r="H27"/>
  <c r="H33" s="1"/>
  <c r="H15"/>
  <c r="G28"/>
  <c r="Q10"/>
  <c r="O26"/>
  <c r="O33" s="1"/>
  <c r="O15"/>
  <c r="R20" i="14"/>
  <c r="C22"/>
  <c r="G18" i="22"/>
  <c r="H50" i="14" s="1"/>
  <c r="H52" s="1"/>
  <c r="H61" s="1"/>
  <c r="H63" s="1"/>
  <c r="R22"/>
  <c r="E61"/>
  <c r="R19"/>
  <c r="Q9" i="48"/>
  <c r="D15"/>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J8" i="48"/>
  <c r="K13" i="14"/>
  <c r="K16" s="1"/>
  <c r="K27" s="1"/>
  <c r="G27" i="48"/>
  <c r="G33" s="1"/>
  <c r="G15"/>
  <c r="Q5"/>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E26" i="48"/>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<sst xmlns="http://schemas.openxmlformats.org/spreadsheetml/2006/main" count="2495" uniqueCount="954">
  <si>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</si>
  <si>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</si>
  <si>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</si>
  <si>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</si>
  <si>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</si>
  <si>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</si>
  <si>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</si>
  <si>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</si>
  <si>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</si>
  <si>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</si>
  <si>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</si>
  <si>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</si>
  <si>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</si>
  <si>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</si>
  <si>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</si>
  <si>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</si>
  <si>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</si>
  <si>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</si>
  <si>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</si>
  <si>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</si>
  <si>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</si>
  <si>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</si>
  <si>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</si>
  <si>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</si>
  <si>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</si>
  <si>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</si>
  <si>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</si>
  <si>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</si>
  <si>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</si>
  <si>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</si>
  <si>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</si>
  <si>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</si>
  <si>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</si>
  <si>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</si>
  <si>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</si>
  <si>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</si>
  <si>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</si>
  <si>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</si>
  <si>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</si>
  <si>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</si>
  <si>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</si>
  <si>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</si>
  <si>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</si>
  <si>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</si>
  <si>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</si>
  <si>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</si>
  <si>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</si>
  <si>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</si>
  <si>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</si>
  <si>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</si>
  <si>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</si>
  <si>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</si>
  <si>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</si>
  <si>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</si>
  <si>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</si>
  <si>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</si>
  <si>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</si>
  <si>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</si>
  <si>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</si>
  <si>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</si>
  <si>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</si>
  <si>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</si>
  <si>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</si>
  <si>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</si>
  <si>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</si>
  <si>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</si>
  <si>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</si>
  <si>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</si>
  <si>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</si>
  <si>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</si>
  <si>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</si>
  <si>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</si>
  <si>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</si>
  <si>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</si>
  <si>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</si>
  <si>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</si>
  <si>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</si>
  <si>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</si>
  <si>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</si>
  <si>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</si>
  <si>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</si>
  <si>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</si>
  <si>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</si>
  <si>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</si>
  <si>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</si>
  <si>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</si>
  <si>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</si>
  <si>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</si>
  <si>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</si>
  <si>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</si>
  <si>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</si>
  <si>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</si>
  <si>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</si>
  <si>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</si>
  <si>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</si>
  <si>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</si>
  <si>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</si>
  <si>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</si>
  <si>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</si>
  <si>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</si>
  <si>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</si>
  <si>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</si>
  <si>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</si>
  <si>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</si>
  <si>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</si>
  <si>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</si>
  <si>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</si>
  <si>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</si>
  <si>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</si>
  <si>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</si>
  <si>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</si>
  <si>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</si>
  <si>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</si>
  <si>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</si>
  <si>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</si>
  <si>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</si>
  <si>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</si>
  <si>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</si>
  <si>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</si>
  <si>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</si>
  <si>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</si>
  <si>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</si>
  <si>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</si>
  <si>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</si>
  <si>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</si>
  <si>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</si>
  <si>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</si>
  <si>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</si>
  <si>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</si>
  <si>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</si>
  <si>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</si>
  <si>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</si>
  <si>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</si>
  <si>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</si>
  <si>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</si>
  <si>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</si>
  <si>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</si>
  <si>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</si>
  <si>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</si>
  <si>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</si>
  <si>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</si>
  <si>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</si>
  <si>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</si>
  <si>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</si>
  <si>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</si>
  <si>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</si>
  <si>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</si>
  <si>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</si>
  <si>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</si>
  <si>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</si>
  <si>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</si>
  <si>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</si>
  <si>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</si>
  <si>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</si>
  <si>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</si>
  <si>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</si>
  <si>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</si>
  <si>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</si>
  <si>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</si>
  <si>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</si>
  <si>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</si>
  <si>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</si>
  <si>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</si>
  <si>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</si>
  <si>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</si>
  <si>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</si>
  <si>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</si>
  <si>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</si>
  <si>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</si>
  <si>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</si>
  <si>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</si>
  <si>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</si>
  <si>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</si>
  <si>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</si>
  <si>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</si>
  <si>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</si>
  <si>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</si>
  <si>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</si>
  <si>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</si>
  <si>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</si>
  <si>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</si>
  <si>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</si>
  <si>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</si>
  <si>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</si>
  <si>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</si>
  <si>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</si>
  <si>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</si>
  <si>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</si>
  <si>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</si>
  <si>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</si>
  <si>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</si>
  <si>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</si>
  <si>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</si>
  <si>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</si>
  <si>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</si>
  <si>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</si>
  <si>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</si>
  <si>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</si>
  <si>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</si>
  <si>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</si>
  <si>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</si>
  <si>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</si>
  <si>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</si>
  <si>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</si>
  <si>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</si>
  <si>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</si>
  <si>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</si>
  <si>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</si>
  <si>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</si>
  <si>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</si>
  <si>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</si>
  <si>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</si>
  <si>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</si>
  <si>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</si>
  <si>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</si>
  <si>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</si>
  <si>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</si>
  <si>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</si>
  <si>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</si>
  <si>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</si>
  <si>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</si>
  <si>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</si>
  <si>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</si>
  <si>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</si>
  <si>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</si>
  <si>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</si>
  <si>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</si>
  <si>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</si>
  <si>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</si>
  <si>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</si>
  <si>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</si>
  <si>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</si>
  <si>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</si>
  <si>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</si>
  <si>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</si>
  <si>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</si>
  <si>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</si>
  <si>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</si>
  <si>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</si>
  <si>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</si>
  <si>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</si>
  <si>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</si>
  <si>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</si>
  <si>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</si>
  <si>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</si>
  <si>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</si>
  <si>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</si>
  <si>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</si>
  <si>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</si>
  <si>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</si>
  <si>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</si>
  <si>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</si>
  <si>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</si>
  <si>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</si>
  <si>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</si>
  <si>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</si>
  <si>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</si>
  <si>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</si>
  <si>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</si>
  <si>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</si>
  <si>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</si>
  <si>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</si>
  <si>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</si>
  <si>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</si>
  <si>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</si>
  <si>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</si>
  <si>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</si>
  <si>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</si>
  <si>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</si>
  <si>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</si>
  <si>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</si>
  <si>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</si>
  <si>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</si>
  <si>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</si>
  <si>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</si>
  <si>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</si>
  <si>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</si>
  <si>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</si>
  <si>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</si>
  <si>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</si>
  <si>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</si>
  <si>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</si>
  <si>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</si>
  <si>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</si>
  <si>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</si>
  <si>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</si>
  <si>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</si>
  <si>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</si>
  <si>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</si>
  <si>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</si>
  <si>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</si>
  <si>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</si>
  <si>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</si>
  <si>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</si>
  <si>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</si>
  <si>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</si>
  <si>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</si>
  <si>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</si>
  <si>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</si>
  <si>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</si>
  <si>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</si>
  <si>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</si>
  <si>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</si>
  <si>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</si>
  <si>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</si>
  <si>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</si>
  <si>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</si>
  <si>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</si>
  <si>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</si>
  <si>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</si>
  <si>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</si>
  <si>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</si>
  <si>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</si>
  <si>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</si>
  <si>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</si>
  <si>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</si>
  <si>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</si>
  <si>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</si>
  <si>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</si>
  <si>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</si>
  <si>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</si>
  <si>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</si>
  <si>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</si>
  <si>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</si>
  <si>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</si>
  <si>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</si>
  <si>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</si>
  <si>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</si>
  <si>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</si>
  <si>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</si>
  <si>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</si>
  <si>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</si>
  <si>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</si>
  <si>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</si>
  <si>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</si>
  <si>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</si>
  <si>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</si>
  <si>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</si>
  <si>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</si>
  <si>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</si>
  <si>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</si>
  <si>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</si>
  <si>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</si>
  <si>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</si>
  <si>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</si>
  <si>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</si>
  <si>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</si>
  <si>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</si>
  <si>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</si>
  <si>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</si>
  <si>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</si>
  <si>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</si>
  <si>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</si>
  <si>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</si>
  <si>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</si>
  <si>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</si>
  <si>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</si>
  <si>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</si>
  <si>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</si>
  <si>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</si>
  <si>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</si>
  <si>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</si>
  <si>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</si>
  <si>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</si>
  <si>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</si>
  <si>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</si>
  <si>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</si>
  <si>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</si>
  <si>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</si>
  <si>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</si>
  <si>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</si>
  <si>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</si>
  <si>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</si>
  <si>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</si>
  <si>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</si>
  <si>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</si>
  <si>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</si>
  <si>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</si>
  <si>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</si>
  <si>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</si>
  <si>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</si>
  <si>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</si>
  <si>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</si>
  <si>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</si>
  <si>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</si>
  <si>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</si>
  <si>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</si>
  <si>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</si>
  <si>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</si>
  <si>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</si>
  <si>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</si>
  <si>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</si>
  <si>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</si>
  <si>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</si>
  <si>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</si>
  <si>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</si>
  <si>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</si>
  <si>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</si>
  <si>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</si>
  <si>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</si>
  <si>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</si>
  <si>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</si>
  <si>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</si>
  <si>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</si>
  <si>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</si>
  <si>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</si>
  <si>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</si>
  <si>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</si>
  <si>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</si>
  <si>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</si>
  <si>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</si>
  <si>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</si>
  <si>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</si>
  <si>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</si>
  <si>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</si>
  <si>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</si>
  <si>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</si>
  <si>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</si>
  <si>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</si>
  <si>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</si>
  <si>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</si>
  <si>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</si>
  <si>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</si>
  <si>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</si>
  <si>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</si>
  <si>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</si>
  <si>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</si>
  <si>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</si>
  <si>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</si>
  <si>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</si>
  <si>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</si>
  <si>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</si>
  <si>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</si>
  <si>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</si>
  <si>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</si>
  <si>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</si>
  <si>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</si>
  <si>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</si>
  <si>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</si>
  <si>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</si>
  <si>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</si>
  <si>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</si>
  <si>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</si>
  <si>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</si>
  <si>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</si>
  <si>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</si>
  <si>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</si>
  <si>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</si>
  <si>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</si>
  <si>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</si>
  <si>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</si>
  <si>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</si>
  <si>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</si>
  <si>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</si>
  <si>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</si>
  <si>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</si>
  <si>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</si>
  <si>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</si>
  <si>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</si>
  <si>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</si>
  <si>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</si>
  <si>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</si>
  <si>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</si>
  <si>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</si>
  <si>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</si>
  <si>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</si>
  <si>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</si>
  <si>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</si>
  <si>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</si>
  <si>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</si>
  <si>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</si>
  <si>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</si>
  <si>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</si>
  <si>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</si>
  <si>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</si>
  <si>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</si>
  <si>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</si>
  <si>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</si>
  <si>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</si>
  <si>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</si>
  <si>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</si>
  <si>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</si>
  <si>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</si>
  <si>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</si>
  <si>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</si>
  <si>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</si>
  <si>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</si>
  <si>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</si>
  <si>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</si>
  <si>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</si>
  <si>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</si>
  <si>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</si>
  <si>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</si>
  <si>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</si>
  <si>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</si>
  <si>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</si>
  <si>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</si>
  <si>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</si>
  <si>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</si>
  <si>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</si>
  <si>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</si>
  <si>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</si>
  <si>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</si>
  <si>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</si>
  <si>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</si>
  <si>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</si>
  <si>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</si>
  <si>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</si>
  <si>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</si>
  <si>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</si>
  <si>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</si>
  <si>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</si>
  <si>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</si>
  <si>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</si>
  <si>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</si>
  <si>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</si>
  <si>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</si>
  <si>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</si>
  <si>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</si>
  <si>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</si>
  <si>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</si>
  <si>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</si>
  <si>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</si>
  <si>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</si>
  <si>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</si>
  <si>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</si>
  <si>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</si>
  <si>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</si>
  <si>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</si>
  <si>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</si>
  <si>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</si>
  <si>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</si>
  <si>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</si>
  <si>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</si>
  <si>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</si>
  <si>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</si>
  <si>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</si>
  <si>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</si>
  <si>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</si>
  <si>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</si>
  <si>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</si>
  <si>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</si>
  <si>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</si>
  <si>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</si>
  <si>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</si>
  <si>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</si>
  <si>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</si>
  <si>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</si>
  <si>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</si>
  <si>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</si>
  <si>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</si>
  <si>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</si>
  <si>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</si>
  <si>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</si>
  <si>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</si>
  <si>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</si>
  <si>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</si>
  <si>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</si>
  <si>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</si>
  <si>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</si>
  <si>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</si>
  <si>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</si>
  <si>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</si>
  <si>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</si>
  <si>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</si>
  <si>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</si>
  <si>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</si>
  <si>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</si>
  <si>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</si>
  <si>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</si>
  <si>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</si>
  <si>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</si>
  <si>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</si>
  <si>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</si>
  <si>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</si>
  <si>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</si>
  <si>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</si>
  <si>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</si>
  <si>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</si>
  <si>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</si>
  <si>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</si>
  <si>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</si>
  <si>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</si>
  <si>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</si>
  <si>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</si>
  <si>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</si>
  <si>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</si>
  <si>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</si>
  <si>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</si>
  <si>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</si>
  <si>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</si>
  <si>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</si>
  <si>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</si>
  <si>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</si>
  <si>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</si>
  <si>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</si>
  <si>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</si>
  <si>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</si>
  <si>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</si>
  <si>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</si>
  <si>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</si>
  <si>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</si>
  <si>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</si>
  <si>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</si>
  <si>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</si>
  <si>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</si>
  <si>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</si>
  <si>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</si>
  <si>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</si>
  <si>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</si>
  <si>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</si>
  <si>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</si>
  <si>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</si>
  <si>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</si>
  <si>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</si>
  <si>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</si>
  <si>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</si>
  <si>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</si>
  <si>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</si>
  <si>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</si>
  <si>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</si>
  <si>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</si>
  <si>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</si>
  <si>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</si>
  <si>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</si>
  <si>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</si>
  <si>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</si>
  <si>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</si>
  <si>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</si>
  <si>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</si>
  <si>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</si>
  <si>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</si>
  <si>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</si>
  <si>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</si>
  <si>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</si>
  <si>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</si>
  <si>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</si>
  <si>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</si>
  <si>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</si>
  <si>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</si>
  <si>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</si>
  <si>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</si>
  <si>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</si>
  <si>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</si>
  <si>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</si>
  <si>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</si>
  <si>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</si>
  <si>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</si>
  <si>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</si>
  <si>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</si>
  <si>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</si>
  <si>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</si>
  <si>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</si>
  <si>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</si>
  <si>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</si>
  <si>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</si>
  <si>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</si>
  <si>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</si>
  <si>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</si>
  <si>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</si>
  <si>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</si>
  <si>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</si>
  <si>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</si>
  <si>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</si>
  <si>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</si>
  <si>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</si>
  <si>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</si>
  <si>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</si>
  <si>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</si>
  <si>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</si>
  <si>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</si>
  <si>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</si>
  <si>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</si>
  <si>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</si>
  <si>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</si>
  <si>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</si>
  <si>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</si>
  <si>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</si>
  <si>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</si>
  <si>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</si>
  <si>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</si>
  <si>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</si>
  <si>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</si>
  <si>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</si>
  <si>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</si>
  <si>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</si>
  <si>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</si>
  <si>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</si>
  <si>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</si>
  <si>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</si>
  <si>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</si>
  <si>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</si>
  <si>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</si>
  <si>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</si>
  <si>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</si>
  <si>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</si>
  <si>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</si>
  <si>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</si>
  <si>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</si>
  <si>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</si>
  <si>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</si>
  <si>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</si>
  <si>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</si>
  <si>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</si>
  <si>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</si>
  <si>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</si>
  <si>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</si>
  <si>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</si>
  <si>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</si>
  <si>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</si>
  <si>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</si>
  <si>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</si>
  <si>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</si>
  <si>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</si>
  <si>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</si>
  <si>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</si>
  <si>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</si>
  <si>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</si>
  <si>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</si>
  <si>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</si>
  <si>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</si>
  <si>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</si>
  <si>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</si>
  <si>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</si>
  <si>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</si>
  <si>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</si>
  <si>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</si>
  <si>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</si>
  <si>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</si>
  <si>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</si>
  <si>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</si>
  <si>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</si>
  <si>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</si>
  <si>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</si>
  <si>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</si>
  <si>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</si>
  <si>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</si>
  <si>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</si>
  <si>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</si>
  <si>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</si>
  <si>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</si>
  <si>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</si>
  <si>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</si>
  <si>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</si>
  <si>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</si>
  <si>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</si>
  <si>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</si>
  <si>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</si>
  <si>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</si>
  <si>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</si>
  <si>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</si>
  <si>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</si>
  <si>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</si>
  <si>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</si>
  <si>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</si>
  <si>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</si>
  <si>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</si>
  <si>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</si>
  <si>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</si>
  <si>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</si>
  <si>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</si>
  <si>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</si>
  <si>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</si>
  <si>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</si>
  <si>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</si>
  <si>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</si>
  <si>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</si>
  <si>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</si>
  <si>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</si>
  <si>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</si>
  <si>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</si>
  <si>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</si>
  <si>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</si>
  <si>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</si>
  <si>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</si>
  <si>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</si>
  <si>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</si>
  <si>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</si>
  <si>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</si>
  <si>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</si>
  <si>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</si>
  <si>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</si>
  <si>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</si>
  <si>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</si>
  <si>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</si>
  <si>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</si>
  <si>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</si>
  <si>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</si>
  <si>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</si>
  <si>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</si>
  <si>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</si>
  <si>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</si>
  <si>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</si>
  <si>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</si>
  <si>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</si>
  <si>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</si>
  <si>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</si>
  <si>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</si>
  <si>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</si>
  <si>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</si>
  <si>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</si>
  <si>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</si>
  <si>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</si>
  <si>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</si>
  <si>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</si>
  <si>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</si>
  <si>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</si>
  <si>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</si>
  <si>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</si>
  <si>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</si>
  <si>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</si>
  <si>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</si>
  <si>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</si>
  <si>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</si>
  <si>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</si>
  <si>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</si>
  <si>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</si>
  <si>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</si>
  <si>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</si>
  <si>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</si>
  <si>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</si>
  <si>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</si>
  <si>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</si>
  <si>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</si>
  <si>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</si>
  <si>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</si>
  <si>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</si>
  <si>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</si>
  <si>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</si>
  <si>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</si>
  <si>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</si>
  <si>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</si>
  <si>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</si>
  <si>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</si>
  <si>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</si>
  <si>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</si>
  <si>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</si>
  <si>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</si>
  <si>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</si>
  <si>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</si>
  <si>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</si>
  <si>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</si>
  <si>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</si>
  <si>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</si>
  <si>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</si>
  <si>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</si>
  <si>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</si>
  <si>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</si>
  <si>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</si>
  <si>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</si>
  <si>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</si>
  <si>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</si>
  <si>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</si>
  <si>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</si>
  <si>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</si>
  <si>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</si>
  <si>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</si>
  <si>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</si>
  <si>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</si>
  <si>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</si>
  <si>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</si>
  <si>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</si>
  <si>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</si>
  <si>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</si>
  <si>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</si>
  <si>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</si>
  <si>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</si>
  <si>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</si>
  <si>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</si>
  <si>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</si>
  <si>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</si>
  <si>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</si>
  <si>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</si>
  <si>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</si>
  <si>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</si>
  <si>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</si>
  <si>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</si>
  <si>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</si>
  <si>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</si>
  <si>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</si>
  <si>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</si>
  <si>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</si>
  <si>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</si>
  <si>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</si>
  <si>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</si>
  <si>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</si>
  <si>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</si>
  <si>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</si>
  <si>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</si>
  <si>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</si>
  <si>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</si>
  <si>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</si>
  <si>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</si>
  <si>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</si>
  <si>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</si>
  <si>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</si>
  <si>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</si>
  <si>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</si>
  <si>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</si>
  <si>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</si>
  <si>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</si>
  <si>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</si>
  <si>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</si>
  <si>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</si>
  <si>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</si>
  <si>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</si>
  <si>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</si>
  <si>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</si>
  <si>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</si>
  <si>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</si>
  <si>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</si>
  <si>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</si>
  <si>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</si>
  <si>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</si>
  <si>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</si>
  <si>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</si>
  <si>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</si>
  <si>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</si>
  <si>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</si>
  <si>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</si>
  <si>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</si>
  <si>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</si>
  <si>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</si>
  <si>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</si>
  <si>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</si>
  <si>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</si>
  <si>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</si>
  <si>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</si>
  <si>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</si>
  <si>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</si>
  <si>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</si>
  <si>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</si>
  <si>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</si>
  <si>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</si>
  <si>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</si>
  <si>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</si>
  <si>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</si>
  <si>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</si>
  <si>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</si>
  <si>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</si>
  <si>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</si>
  <si>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</si>
  <si>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11057</t>
  </si>
  <si>
    <t>MALLE</t>
  </si>
  <si>
    <t>Paarden&amp;pony's 200 - 600 kg</t>
  </si>
  <si>
    <t>Paarden&amp;pony's &lt; 200 kg</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</si>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</sst>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11057</v>
      </c>
      <c r="B6" s="397"/>
      <c r="C6" s="398"/>
    </row>
    <row r="7" spans="1:7" s="395" customFormat="1" ht="15.75" customHeight="1">
      <c r="A7" s="399" t="str">
        <f>txtMunicipality</f>
        <v>MALLE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0.18256977481714967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0.18256977481714967</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5763</v>
      </c>
      <c r="C9" s="338">
        <v>5930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2425</v>
      </c>
    </row>
    <row r="15" spans="1:6">
      <c r="A15" s="1286" t="s">
        <v>184</v>
      </c>
      <c r="B15" s="335">
        <v>800</v>
      </c>
    </row>
    <row r="16" spans="1:6">
      <c r="A16" s="1286" t="s">
        <v>6</v>
      </c>
      <c r="B16" s="335">
        <v>1765</v>
      </c>
    </row>
    <row r="17" spans="1:6">
      <c r="A17" s="1286" t="s">
        <v>7</v>
      </c>
      <c r="B17" s="335">
        <v>655</v>
      </c>
    </row>
    <row r="18" spans="1:6">
      <c r="A18" s="1286" t="s">
        <v>8</v>
      </c>
      <c r="B18" s="335">
        <v>1403</v>
      </c>
    </row>
    <row r="19" spans="1:6">
      <c r="A19" s="1286" t="s">
        <v>9</v>
      </c>
      <c r="B19" s="335">
        <v>1103</v>
      </c>
    </row>
    <row r="20" spans="1:6">
      <c r="A20" s="1286" t="s">
        <v>10</v>
      </c>
      <c r="B20" s="335">
        <v>961</v>
      </c>
    </row>
    <row r="21" spans="1:6">
      <c r="A21" s="1286" t="s">
        <v>11</v>
      </c>
      <c r="B21" s="335">
        <v>1202</v>
      </c>
    </row>
    <row r="22" spans="1:6">
      <c r="A22" s="1286" t="s">
        <v>12</v>
      </c>
      <c r="B22" s="335">
        <v>8726</v>
      </c>
    </row>
    <row r="23" spans="1:6">
      <c r="A23" s="1286" t="s">
        <v>13</v>
      </c>
      <c r="B23" s="335">
        <v>103</v>
      </c>
    </row>
    <row r="24" spans="1:6">
      <c r="A24" s="1286" t="s">
        <v>14</v>
      </c>
      <c r="B24" s="335">
        <v>2</v>
      </c>
    </row>
    <row r="25" spans="1:6">
      <c r="A25" s="1286" t="s">
        <v>15</v>
      </c>
      <c r="B25" s="335">
        <v>480</v>
      </c>
    </row>
    <row r="26" spans="1:6">
      <c r="A26" s="1286" t="s">
        <v>16</v>
      </c>
      <c r="B26" s="335">
        <v>96</v>
      </c>
    </row>
    <row r="27" spans="1:6">
      <c r="A27" s="1286" t="s">
        <v>17</v>
      </c>
      <c r="B27" s="335">
        <v>0</v>
      </c>
    </row>
    <row r="28" spans="1:6" s="341" customFormat="1">
      <c r="A28" s="1287" t="s">
        <v>18</v>
      </c>
      <c r="B28" s="1287">
        <v>121170</v>
      </c>
    </row>
    <row r="29" spans="1:6">
      <c r="A29" s="1287" t="s">
        <v>944</v>
      </c>
      <c r="B29" s="1287">
        <v>213</v>
      </c>
      <c r="C29" s="341"/>
      <c r="D29" s="341"/>
      <c r="E29" s="341"/>
      <c r="F29" s="341"/>
    </row>
    <row r="30" spans="1:6">
      <c r="A30" s="1282" t="s">
        <v>945</v>
      </c>
      <c r="B30" s="1282">
        <v>72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30209.730663301201</v>
      </c>
    </row>
    <row r="39" spans="1:6">
      <c r="A39" s="1286" t="s">
        <v>30</v>
      </c>
      <c r="B39" s="1286" t="s">
        <v>31</v>
      </c>
      <c r="C39" s="335">
        <v>4250</v>
      </c>
      <c r="D39" s="335">
        <v>89198675.551208705</v>
      </c>
      <c r="E39" s="335">
        <v>5640</v>
      </c>
      <c r="F39" s="335">
        <v>26031489.0040964</v>
      </c>
    </row>
    <row r="40" spans="1:6">
      <c r="A40" s="1286" t="s">
        <v>30</v>
      </c>
      <c r="B40" s="1286" t="s">
        <v>29</v>
      </c>
      <c r="C40" s="335">
        <v>0</v>
      </c>
      <c r="D40" s="335">
        <v>0</v>
      </c>
      <c r="E40" s="335">
        <v>0</v>
      </c>
      <c r="F40" s="335">
        <v>0</v>
      </c>
    </row>
    <row r="41" spans="1:6">
      <c r="A41" s="1286" t="s">
        <v>32</v>
      </c>
      <c r="B41" s="1286" t="s">
        <v>33</v>
      </c>
      <c r="C41" s="335">
        <v>38</v>
      </c>
      <c r="D41" s="335">
        <v>2025301.0489422099</v>
      </c>
      <c r="E41" s="335">
        <v>135</v>
      </c>
      <c r="F41" s="335">
        <v>10305467.5330154</v>
      </c>
    </row>
    <row r="42" spans="1:6">
      <c r="A42" s="1286" t="s">
        <v>32</v>
      </c>
      <c r="B42" s="1286" t="s">
        <v>34</v>
      </c>
      <c r="C42" s="335">
        <v>0</v>
      </c>
      <c r="D42" s="335">
        <v>0</v>
      </c>
      <c r="E42" s="335">
        <v>3</v>
      </c>
      <c r="F42" s="335">
        <v>805110.55168407003</v>
      </c>
    </row>
    <row r="43" spans="1:6">
      <c r="A43" s="1286" t="s">
        <v>32</v>
      </c>
      <c r="B43" s="1286" t="s">
        <v>35</v>
      </c>
      <c r="C43" s="335">
        <v>0</v>
      </c>
      <c r="D43" s="335">
        <v>0</v>
      </c>
      <c r="E43" s="335">
        <v>0</v>
      </c>
      <c r="F43" s="335">
        <v>0</v>
      </c>
    </row>
    <row r="44" spans="1:6">
      <c r="A44" s="1286" t="s">
        <v>32</v>
      </c>
      <c r="B44" s="1286" t="s">
        <v>36</v>
      </c>
      <c r="C44" s="335">
        <v>0</v>
      </c>
      <c r="D44" s="335">
        <v>0</v>
      </c>
      <c r="E44" s="335">
        <v>22</v>
      </c>
      <c r="F44" s="335">
        <v>5556598.9613228198</v>
      </c>
    </row>
    <row r="45" spans="1:6">
      <c r="A45" s="1286" t="s">
        <v>32</v>
      </c>
      <c r="B45" s="1286" t="s">
        <v>37</v>
      </c>
      <c r="C45" s="335">
        <v>0</v>
      </c>
      <c r="D45" s="335">
        <v>0</v>
      </c>
      <c r="E45" s="335">
        <v>3</v>
      </c>
      <c r="F45" s="335">
        <v>958440.69781812001</v>
      </c>
    </row>
    <row r="46" spans="1:6">
      <c r="A46" s="1286" t="s">
        <v>32</v>
      </c>
      <c r="B46" s="1286" t="s">
        <v>38</v>
      </c>
      <c r="C46" s="335">
        <v>0</v>
      </c>
      <c r="D46" s="335">
        <v>0</v>
      </c>
      <c r="E46" s="335">
        <v>0</v>
      </c>
      <c r="F46" s="335">
        <v>0</v>
      </c>
    </row>
    <row r="47" spans="1:6">
      <c r="A47" s="1286" t="s">
        <v>32</v>
      </c>
      <c r="B47" s="1286" t="s">
        <v>39</v>
      </c>
      <c r="C47" s="335">
        <v>4</v>
      </c>
      <c r="D47" s="335">
        <v>144808.53540972801</v>
      </c>
      <c r="E47" s="335">
        <v>4</v>
      </c>
      <c r="F47" s="335">
        <v>47732.185082180797</v>
      </c>
    </row>
    <row r="48" spans="1:6">
      <c r="A48" s="1286" t="s">
        <v>32</v>
      </c>
      <c r="B48" s="1286" t="s">
        <v>29</v>
      </c>
      <c r="C48" s="335">
        <v>37</v>
      </c>
      <c r="D48" s="335">
        <v>45405705.970715597</v>
      </c>
      <c r="E48" s="335">
        <v>42</v>
      </c>
      <c r="F48" s="335">
        <v>29901845.346547801</v>
      </c>
    </row>
    <row r="49" spans="1:6">
      <c r="A49" s="1286" t="s">
        <v>32</v>
      </c>
      <c r="B49" s="1286" t="s">
        <v>40</v>
      </c>
      <c r="C49" s="335">
        <v>0</v>
      </c>
      <c r="D49" s="335">
        <v>0</v>
      </c>
      <c r="E49" s="335">
        <v>0</v>
      </c>
      <c r="F49" s="335">
        <v>0</v>
      </c>
    </row>
    <row r="50" spans="1:6">
      <c r="A50" s="1286" t="s">
        <v>32</v>
      </c>
      <c r="B50" s="1286" t="s">
        <v>41</v>
      </c>
      <c r="C50" s="335">
        <v>18</v>
      </c>
      <c r="D50" s="335">
        <v>3177893.7683868399</v>
      </c>
      <c r="E50" s="335">
        <v>16</v>
      </c>
      <c r="F50" s="335">
        <v>10257545.028004199</v>
      </c>
    </row>
    <row r="51" spans="1:6">
      <c r="A51" s="1286" t="s">
        <v>42</v>
      </c>
      <c r="B51" s="1286" t="s">
        <v>43</v>
      </c>
      <c r="C51" s="335">
        <v>3</v>
      </c>
      <c r="D51" s="335">
        <v>32176.1095032741</v>
      </c>
      <c r="E51" s="335">
        <v>63</v>
      </c>
      <c r="F51" s="335">
        <v>1221030.0276735299</v>
      </c>
    </row>
    <row r="52" spans="1:6">
      <c r="A52" s="1286" t="s">
        <v>42</v>
      </c>
      <c r="B52" s="1286" t="s">
        <v>29</v>
      </c>
      <c r="C52" s="335">
        <v>3</v>
      </c>
      <c r="D52" s="335">
        <v>5733902.3392714402</v>
      </c>
      <c r="E52" s="335">
        <v>11</v>
      </c>
      <c r="F52" s="335">
        <v>258193.608399691</v>
      </c>
    </row>
    <row r="53" spans="1:6">
      <c r="A53" s="1286" t="s">
        <v>44</v>
      </c>
      <c r="B53" s="1286" t="s">
        <v>45</v>
      </c>
      <c r="C53" s="335">
        <v>82</v>
      </c>
      <c r="D53" s="335">
        <v>3403996.0964434501</v>
      </c>
      <c r="E53" s="335">
        <v>161</v>
      </c>
      <c r="F53" s="335">
        <v>1367714.60029777</v>
      </c>
    </row>
    <row r="54" spans="1:6">
      <c r="A54" s="1286" t="s">
        <v>46</v>
      </c>
      <c r="B54" s="1286" t="s">
        <v>47</v>
      </c>
      <c r="C54" s="335">
        <v>0</v>
      </c>
      <c r="D54" s="335">
        <v>0</v>
      </c>
      <c r="E54" s="335">
        <v>1</v>
      </c>
      <c r="F54" s="335">
        <v>742760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40</v>
      </c>
      <c r="D57" s="335">
        <v>2740922.5037058699</v>
      </c>
      <c r="E57" s="335">
        <v>90</v>
      </c>
      <c r="F57" s="335">
        <v>2359969.1772332899</v>
      </c>
    </row>
    <row r="58" spans="1:6">
      <c r="A58" s="1286" t="s">
        <v>49</v>
      </c>
      <c r="B58" s="1286" t="s">
        <v>51</v>
      </c>
      <c r="C58" s="335">
        <v>16</v>
      </c>
      <c r="D58" s="335">
        <v>11485469.319385</v>
      </c>
      <c r="E58" s="335">
        <v>27</v>
      </c>
      <c r="F58" s="335">
        <v>1301366.07306172</v>
      </c>
    </row>
    <row r="59" spans="1:6">
      <c r="A59" s="1286" t="s">
        <v>49</v>
      </c>
      <c r="B59" s="1286" t="s">
        <v>52</v>
      </c>
      <c r="C59" s="335">
        <v>102</v>
      </c>
      <c r="D59" s="335">
        <v>4632644.1951017501</v>
      </c>
      <c r="E59" s="335">
        <v>200</v>
      </c>
      <c r="F59" s="335">
        <v>6647818.6146904901</v>
      </c>
    </row>
    <row r="60" spans="1:6">
      <c r="A60" s="1286" t="s">
        <v>49</v>
      </c>
      <c r="B60" s="1286" t="s">
        <v>53</v>
      </c>
      <c r="C60" s="335">
        <v>60</v>
      </c>
      <c r="D60" s="335">
        <v>4121242.2269270001</v>
      </c>
      <c r="E60" s="335">
        <v>78</v>
      </c>
      <c r="F60" s="335">
        <v>3142327.7459380198</v>
      </c>
    </row>
    <row r="61" spans="1:6">
      <c r="A61" s="1286" t="s">
        <v>49</v>
      </c>
      <c r="B61" s="1286" t="s">
        <v>54</v>
      </c>
      <c r="C61" s="335">
        <v>131</v>
      </c>
      <c r="D61" s="335">
        <v>6828414.59272906</v>
      </c>
      <c r="E61" s="335">
        <v>245</v>
      </c>
      <c r="F61" s="335">
        <v>5002375.4689711798</v>
      </c>
    </row>
    <row r="62" spans="1:6">
      <c r="A62" s="1286" t="s">
        <v>49</v>
      </c>
      <c r="B62" s="1286" t="s">
        <v>55</v>
      </c>
      <c r="C62" s="335">
        <v>17</v>
      </c>
      <c r="D62" s="335">
        <v>3223333.94195688</v>
      </c>
      <c r="E62" s="335">
        <v>19</v>
      </c>
      <c r="F62" s="335">
        <v>1754857.78860607</v>
      </c>
    </row>
    <row r="63" spans="1:6">
      <c r="A63" s="1286" t="s">
        <v>49</v>
      </c>
      <c r="B63" s="1286" t="s">
        <v>29</v>
      </c>
      <c r="C63" s="335">
        <v>111</v>
      </c>
      <c r="D63" s="335">
        <v>12151006.207273399</v>
      </c>
      <c r="E63" s="335">
        <v>97</v>
      </c>
      <c r="F63" s="335">
        <v>1956452.11941196</v>
      </c>
    </row>
    <row r="64" spans="1:6">
      <c r="A64" s="1286" t="s">
        <v>56</v>
      </c>
      <c r="B64" s="1286" t="s">
        <v>57</v>
      </c>
      <c r="C64" s="335">
        <v>0</v>
      </c>
      <c r="D64" s="335">
        <v>0</v>
      </c>
      <c r="E64" s="335">
        <v>0</v>
      </c>
      <c r="F64" s="335">
        <v>0</v>
      </c>
    </row>
    <row r="65" spans="1:6">
      <c r="A65" s="1286" t="s">
        <v>56</v>
      </c>
      <c r="B65" s="1286" t="s">
        <v>29</v>
      </c>
      <c r="C65" s="335">
        <v>3</v>
      </c>
      <c r="D65" s="335">
        <v>109027.094134532</v>
      </c>
      <c r="E65" s="335">
        <v>4</v>
      </c>
      <c r="F65" s="335">
        <v>244953.06514266101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140731.455349419</v>
      </c>
      <c r="E68" s="335">
        <v>14</v>
      </c>
      <c r="F68" s="335">
        <v>208115.311881906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89308541</v>
      </c>
      <c r="E73" s="335">
        <v>92638240.079691842</v>
      </c>
    </row>
    <row r="74" spans="1:6">
      <c r="A74" s="1286" t="s">
        <v>64</v>
      </c>
      <c r="B74" s="1286" t="s">
        <v>772</v>
      </c>
      <c r="C74" s="1297" t="s">
        <v>766</v>
      </c>
      <c r="D74" s="335">
        <v>7801436.282685793</v>
      </c>
      <c r="E74" s="335">
        <v>8363323.5372042321</v>
      </c>
    </row>
    <row r="75" spans="1:6">
      <c r="A75" s="1286" t="s">
        <v>65</v>
      </c>
      <c r="B75" s="1286" t="s">
        <v>771</v>
      </c>
      <c r="C75" s="1297" t="s">
        <v>767</v>
      </c>
      <c r="D75" s="335">
        <v>10706339</v>
      </c>
      <c r="E75" s="335">
        <v>11083963.166266575</v>
      </c>
    </row>
    <row r="76" spans="1:6">
      <c r="A76" s="1286" t="s">
        <v>65</v>
      </c>
      <c r="B76" s="1286" t="s">
        <v>772</v>
      </c>
      <c r="C76" s="1297" t="s">
        <v>768</v>
      </c>
      <c r="D76" s="335">
        <v>153434.28268579324</v>
      </c>
      <c r="E76" s="335">
        <v>218635.43613237061</v>
      </c>
    </row>
    <row r="77" spans="1:6">
      <c r="A77" s="1286" t="s">
        <v>66</v>
      </c>
      <c r="B77" s="1286" t="s">
        <v>771</v>
      </c>
      <c r="C77" s="1297" t="s">
        <v>769</v>
      </c>
      <c r="D77" s="335">
        <v>5099202</v>
      </c>
      <c r="E77" s="335">
        <v>5268255.3740212806</v>
      </c>
    </row>
    <row r="78" spans="1:6">
      <c r="A78" s="1282" t="s">
        <v>66</v>
      </c>
      <c r="B78" s="1282" t="s">
        <v>772</v>
      </c>
      <c r="C78" s="1282" t="s">
        <v>770</v>
      </c>
      <c r="D78" s="1282">
        <v>1198360</v>
      </c>
      <c r="E78" s="1282">
        <v>1236116.9943560921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828947.43462841352</v>
      </c>
      <c r="C83" s="335">
        <v>780322.59186142008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2494.4134065867847</v>
      </c>
    </row>
    <row r="92" spans="1:6">
      <c r="A92" s="1282" t="s">
        <v>69</v>
      </c>
      <c r="B92" s="338">
        <v>3815.7444566821428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3064</v>
      </c>
    </row>
    <row r="98" spans="1:6">
      <c r="A98" s="1286" t="s">
        <v>72</v>
      </c>
      <c r="B98" s="335">
        <v>2</v>
      </c>
    </row>
    <row r="99" spans="1:6">
      <c r="A99" s="1286" t="s">
        <v>73</v>
      </c>
      <c r="B99" s="335">
        <v>56</v>
      </c>
    </row>
    <row r="100" spans="1:6">
      <c r="A100" s="1286" t="s">
        <v>74</v>
      </c>
      <c r="B100" s="335">
        <v>513</v>
      </c>
    </row>
    <row r="101" spans="1:6">
      <c r="A101" s="1286" t="s">
        <v>75</v>
      </c>
      <c r="B101" s="335">
        <v>115</v>
      </c>
    </row>
    <row r="102" spans="1:6">
      <c r="A102" s="1286" t="s">
        <v>76</v>
      </c>
      <c r="B102" s="335">
        <v>55</v>
      </c>
    </row>
    <row r="103" spans="1:6">
      <c r="A103" s="1286" t="s">
        <v>77</v>
      </c>
      <c r="B103" s="335">
        <v>102</v>
      </c>
    </row>
    <row r="104" spans="1:6">
      <c r="A104" s="1286" t="s">
        <v>78</v>
      </c>
      <c r="B104" s="335">
        <v>1072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1</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128077.21954174021</v>
      </c>
      <c r="C3" s="44" t="s">
        <v>170</v>
      </c>
      <c r="D3" s="44"/>
      <c r="E3" s="157"/>
      <c r="F3" s="44"/>
      <c r="G3" s="44"/>
      <c r="H3" s="44"/>
      <c r="I3" s="44"/>
      <c r="J3" s="44"/>
      <c r="K3" s="97"/>
    </row>
    <row r="4" spans="1:11">
      <c r="A4" s="365" t="s">
        <v>171</v>
      </c>
      <c r="B4" s="50">
        <f>IF(ISERROR('SEAP template'!B78+'SEAP template'!C78),0,'SEAP template'!B78+'SEAP template'!C78)</f>
        <v>22271.657863268927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0.18256977481714967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22802.142857142859</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742.76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742.76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0.18256977481714967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135.60552594318608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26031.489004096398</v>
      </c>
      <c r="C5" s="18">
        <f>IF(ISERROR('Eigen informatie GS &amp; warmtenet'!B57),0,'Eigen informatie GS &amp; warmtenet'!B57)</f>
        <v>0</v>
      </c>
      <c r="D5" s="31">
        <f>(SUM(HH_hh_gas_kWh,HH_rest_gas_kWh)/1000)*0.902</f>
        <v>80457.205347190262</v>
      </c>
      <c r="E5" s="18">
        <f>B46*B57</f>
        <v>2704.4240941937796</v>
      </c>
      <c r="F5" s="18">
        <f>B51*B62</f>
        <v>0</v>
      </c>
      <c r="G5" s="19"/>
      <c r="H5" s="18"/>
      <c r="I5" s="18"/>
      <c r="J5" s="18">
        <f>B50*B61+C50*C61</f>
        <v>0</v>
      </c>
      <c r="K5" s="18"/>
      <c r="L5" s="18"/>
      <c r="M5" s="18"/>
      <c r="N5" s="18">
        <f>B48*B59+C48*C59</f>
        <v>18035.967511713901</v>
      </c>
      <c r="O5" s="18">
        <f>B69*B70*B71</f>
        <v>60.970000000000006</v>
      </c>
      <c r="P5" s="18">
        <f>B77*B78*B79/1000-B77*B78*B79/1000/B80</f>
        <v>266.93333333333334</v>
      </c>
    </row>
    <row r="6" spans="1:16">
      <c r="A6" s="17" t="s">
        <v>639</v>
      </c>
      <c r="B6" s="780">
        <f>kWh_PV_kleiner_dan_10kW</f>
        <v>2494.4134065867847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28525.902410683182</v>
      </c>
      <c r="C8" s="22">
        <f>C5</f>
        <v>0</v>
      </c>
      <c r="D8" s="22">
        <f>D5</f>
        <v>80457.205347190262</v>
      </c>
      <c r="E8" s="22">
        <f>E5</f>
        <v>2704.4240941937796</v>
      </c>
      <c r="F8" s="22">
        <f>F5</f>
        <v>0</v>
      </c>
      <c r="G8" s="22"/>
      <c r="H8" s="22"/>
      <c r="I8" s="22"/>
      <c r="J8" s="22">
        <f>J5</f>
        <v>0</v>
      </c>
      <c r="K8" s="22"/>
      <c r="L8" s="22">
        <f>L5</f>
        <v>0</v>
      </c>
      <c r="M8" s="22">
        <f>M5</f>
        <v>0</v>
      </c>
      <c r="N8" s="22">
        <f>N5</f>
        <v>18035.967511713901</v>
      </c>
      <c r="O8" s="22">
        <f>O5</f>
        <v>60.970000000000006</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0.18256977481714967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5207.9675795744151</v>
      </c>
      <c r="C12" s="24">
        <f ca="1">C10*C8</f>
        <v>0</v>
      </c>
      <c r="D12" s="24">
        <f>D8*D10</f>
        <v>16252.355480132434</v>
      </c>
      <c r="E12" s="24">
        <f>E10*E8</f>
        <v>613.904269381988</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3064</v>
      </c>
      <c r="C18" s="169" t="s">
        <v>111</v>
      </c>
      <c r="D18" s="231"/>
      <c r="E18" s="16"/>
    </row>
    <row r="19" spans="1:7">
      <c r="A19" s="174" t="s">
        <v>72</v>
      </c>
      <c r="B19" s="38">
        <f>aantalw2001_ander</f>
        <v>2</v>
      </c>
      <c r="C19" s="169" t="s">
        <v>111</v>
      </c>
      <c r="D19" s="232"/>
      <c r="E19" s="16"/>
    </row>
    <row r="20" spans="1:7">
      <c r="A20" s="174" t="s">
        <v>73</v>
      </c>
      <c r="B20" s="38">
        <f>aantalw2001_propaan</f>
        <v>56</v>
      </c>
      <c r="C20" s="170">
        <f>IF(ISERROR(B20/SUM($B$20,$B$21,$B$22)*100),0,B20/SUM($B$20,$B$21,$B$22)*100)</f>
        <v>8.1871345029239766</v>
      </c>
      <c r="D20" s="232"/>
      <c r="E20" s="16"/>
    </row>
    <row r="21" spans="1:7">
      <c r="A21" s="174" t="s">
        <v>74</v>
      </c>
      <c r="B21" s="38">
        <f>aantalw2001_elektriciteit</f>
        <v>513</v>
      </c>
      <c r="C21" s="170">
        <f>IF(ISERROR(B21/SUM($B$20,$B$21,$B$22)*100),0,B21/SUM($B$20,$B$21,$B$22)*100)</f>
        <v>75</v>
      </c>
      <c r="D21" s="232"/>
      <c r="E21" s="16"/>
    </row>
    <row r="22" spans="1:7">
      <c r="A22" s="174" t="s">
        <v>75</v>
      </c>
      <c r="B22" s="38">
        <f>aantalw2001_hout</f>
        <v>115</v>
      </c>
      <c r="C22" s="170">
        <f>IF(ISERROR(B22/SUM($B$20,$B$21,$B$22)*100),0,B22/SUM($B$20,$B$21,$B$22)*100)</f>
        <v>16.812865497076025</v>
      </c>
      <c r="D22" s="232"/>
      <c r="E22" s="16"/>
    </row>
    <row r="23" spans="1:7">
      <c r="A23" s="174" t="s">
        <v>76</v>
      </c>
      <c r="B23" s="38">
        <f>aantalw2001_niet_gespec</f>
        <v>55</v>
      </c>
      <c r="C23" s="169" t="s">
        <v>111</v>
      </c>
      <c r="D23" s="231"/>
      <c r="E23" s="16"/>
    </row>
    <row r="24" spans="1:7">
      <c r="A24" s="174" t="s">
        <v>77</v>
      </c>
      <c r="B24" s="38">
        <f>aantalw2001_steenkool</f>
        <v>102</v>
      </c>
      <c r="C24" s="169" t="s">
        <v>111</v>
      </c>
      <c r="D24" s="232"/>
      <c r="E24" s="16"/>
    </row>
    <row r="25" spans="1:7">
      <c r="A25" s="174" t="s">
        <v>78</v>
      </c>
      <c r="B25" s="38">
        <f>aantalw2001_stookolie</f>
        <v>1072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5763</v>
      </c>
      <c r="C28" s="37"/>
      <c r="D28" s="231"/>
    </row>
    <row r="29" spans="1:7" s="16" customFormat="1">
      <c r="A29" s="233" t="s">
        <v>666</v>
      </c>
      <c r="B29" s="38">
        <f>SUM(HH_hh_gas_aantal,HH_rest_gas_aantal)</f>
        <v>4250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4250</v>
      </c>
      <c r="C32" s="170">
        <f>IF(ISERROR(B32/SUM($B$32,$B$34,$B$35,$B$36,$B$38,$B$39)*100),0,B32/SUM($B$32,$B$34,$B$35,$B$36,$B$38,$B$39)*100)</f>
        <v>73.925900156548963</v>
      </c>
      <c r="D32" s="236"/>
      <c r="G32" s="16"/>
    </row>
    <row r="33" spans="1:7">
      <c r="A33" s="174" t="s">
        <v>72</v>
      </c>
      <c r="B33" s="35" t="s">
        <v>111</v>
      </c>
      <c r="C33" s="170"/>
      <c r="D33" s="236"/>
      <c r="G33" s="16"/>
    </row>
    <row r="34" spans="1:7">
      <c r="A34" s="174" t="s">
        <v>73</v>
      </c>
      <c r="B34" s="34">
        <f>IF((($B$28-$B$32-$B$39-$B$77-$B$38)*C20/100)&lt;0,0,($B$28-$B$32-$B$39-$B$77-$B$38)*C20/100)</f>
        <v>122.7251461988304</v>
      </c>
      <c r="C34" s="170">
        <f>IF(ISERROR(B34/SUM($B$32,$B$34,$B$35,$B$36,$B$38,$B$39)*100),0,B34/SUM($B$32,$B$34,$B$35,$B$36,$B$38,$B$39)*100)</f>
        <v>2.1347216246100262</v>
      </c>
      <c r="D34" s="236"/>
      <c r="G34" s="16"/>
    </row>
    <row r="35" spans="1:7">
      <c r="A35" s="174" t="s">
        <v>74</v>
      </c>
      <c r="B35" s="34">
        <f>IF((($B$28-$B$32-$B$39-$B$77-$B$38)*C21/100)&lt;0,0,($B$28-$B$32-$B$39-$B$77-$B$38)*C21/100)</f>
        <v>1124.25</v>
      </c>
      <c r="C35" s="170">
        <f>IF(ISERROR(B35/SUM($B$32,$B$34,$B$35,$B$36,$B$38,$B$39)*100),0,B35/SUM($B$32,$B$34,$B$35,$B$36,$B$38,$B$39)*100)</f>
        <v>19.555574882588274</v>
      </c>
      <c r="D35" s="236"/>
      <c r="G35" s="16"/>
    </row>
    <row r="36" spans="1:7">
      <c r="A36" s="174" t="s">
        <v>75</v>
      </c>
      <c r="B36" s="34">
        <f>IF((($B$28-$B$32-$B$39-$B$77-$B$38)*C22/100)&lt;0,0,($B$28-$B$32-$B$39-$B$77-$B$38)*C22/100)</f>
        <v>252.02485380116963</v>
      </c>
      <c r="C36" s="170">
        <f>IF(ISERROR(B36/SUM($B$32,$B$34,$B$35,$B$36,$B$38,$B$39)*100),0,B36/SUM($B$32,$B$34,$B$35,$B$36,$B$38,$B$39)*100)</f>
        <v>4.3838033362527336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4250</v>
      </c>
      <c r="C44" s="35" t="s">
        <v>111</v>
      </c>
      <c r="D44" s="177"/>
    </row>
    <row r="45" spans="1:7">
      <c r="A45" s="174" t="s">
        <v>72</v>
      </c>
      <c r="B45" s="34" t="str">
        <f t="shared" si="0"/>
        <v>-</v>
      </c>
      <c r="C45" s="35" t="s">
        <v>111</v>
      </c>
      <c r="D45" s="177"/>
    </row>
    <row r="46" spans="1:7">
      <c r="A46" s="174" t="s">
        <v>73</v>
      </c>
      <c r="B46" s="34">
        <f t="shared" si="0"/>
        <v>122.7251461988304</v>
      </c>
      <c r="C46" s="35" t="s">
        <v>111</v>
      </c>
      <c r="D46" s="177"/>
    </row>
    <row r="47" spans="1:7">
      <c r="A47" s="174" t="s">
        <v>74</v>
      </c>
      <c r="B47" s="34">
        <f t="shared" si="0"/>
        <v>1124.25</v>
      </c>
      <c r="C47" s="35" t="s">
        <v>111</v>
      </c>
      <c r="D47" s="177"/>
    </row>
    <row r="48" spans="1:7">
      <c r="A48" s="174" t="s">
        <v>75</v>
      </c>
      <c r="B48" s="34">
        <f t="shared" si="0"/>
        <v>252.02485380116963</v>
      </c>
      <c r="C48" s="34">
        <f>B48*10</f>
        <v>2520.2485380116964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22165.166987912726</v>
      </c>
      <c r="C5" s="18">
        <f>IF(ISERROR('Eigen informatie GS &amp; warmtenet'!B58),0,'Eigen informatie GS &amp; warmtenet'!B58)</f>
        <v>0</v>
      </c>
      <c r="D5" s="31">
        <f>SUM(D6:D12)</f>
        <v>40755.095754345224</v>
      </c>
      <c r="E5" s="18">
        <f>SUM(E6:E12)</f>
        <v>245.65591202098628</v>
      </c>
      <c r="F5" s="18">
        <f>SUM(F6:F12)</f>
        <v>4872.0840208877325</v>
      </c>
      <c r="G5" s="19"/>
      <c r="H5" s="18"/>
      <c r="I5" s="18"/>
      <c r="J5" s="18">
        <f>SUM(J6:J12)</f>
        <v>0</v>
      </c>
      <c r="K5" s="18"/>
      <c r="L5" s="18"/>
      <c r="M5" s="18"/>
      <c r="N5" s="18">
        <f>SUM(N6:N12)</f>
        <v>1541.3946437152506</v>
      </c>
      <c r="O5" s="18">
        <f>B38*B39*B40</f>
        <v>1.5633333333333335</v>
      </c>
      <c r="P5" s="18">
        <f>B46*B47*B48/1000-B46*B47*B48/1000/B49</f>
        <v>0</v>
      </c>
      <c r="R5" s="33"/>
    </row>
    <row r="6" spans="1:18">
      <c r="A6" s="33" t="s">
        <v>54</v>
      </c>
      <c r="B6" s="38">
        <f>B26</f>
        <v>5002.3754689711795</v>
      </c>
      <c r="C6" s="34"/>
      <c r="D6" s="38">
        <f>IF(ISERROR(TER_kantoor_gas_kWh/1000),0,TER_kantoor_gas_kWh/1000)*0.902</f>
        <v>6159.2299626416125</v>
      </c>
      <c r="E6" s="34">
        <f>$C$26*'E Balans VL '!I12/100/3.6*1000000</f>
        <v>8.2099120052767933</v>
      </c>
      <c r="F6" s="34">
        <f>$C$26*('E Balans VL '!L12+'E Balans VL '!N12)/100/3.6*1000000</f>
        <v>589.66236828853505</v>
      </c>
      <c r="G6" s="35"/>
      <c r="H6" s="34"/>
      <c r="I6" s="34"/>
      <c r="J6" s="34">
        <f>$C$26*('E Balans VL '!D12+'E Balans VL '!E12)/100/3.6*1000000</f>
        <v>0</v>
      </c>
      <c r="K6" s="34"/>
      <c r="L6" s="34"/>
      <c r="M6" s="34"/>
      <c r="N6" s="34">
        <f>$C$26*'E Balans VL '!Y12/100/3.6*1000000</f>
        <v>1.010706275318491</v>
      </c>
      <c r="O6" s="34"/>
      <c r="P6" s="34"/>
      <c r="R6" s="33"/>
    </row>
    <row r="7" spans="1:18">
      <c r="A7" s="33" t="s">
        <v>53</v>
      </c>
      <c r="B7" s="38">
        <f t="shared" ref="B7:B12" si="0">B27</f>
        <v>3142.3277459380197</v>
      </c>
      <c r="C7" s="34"/>
      <c r="D7" s="38">
        <f>IF(ISERROR(TER_horeca_gas_kWh/1000),0,TER_horeca_gas_kWh/1000)*0.902</f>
        <v>3717.360488688154</v>
      </c>
      <c r="E7" s="34">
        <f>$C$27*'E Balans VL '!I9/100/3.6*1000000</f>
        <v>163.06407164403061</v>
      </c>
      <c r="F7" s="34">
        <f>$C$27*('E Balans VL '!L9+'E Balans VL '!N9)/100/3.6*1000000</f>
        <v>717.08147170736913</v>
      </c>
      <c r="G7" s="35"/>
      <c r="H7" s="34"/>
      <c r="I7" s="34"/>
      <c r="J7" s="34">
        <f>$C$27*('E Balans VL '!D9+'E Balans VL '!E9)/100/3.6*1000000</f>
        <v>0</v>
      </c>
      <c r="K7" s="34"/>
      <c r="L7" s="34"/>
      <c r="M7" s="34"/>
      <c r="N7" s="34">
        <f>$C$27*'E Balans VL '!Y9/100/3.6*1000000</f>
        <v>0.33182836993654041</v>
      </c>
      <c r="O7" s="34"/>
      <c r="P7" s="34"/>
      <c r="R7" s="33"/>
    </row>
    <row r="8" spans="1:18">
      <c r="A8" s="6" t="s">
        <v>52</v>
      </c>
      <c r="B8" s="38">
        <f t="shared" si="0"/>
        <v>6647.81861469049</v>
      </c>
      <c r="C8" s="34"/>
      <c r="D8" s="38">
        <f>IF(ISERROR(TER_handel_gas_kWh/1000),0,TER_handel_gas_kWh/1000)*0.902</f>
        <v>4178.6450639817795</v>
      </c>
      <c r="E8" s="34">
        <f>$C$28*'E Balans VL '!I13/100/3.6*1000000</f>
        <v>35.799320148440138</v>
      </c>
      <c r="F8" s="34">
        <f>$C$28*('E Balans VL '!L13+'E Balans VL '!N13)/100/3.6*1000000</f>
        <v>1355.6877709114465</v>
      </c>
      <c r="G8" s="35"/>
      <c r="H8" s="34"/>
      <c r="I8" s="34"/>
      <c r="J8" s="34">
        <f>$C$28*('E Balans VL '!D13+'E Balans VL '!E13)/100/3.6*1000000</f>
        <v>0</v>
      </c>
      <c r="K8" s="34"/>
      <c r="L8" s="34"/>
      <c r="M8" s="34"/>
      <c r="N8" s="34">
        <f>$C$28*'E Balans VL '!Y13/100/3.6*1000000</f>
        <v>33.056091358426478</v>
      </c>
      <c r="O8" s="34"/>
      <c r="P8" s="34"/>
      <c r="R8" s="33"/>
    </row>
    <row r="9" spans="1:18">
      <c r="A9" s="33" t="s">
        <v>51</v>
      </c>
      <c r="B9" s="38">
        <f t="shared" si="0"/>
        <v>1301.36607306172</v>
      </c>
      <c r="C9" s="34"/>
      <c r="D9" s="38">
        <f>IF(ISERROR(TER_gezond_gas_kWh/1000),0,TER_gezond_gas_kWh/1000)*0.902</f>
        <v>10359.89332608527</v>
      </c>
      <c r="E9" s="34">
        <f>$C$29*'E Balans VL '!I10/100/3.6*1000000</f>
        <v>1.2896685774779</v>
      </c>
      <c r="F9" s="34">
        <f>$C$29*('E Balans VL '!L10+'E Balans VL '!N10)/100/3.6*1000000</f>
        <v>451.53651691442468</v>
      </c>
      <c r="G9" s="35"/>
      <c r="H9" s="34"/>
      <c r="I9" s="34"/>
      <c r="J9" s="34">
        <f>$C$29*('E Balans VL '!D10+'E Balans VL '!E10)/100/3.6*1000000</f>
        <v>0</v>
      </c>
      <c r="K9" s="34"/>
      <c r="L9" s="34"/>
      <c r="M9" s="34"/>
      <c r="N9" s="34">
        <f>$C$29*'E Balans VL '!Y10/100/3.6*1000000</f>
        <v>11.213758714770428</v>
      </c>
      <c r="O9" s="34"/>
      <c r="P9" s="34"/>
      <c r="R9" s="33"/>
    </row>
    <row r="10" spans="1:18">
      <c r="A10" s="33" t="s">
        <v>50</v>
      </c>
      <c r="B10" s="38">
        <f t="shared" si="0"/>
        <v>2359.9691772332899</v>
      </c>
      <c r="C10" s="34"/>
      <c r="D10" s="38">
        <f>IF(ISERROR(TER_ander_gas_kWh/1000),0,TER_ander_gas_kWh/1000)*0.902</f>
        <v>2472.3120983426948</v>
      </c>
      <c r="E10" s="34">
        <f>$C$30*'E Balans VL '!I14/100/3.6*1000000</f>
        <v>19.306906490985057</v>
      </c>
      <c r="F10" s="34">
        <f>$C$30*('E Balans VL '!L14+'E Balans VL '!N14)/100/3.6*1000000</f>
        <v>689.9589090985811</v>
      </c>
      <c r="G10" s="35"/>
      <c r="H10" s="34"/>
      <c r="I10" s="34"/>
      <c r="J10" s="34">
        <f>$C$30*('E Balans VL '!D14+'E Balans VL '!E14)/100/3.6*1000000</f>
        <v>0</v>
      </c>
      <c r="K10" s="34"/>
      <c r="L10" s="34"/>
      <c r="M10" s="34"/>
      <c r="N10" s="34">
        <f>$C$30*'E Balans VL '!Y14/100/3.6*1000000</f>
        <v>1361.3925611435072</v>
      </c>
      <c r="O10" s="34"/>
      <c r="P10" s="34"/>
      <c r="R10" s="33"/>
    </row>
    <row r="11" spans="1:18">
      <c r="A11" s="33" t="s">
        <v>55</v>
      </c>
      <c r="B11" s="38">
        <f t="shared" si="0"/>
        <v>1754.85778860607</v>
      </c>
      <c r="C11" s="34"/>
      <c r="D11" s="38">
        <f>IF(ISERROR(TER_onderwijs_gas_kWh/1000),0,TER_onderwijs_gas_kWh/1000)*0.902</f>
        <v>2907.4472156451061</v>
      </c>
      <c r="E11" s="34">
        <f>$C$31*'E Balans VL '!I11/100/3.6*1000000</f>
        <v>1.0816202960953778</v>
      </c>
      <c r="F11" s="34">
        <f>$C$31*('E Balans VL '!L11+'E Balans VL '!N11)/100/3.6*1000000</f>
        <v>678.45644041668754</v>
      </c>
      <c r="G11" s="35"/>
      <c r="H11" s="34"/>
      <c r="I11" s="34"/>
      <c r="J11" s="34">
        <f>$C$31*('E Balans VL '!D11+'E Balans VL '!E11)/100/3.6*1000000</f>
        <v>0</v>
      </c>
      <c r="K11" s="34"/>
      <c r="L11" s="34"/>
      <c r="M11" s="34"/>
      <c r="N11" s="34">
        <f>$C$31*'E Balans VL '!Y11/100/3.6*1000000</f>
        <v>5.7081763283408282</v>
      </c>
      <c r="O11" s="34"/>
      <c r="P11" s="34"/>
      <c r="R11" s="33"/>
    </row>
    <row r="12" spans="1:18">
      <c r="A12" s="33" t="s">
        <v>260</v>
      </c>
      <c r="B12" s="38">
        <f t="shared" si="0"/>
        <v>1956.45211941196</v>
      </c>
      <c r="C12" s="34"/>
      <c r="D12" s="38">
        <f>IF(ISERROR(TER_rest_gas_kWh/1000),0,TER_rest_gas_kWh/1000)*0.902</f>
        <v>10960.207598960607</v>
      </c>
      <c r="E12" s="34">
        <f>$C$32*'E Balans VL '!I8/100/3.6*1000000</f>
        <v>16.904412858680409</v>
      </c>
      <c r="F12" s="34">
        <f>$C$32*('E Balans VL '!L8+'E Balans VL '!N8)/100/3.6*1000000</f>
        <v>389.70054355068896</v>
      </c>
      <c r="G12" s="35"/>
      <c r="H12" s="34"/>
      <c r="I12" s="34"/>
      <c r="J12" s="34">
        <f>$C$32*('E Balans VL '!D8+'E Balans VL '!E8)/100/3.6*1000000</f>
        <v>0</v>
      </c>
      <c r="K12" s="34"/>
      <c r="L12" s="34"/>
      <c r="M12" s="34"/>
      <c r="N12" s="34">
        <f>$C$32*'E Balans VL '!Y8/100/3.6*1000000</f>
        <v>128.68152152495057</v>
      </c>
      <c r="O12" s="34"/>
      <c r="P12" s="34"/>
      <c r="R12" s="33"/>
    </row>
    <row r="13" spans="1:18">
      <c r="A13" s="17" t="s">
        <v>502</v>
      </c>
      <c r="B13" s="250">
        <f ca="1">'lokale energieproductie'!N91+'lokale energieproductie'!N60</f>
        <v>15961.5</v>
      </c>
      <c r="C13" s="250">
        <f ca="1">'lokale energieproductie'!O91+'lokale energieproductie'!O60</f>
        <v>22802.142857142859</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-45604.285714285717</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38126.666987912729</v>
      </c>
      <c r="C16" s="22">
        <f t="shared" ca="1" si="1"/>
        <v>22802.142857142859</v>
      </c>
      <c r="D16" s="22">
        <f t="shared" ca="1" si="1"/>
        <v>40755.095754345224</v>
      </c>
      <c r="E16" s="22">
        <f t="shared" si="1"/>
        <v>245.65591202098628</v>
      </c>
      <c r="F16" s="22">
        <f t="shared" ca="1" si="1"/>
        <v>4872.0840208877325</v>
      </c>
      <c r="G16" s="22">
        <f t="shared" si="1"/>
        <v>0</v>
      </c>
      <c r="H16" s="22">
        <f t="shared" si="1"/>
        <v>0</v>
      </c>
      <c r="I16" s="22">
        <f t="shared" si="1"/>
        <v>0</v>
      </c>
      <c r="J16" s="22">
        <f t="shared" si="1"/>
        <v>0</v>
      </c>
      <c r="K16" s="22">
        <f t="shared" si="1"/>
        <v>0</v>
      </c>
      <c r="L16" s="22">
        <f t="shared" ca="1" si="1"/>
        <v>0</v>
      </c>
      <c r="M16" s="22">
        <f t="shared" si="1"/>
        <v>0</v>
      </c>
      <c r="N16" s="22">
        <f t="shared" ca="1" si="1"/>
        <v>0</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0.18256977481714967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6960.7770065116811</v>
      </c>
      <c r="C20" s="24">
        <f t="shared" ref="C20:P20" ca="1" si="2">C16*C18</f>
        <v>0</v>
      </c>
      <c r="D20" s="24">
        <f t="shared" ca="1" si="2"/>
        <v>8232.5293423777366</v>
      </c>
      <c r="E20" s="24">
        <f t="shared" si="2"/>
        <v>55.763892028763884</v>
      </c>
      <c r="F20" s="24">
        <f t="shared" ca="1" si="2"/>
        <v>1300.8464335770248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5002.3754689711795</v>
      </c>
      <c r="C26" s="40">
        <f>IF(ISERROR(B26*3.6/1000000/'E Balans VL '!Z12*100),0,B26*3.6/1000000/'E Balans VL '!Z12*100)</f>
        <v>0.10629689135689653</v>
      </c>
      <c r="D26" s="240" t="s">
        <v>707</v>
      </c>
      <c r="F26" s="6"/>
    </row>
    <row r="27" spans="1:18">
      <c r="A27" s="234" t="s">
        <v>53</v>
      </c>
      <c r="B27" s="34">
        <f>IF(ISERROR(TER_horeca_ele_kWh/1000),0,TER_horeca_ele_kWh/1000)</f>
        <v>3142.3277459380197</v>
      </c>
      <c r="C27" s="40">
        <f>IF(ISERROR(B27*3.6/1000000/'E Balans VL '!Z9*100),0,B27*3.6/1000000/'E Balans VL '!Z9*100)</f>
        <v>0.24732549312040278</v>
      </c>
      <c r="D27" s="240" t="s">
        <v>707</v>
      </c>
      <c r="F27" s="6"/>
    </row>
    <row r="28" spans="1:18">
      <c r="A28" s="174" t="s">
        <v>52</v>
      </c>
      <c r="B28" s="34">
        <f>IF(ISERROR(TER_handel_ele_kWh/1000),0,TER_handel_ele_kWh/1000)</f>
        <v>6647.81861469049</v>
      </c>
      <c r="C28" s="40">
        <f>IF(ISERROR(B28*3.6/1000000/'E Balans VL '!Z13*100),0,B28*3.6/1000000/'E Balans VL '!Z13*100)</f>
        <v>0.18620895716954342</v>
      </c>
      <c r="D28" s="240" t="s">
        <v>707</v>
      </c>
      <c r="F28" s="6"/>
    </row>
    <row r="29" spans="1:18">
      <c r="A29" s="234" t="s">
        <v>51</v>
      </c>
      <c r="B29" s="34">
        <f>IF(ISERROR(TER_gezond_ele_kWh/1000),0,TER_gezond_ele_kWh/1000)</f>
        <v>1301.36607306172</v>
      </c>
      <c r="C29" s="40">
        <f>IF(ISERROR(B29*3.6/1000000/'E Balans VL '!Z10*100),0,B29*3.6/1000000/'E Balans VL '!Z10*100)</f>
        <v>0.16648407246977659</v>
      </c>
      <c r="D29" s="240" t="s">
        <v>707</v>
      </c>
      <c r="F29" s="6"/>
    </row>
    <row r="30" spans="1:18">
      <c r="A30" s="234" t="s">
        <v>50</v>
      </c>
      <c r="B30" s="34">
        <f>IF(ISERROR(TER_ander_ele_kWh/1000),0,TER_ander_ele_kWh/1000)</f>
        <v>2359.9691772332899</v>
      </c>
      <c r="C30" s="40">
        <f>IF(ISERROR(B30*3.6/1000000/'E Balans VL '!Z14*100),0,B30*3.6/1000000/'E Balans VL '!Z14*100)</f>
        <v>0.17650580900938584</v>
      </c>
      <c r="D30" s="240" t="s">
        <v>707</v>
      </c>
      <c r="F30" s="6"/>
    </row>
    <row r="31" spans="1:18">
      <c r="A31" s="234" t="s">
        <v>55</v>
      </c>
      <c r="B31" s="34">
        <f>IF(ISERROR(TER_onderwijs_ele_kWh/1000),0,TER_onderwijs_ele_kWh/1000)</f>
        <v>1754.85778860607</v>
      </c>
      <c r="C31" s="40">
        <f>IF(ISERROR(B31*3.6/1000000/'E Balans VL '!Z11*100),0,B31*3.6/1000000/'E Balans VL '!Z11*100)</f>
        <v>0.37054049518603233</v>
      </c>
      <c r="D31" s="240" t="s">
        <v>707</v>
      </c>
    </row>
    <row r="32" spans="1:18">
      <c r="A32" s="234" t="s">
        <v>260</v>
      </c>
      <c r="B32" s="34">
        <f>IF(ISERROR(TER_rest_ele_kWh/1000),0,TER_rest_ele_kWh/1000)</f>
        <v>1956.45211941196</v>
      </c>
      <c r="C32" s="40">
        <f>IF(ISERROR(B32*3.6/1000000/'E Balans VL '!Z8*100),0,B32*3.6/1000000/'E Balans VL '!Z8*100)</f>
        <v>1.6117119649001178E-2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57832.740303474595</v>
      </c>
      <c r="C5" s="18">
        <f>IF(ISERROR('Eigen informatie GS &amp; warmtenet'!B59),0,'Eigen informatie GS &amp; warmtenet'!B59)</f>
        <v>0</v>
      </c>
      <c r="D5" s="31">
        <f>SUM(D6:D15)</f>
        <v>45779.845809755854</v>
      </c>
      <c r="E5" s="18">
        <f>SUM(E6:E15)</f>
        <v>511.72840257591338</v>
      </c>
      <c r="F5" s="18">
        <f>SUM(F6:F15)</f>
        <v>16246.87311330989</v>
      </c>
      <c r="G5" s="19"/>
      <c r="H5" s="18"/>
      <c r="I5" s="18"/>
      <c r="J5" s="18">
        <f>SUM(J6:J15)</f>
        <v>248.83461731977997</v>
      </c>
      <c r="K5" s="18"/>
      <c r="L5" s="18"/>
      <c r="M5" s="18"/>
      <c r="N5" s="18">
        <f>SUM(N6:N15)</f>
        <v>1887.4865604875508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5556.5989613228194</v>
      </c>
      <c r="C8" s="34"/>
      <c r="D8" s="38">
        <f>IF( ISERROR(IND_metaal_Gas_kWH/1000),0,IND_metaal_Gas_kWH/1000)*0.902</f>
        <v>0</v>
      </c>
      <c r="E8" s="34">
        <f>C30*'E Balans VL '!I18/100/3.6*1000000</f>
        <v>50.602945372985452</v>
      </c>
      <c r="F8" s="34">
        <f>C30*'E Balans VL '!L18/100/3.6*1000000+C30*'E Balans VL '!N18/100/3.6*1000000</f>
        <v>732.87320546120213</v>
      </c>
      <c r="G8" s="35"/>
      <c r="H8" s="34"/>
      <c r="I8" s="34"/>
      <c r="J8" s="41">
        <f>C30*'E Balans VL '!D18/100/3.6*1000000+C30*'E Balans VL '!E18/100/3.6*1000000</f>
        <v>91.120155074518451</v>
      </c>
      <c r="K8" s="34"/>
      <c r="L8" s="34"/>
      <c r="M8" s="34"/>
      <c r="N8" s="34">
        <f>C30*'E Balans VL '!Y18/100/3.6*1000000</f>
        <v>19.095823276791435</v>
      </c>
      <c r="O8" s="34"/>
      <c r="P8" s="34"/>
      <c r="R8" s="33"/>
    </row>
    <row r="9" spans="1:18">
      <c r="A9" s="6" t="s">
        <v>33</v>
      </c>
      <c r="B9" s="38">
        <f t="shared" si="0"/>
        <v>10305.4675330154</v>
      </c>
      <c r="C9" s="34"/>
      <c r="D9" s="38">
        <f>IF( ISERROR(IND_andere_gas_kWh/1000),0,IND_andere_gas_kWh/1000)*0.902</f>
        <v>1826.8215461458735</v>
      </c>
      <c r="E9" s="34">
        <f>C31*'E Balans VL '!I19/100/3.6*1000000</f>
        <v>59.567142365571783</v>
      </c>
      <c r="F9" s="34">
        <f>C31*'E Balans VL '!L19/100/3.6*1000000+C31*'E Balans VL '!N19/100/3.6*1000000</f>
        <v>8198.4953019887671</v>
      </c>
      <c r="G9" s="35"/>
      <c r="H9" s="34"/>
      <c r="I9" s="34"/>
      <c r="J9" s="41">
        <f>C31*'E Balans VL '!D19/100/3.6*1000000+C31*'E Balans VL '!E19/100/3.6*1000000</f>
        <v>0.97478275873212228</v>
      </c>
      <c r="K9" s="34"/>
      <c r="L9" s="34"/>
      <c r="M9" s="34"/>
      <c r="N9" s="34">
        <f>C31*'E Balans VL '!Y19/100/3.6*1000000</f>
        <v>780.7951214324537</v>
      </c>
      <c r="O9" s="34"/>
      <c r="P9" s="34"/>
      <c r="R9" s="33"/>
    </row>
    <row r="10" spans="1:18">
      <c r="A10" s="6" t="s">
        <v>41</v>
      </c>
      <c r="B10" s="38">
        <f t="shared" si="0"/>
        <v>10257.545028004199</v>
      </c>
      <c r="C10" s="34"/>
      <c r="D10" s="38">
        <f>IF( ISERROR(IND_voed_gas_kWh/1000),0,IND_voed_gas_kWh/1000)*0.902</f>
        <v>2866.4601790849297</v>
      </c>
      <c r="E10" s="34">
        <f>C32*'E Balans VL '!I20/100/3.6*1000000</f>
        <v>100.85850291519198</v>
      </c>
      <c r="F10" s="34">
        <f>C32*'E Balans VL '!L20/100/3.6*1000000+C32*'E Balans VL '!N20/100/3.6*1000000</f>
        <v>1139.2342634474476</v>
      </c>
      <c r="G10" s="35"/>
      <c r="H10" s="34"/>
      <c r="I10" s="34"/>
      <c r="J10" s="41">
        <f>C32*'E Balans VL '!D20/100/3.6*1000000+C32*'E Balans VL '!E20/100/3.6*1000000</f>
        <v>4.0429641600606192E-2</v>
      </c>
      <c r="K10" s="34"/>
      <c r="L10" s="34"/>
      <c r="M10" s="34"/>
      <c r="N10" s="34">
        <f>C32*'E Balans VL '!Y20/100/3.6*1000000</f>
        <v>151.8901135755282</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958.44069781812004</v>
      </c>
      <c r="C12" s="34"/>
      <c r="D12" s="38">
        <f>IF( ISERROR(IND_min_gas_kWh/1000),0,IND_min_gas_kWh/1000)*0.902</f>
        <v>0</v>
      </c>
      <c r="E12" s="34">
        <f>C34*'E Balans VL '!I22/100/3.6*1000000</f>
        <v>24.298177230193545</v>
      </c>
      <c r="F12" s="34">
        <f>C34*'E Balans VL '!L22/100/3.6*1000000+C34*'E Balans VL '!N22/100/3.6*1000000</f>
        <v>265.20388181785091</v>
      </c>
      <c r="G12" s="35"/>
      <c r="H12" s="34"/>
      <c r="I12" s="34"/>
      <c r="J12" s="41">
        <f>C34*'E Balans VL '!D22/100/3.6*1000000+C34*'E Balans VL '!E22/100/3.6*1000000</f>
        <v>6.3297349679383652</v>
      </c>
      <c r="K12" s="34"/>
      <c r="L12" s="34"/>
      <c r="M12" s="34"/>
      <c r="N12" s="34">
        <f>C34*'E Balans VL '!Y22/100/3.6*1000000</f>
        <v>0</v>
      </c>
      <c r="O12" s="34"/>
      <c r="P12" s="34"/>
      <c r="R12" s="33"/>
    </row>
    <row r="13" spans="1:18">
      <c r="A13" s="6" t="s">
        <v>39</v>
      </c>
      <c r="B13" s="38">
        <f t="shared" si="0"/>
        <v>47.732185082180798</v>
      </c>
      <c r="C13" s="34"/>
      <c r="D13" s="38">
        <f>IF( ISERROR(IND_papier_gas_kWh/1000),0,IND_papier_gas_kWh/1000)*0.902</f>
        <v>130.61729893957465</v>
      </c>
      <c r="E13" s="34">
        <f>C35*'E Balans VL '!I23/100/3.6*1000000</f>
        <v>1.6258274310930283</v>
      </c>
      <c r="F13" s="34">
        <f>C35*'E Balans VL '!L23/100/3.6*1000000+C35*'E Balans VL '!N23/100/3.6*1000000</f>
        <v>7.8842367253064136</v>
      </c>
      <c r="G13" s="35"/>
      <c r="H13" s="34"/>
      <c r="I13" s="34"/>
      <c r="J13" s="41">
        <f>C35*'E Balans VL '!D23/100/3.6*1000000+C35*'E Balans VL '!E23/100/3.6*1000000</f>
        <v>0</v>
      </c>
      <c r="K13" s="34"/>
      <c r="L13" s="34"/>
      <c r="M13" s="34"/>
      <c r="N13" s="34">
        <f>C35*'E Balans VL '!Y23/100/3.6*1000000</f>
        <v>17.564164032270337</v>
      </c>
      <c r="O13" s="34"/>
      <c r="P13" s="34"/>
      <c r="R13" s="33"/>
    </row>
    <row r="14" spans="1:18">
      <c r="A14" s="6" t="s">
        <v>34</v>
      </c>
      <c r="B14" s="38">
        <f t="shared" si="0"/>
        <v>805.11055168407006</v>
      </c>
      <c r="C14" s="34"/>
      <c r="D14" s="38">
        <f>IF( ISERROR(IND_chemie_gas_kWh/1000),0,IND_chemie_gas_kWh/1000)*0.902</f>
        <v>0</v>
      </c>
      <c r="E14" s="34">
        <f>C36*'E Balans VL '!I24/100/3.6*1000000</f>
        <v>6.0870662688563826</v>
      </c>
      <c r="F14" s="34">
        <f>C36*'E Balans VL '!L24/100/3.6*1000000+C36*'E Balans VL '!N24/100/3.6*1000000</f>
        <v>14.896771186880182</v>
      </c>
      <c r="G14" s="35"/>
      <c r="H14" s="34"/>
      <c r="I14" s="34"/>
      <c r="J14" s="41">
        <f>C36*'E Balans VL '!D24/100/3.6*1000000+C36*'E Balans VL '!E24/100/3.6*1000000</f>
        <v>0</v>
      </c>
      <c r="K14" s="34"/>
      <c r="L14" s="34"/>
      <c r="M14" s="34"/>
      <c r="N14" s="34">
        <f>C36*'E Balans VL '!Y24/100/3.6*1000000</f>
        <v>0.23346129929621362</v>
      </c>
      <c r="O14" s="34"/>
      <c r="P14" s="34"/>
      <c r="R14" s="33"/>
    </row>
    <row r="15" spans="1:18">
      <c r="A15" s="6" t="s">
        <v>270</v>
      </c>
      <c r="B15" s="38">
        <f t="shared" si="0"/>
        <v>29901.845346547801</v>
      </c>
      <c r="C15" s="34"/>
      <c r="D15" s="38">
        <f>IF( ISERROR(IND_rest_gas_kWh/1000),0,IND_rest_gas_kWh/1000)*0.902</f>
        <v>40955.946785585475</v>
      </c>
      <c r="E15" s="34">
        <f>C37*'E Balans VL '!I15/100/3.6*1000000</f>
        <v>268.68874099202122</v>
      </c>
      <c r="F15" s="34">
        <f>C37*'E Balans VL '!L15/100/3.6*1000000+C37*'E Balans VL '!N15/100/3.6*1000000</f>
        <v>5888.285452682434</v>
      </c>
      <c r="G15" s="35"/>
      <c r="H15" s="34"/>
      <c r="I15" s="34"/>
      <c r="J15" s="41">
        <f>C37*'E Balans VL '!D15/100/3.6*1000000+C37*'E Balans VL '!E15/100/3.6*1000000</f>
        <v>150.36951487699042</v>
      </c>
      <c r="K15" s="34"/>
      <c r="L15" s="34"/>
      <c r="M15" s="34"/>
      <c r="N15" s="34">
        <f>C37*'E Balans VL '!Y15/100/3.6*1000000</f>
        <v>917.90787687121087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57832.740303474595</v>
      </c>
      <c r="C18" s="22">
        <f>C5+C16</f>
        <v>0</v>
      </c>
      <c r="D18" s="22">
        <f>MAX((D5+D16),0)</f>
        <v>45779.845809755854</v>
      </c>
      <c r="E18" s="22">
        <f>MAX((E5+E16),0)</f>
        <v>511.72840257591338</v>
      </c>
      <c r="F18" s="22">
        <f>MAX((F5+F16),0)</f>
        <v>16246.87311330989</v>
      </c>
      <c r="G18" s="22"/>
      <c r="H18" s="22"/>
      <c r="I18" s="22"/>
      <c r="J18" s="22">
        <f>MAX((J5+J16),0)</f>
        <v>248.83461731977997</v>
      </c>
      <c r="K18" s="22"/>
      <c r="L18" s="22">
        <f>MAX((L5+L16),0)</f>
        <v>0</v>
      </c>
      <c r="M18" s="22"/>
      <c r="N18" s="22">
        <f>MAX((N5+N16),0)</f>
        <v>1887.4865604875508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0.18256977481714967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10558.510374264053</v>
      </c>
      <c r="C22" s="24">
        <f ca="1">C18*C20</f>
        <v>0</v>
      </c>
      <c r="D22" s="24">
        <f>D18*D20</f>
        <v>9247.5288535706823</v>
      </c>
      <c r="E22" s="24">
        <f>E18*E20</f>
        <v>116.16234738473234</v>
      </c>
      <c r="F22" s="24">
        <f>F18*F20</f>
        <v>4337.9151212537408</v>
      </c>
      <c r="G22" s="24"/>
      <c r="H22" s="24"/>
      <c r="I22" s="24"/>
      <c r="J22" s="24">
        <f>J18*J20</f>
        <v>88.087454531202098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5556.5989613228194</v>
      </c>
      <c r="C30" s="40">
        <f>IF(ISERROR(B30*3.6/1000000/'E Balans VL '!Z18*100),0,B30*3.6/1000000/'E Balans VL '!Z18*100)</f>
        <v>0.30918757553915499</v>
      </c>
      <c r="D30" s="240" t="s">
        <v>707</v>
      </c>
    </row>
    <row r="31" spans="1:18">
      <c r="A31" s="6" t="s">
        <v>33</v>
      </c>
      <c r="B31" s="38">
        <f>IF( ISERROR(IND_ander_ele_kWh/1000),0,IND_ander_ele_kWh/1000)</f>
        <v>10305.4675330154</v>
      </c>
      <c r="C31" s="40">
        <f>IF(ISERROR(B31*3.6/1000000/'E Balans VL '!Z19*100),0,B31*3.6/1000000/'E Balans VL '!Z19*100)</f>
        <v>0.47907412033251062</v>
      </c>
      <c r="D31" s="240" t="s">
        <v>707</v>
      </c>
    </row>
    <row r="32" spans="1:18">
      <c r="A32" s="174" t="s">
        <v>41</v>
      </c>
      <c r="B32" s="38">
        <f>IF( ISERROR(IND_voed_ele_kWh/1000),0,IND_voed_ele_kWh/1000)</f>
        <v>10257.545028004199</v>
      </c>
      <c r="C32" s="40">
        <f>IF(ISERROR(B32*3.6/1000000/'E Balans VL '!Z20*100),0,B32*3.6/1000000/'E Balans VL '!Z20*100)</f>
        <v>0.36258350075043316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958.44069781812004</v>
      </c>
      <c r="C34" s="40">
        <f>IF(ISERROR(B34*3.6/1000000/'E Balans VL '!Z22*100),0,B34*3.6/1000000/'E Balans VL '!Z22*100)</f>
        <v>0.19261955314685042</v>
      </c>
      <c r="D34" s="240" t="s">
        <v>707</v>
      </c>
    </row>
    <row r="35" spans="1:5">
      <c r="A35" s="174" t="s">
        <v>39</v>
      </c>
      <c r="B35" s="38">
        <f>IF( ISERROR(IND_papier_ele_kWh/1000),0,IND_papier_ele_kWh/1000)</f>
        <v>47.732185082180798</v>
      </c>
      <c r="C35" s="40">
        <f>IF(ISERROR(B35*3.6/1000000/'E Balans VL '!Z22*100),0,B35*3.6/1000000/'E Balans VL '!Z22*100)</f>
        <v>9.5928231993724945E-3</v>
      </c>
      <c r="D35" s="240" t="s">
        <v>707</v>
      </c>
    </row>
    <row r="36" spans="1:5">
      <c r="A36" s="174" t="s">
        <v>34</v>
      </c>
      <c r="B36" s="38">
        <f>IF( ISERROR(IND_chemie_ele_kWh/1000),0,IND_chemie_ele_kWh/1000)</f>
        <v>805.11055168407006</v>
      </c>
      <c r="C36" s="40">
        <f>IF(ISERROR(B36*3.6/1000000/'E Balans VL '!Z24*100),0,B36*3.6/1000000/'E Balans VL '!Z24*100)</f>
        <v>1.98260275497339E-2</v>
      </c>
      <c r="D36" s="240" t="s">
        <v>707</v>
      </c>
    </row>
    <row r="37" spans="1:5">
      <c r="A37" s="174" t="s">
        <v>270</v>
      </c>
      <c r="B37" s="38">
        <f>IF( ISERROR(IND_rest_ele_kWh/1000),0,IND_rest_ele_kWh/1000)</f>
        <v>29901.845346547801</v>
      </c>
      <c r="C37" s="40">
        <f>IF(ISERROR(B37*3.6/1000000/'E Balans VL '!Z15*100),0,B37*3.6/1000000/'E Balans VL '!Z15*100)</f>
        <v>0.2258031040714357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1479.2236360732211</v>
      </c>
      <c r="C5" s="18">
        <f>'Eigen informatie GS &amp; warmtenet'!B60</f>
        <v>0</v>
      </c>
      <c r="D5" s="31">
        <f>IF(ISERROR(SUM(LB_lb_gas_kWh,LB_rest_gas_kWh)/1000),0,SUM(LB_lb_gas_kWh,LB_rest_gas_kWh)/1000)*0.902</f>
        <v>5201.0027607947923</v>
      </c>
      <c r="E5" s="18">
        <f>B17*'E Balans VL '!I25/3.6*1000000/100</f>
        <v>13.935277764157464</v>
      </c>
      <c r="F5" s="18">
        <f>B17*('E Balans VL '!L25/3.6*1000000+'E Balans VL '!N25/3.6*1000000)/100</f>
        <v>4827.1976357183084</v>
      </c>
      <c r="G5" s="19"/>
      <c r="H5" s="18"/>
      <c r="I5" s="18"/>
      <c r="J5" s="18">
        <f>('E Balans VL '!D25+'E Balans VL '!E25)/3.6*1000000*landbouw!B17/100</f>
        <v>182.9871587246412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1479.2236360732211</v>
      </c>
      <c r="C8" s="22">
        <f>C5+C6</f>
        <v>0</v>
      </c>
      <c r="D8" s="22">
        <f>MAX((D5+D6),0)</f>
        <v>5201.0027607947923</v>
      </c>
      <c r="E8" s="22">
        <f>MAX((E5+E6),0)</f>
        <v>13.935277764157464</v>
      </c>
      <c r="F8" s="22">
        <f>MAX((F5+F6),0)</f>
        <v>4827.1976357183084</v>
      </c>
      <c r="G8" s="22"/>
      <c r="H8" s="22"/>
      <c r="I8" s="22"/>
      <c r="J8" s="22">
        <f>MAX((J5+J6),0)</f>
        <v>182.9871587246412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0.18256977481714967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270.06152614209333</v>
      </c>
      <c r="C12" s="24">
        <f ca="1">C8*C10</f>
        <v>0</v>
      </c>
      <c r="D12" s="24">
        <f>D8*D10</f>
        <v>1050.6025576805482</v>
      </c>
      <c r="E12" s="24">
        <f>E8*E10</f>
        <v>3.1633080524637442</v>
      </c>
      <c r="F12" s="24">
        <f>F8*F10</f>
        <v>1288.8617687367885</v>
      </c>
      <c r="G12" s="24"/>
      <c r="H12" s="24"/>
      <c r="I12" s="24"/>
      <c r="J12" s="24">
        <f>J8*J10</f>
        <v>64.777454188522981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0.20026324308622051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482.12763846133959</v>
      </c>
      <c r="C26" s="250">
        <f>B26*'GWP N2O_CH4'!B5</f>
        <v>10124.680407688131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139.56328118481784</v>
      </c>
      <c r="C27" s="250">
        <f>B27*'GWP N2O_CH4'!B5</f>
        <v>2930.8289048811748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6.6135034881124524</v>
      </c>
      <c r="C28" s="250">
        <f>B28*'GWP N2O_CH4'!B4</f>
        <v>2050.1860813148601</v>
      </c>
      <c r="D28" s="51"/>
    </row>
    <row r="29" spans="1:4">
      <c r="A29" s="42" t="s">
        <v>277</v>
      </c>
      <c r="B29" s="250">
        <f>B34*'ha_N2O bodem landbouw'!B4</f>
        <v>13.374759771290632</v>
      </c>
      <c r="C29" s="250">
        <f>B29*'GWP N2O_CH4'!B4</f>
        <v>4146.1755291000964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3.6107640972419717E-3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7.9617718753647488E-6</v>
      </c>
      <c r="C5" s="447" t="s">
        <v>211</v>
      </c>
      <c r="D5" s="432">
        <f>SUM(D6:D11)</f>
        <v>2.1048450025973893E-5</v>
      </c>
      <c r="E5" s="432">
        <f>SUM(E6:E11)</f>
        <v>1.244785354373583E-3</v>
      </c>
      <c r="F5" s="445" t="s">
        <v>211</v>
      </c>
      <c r="G5" s="432">
        <f>SUM(G6:G11)</f>
        <v>0.26279553945954015</v>
      </c>
      <c r="H5" s="432">
        <f>SUM(H6:H11)</f>
        <v>4.7087536827047798E-2</v>
      </c>
      <c r="I5" s="447" t="s">
        <v>211</v>
      </c>
      <c r="J5" s="447" t="s">
        <v>211</v>
      </c>
      <c r="K5" s="447" t="s">
        <v>211</v>
      </c>
      <c r="L5" s="447" t="s">
        <v>211</v>
      </c>
      <c r="M5" s="432">
        <f>SUM(M6:M11)</f>
        <v>1.3856304342245024E-2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6.7645953466411822E-6</v>
      </c>
      <c r="C6" s="433"/>
      <c r="D6" s="433">
        <f>vkm_2011_GW_PW*SUMIFS(TableVerdeelsleutelVkm[CNG],TableVerdeelsleutelVkm[Voertuigtype],"Lichte voertuigen")*SUMIFS(TableECFTransport[EnergieConsumptieFactor (PJ per km)],TableECFTransport[Index],CONCATENATE($A6,"_CNG_CNG"))</f>
        <v>1.6519255123896115E-5</v>
      </c>
      <c r="E6" s="435">
        <f>vkm_2011_GW_PW*SUMIFS(TableVerdeelsleutelVkm[LPG],TableVerdeelsleutelVkm[Voertuigtype],"Lichte voertuigen")*SUMIFS(TableECFTransport[EnergieConsumptieFactor (PJ per km)],TableECFTransport[Index],CONCATENATE($A6,"_LPG_LPG"))</f>
        <v>9.7917607452989246E-4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0.1415514200879279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3.7096560508078108E-2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8.0001855715243382E-3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7.2534169440462509E-2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2.9264709499654296E-5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3.231374806657718E-3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8.1094204616961569E-7</v>
      </c>
      <c r="C8" s="433"/>
      <c r="D8" s="435">
        <f>vkm_2011_NGW_PW*SUMIFS(TableVerdeelsleutelVkm[CNG],TableVerdeelsleutelVkm[Voertuigtype],"Lichte voertuigen")*SUMIFS(TableECFTransport[EnergieConsumptieFactor (PJ per km)],TableECFTransport[Index],CONCATENATE($A8,"_CNG_CNG"))</f>
        <v>3.553055760400287E-6</v>
      </c>
      <c r="E8" s="435">
        <f>vkm_2011_NGW_PW*SUMIFS(TableVerdeelsleutelVkm[LPG],TableVerdeelsleutelVkm[Voertuigtype],"Lichte voertuigen")*SUMIFS(TableECFTransport[EnergieConsumptieFactor (PJ per km)],TableECFTransport[Index],CONCATENATE($A8,"_LPG_LPG"))</f>
        <v>1.9321060438944737E-4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2.6385868686810636E-2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7.6406104358012735E-3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1.5244622815429633E-3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1.9777671573556238E-3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6.9477324236164509E-7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8.81041957469688E-5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3.8623448255395207E-7</v>
      </c>
      <c r="C10" s="433"/>
      <c r="D10" s="435">
        <f>vkm_2011_SW_PW*SUMIFS(TableVerdeelsleutelVkm[CNG],TableVerdeelsleutelVkm[Voertuigtype],"Lichte voertuigen")*SUMIFS(TableECFTransport[EnergieConsumptieFactor (PJ per km)],TableECFTransport[Index],CONCATENATE($A10,"_CNG_CNG"))</f>
        <v>9.7613914167749174E-7</v>
      </c>
      <c r="E10" s="435">
        <f>vkm_2011_SW_PW*SUMIFS(TableVerdeelsleutelVkm[LPG],TableVerdeelsleutelVkm[Voertuigtype],"Lichte voertuigen")*SUMIFS(TableECFTransport[EnergieConsumptieFactor (PJ per km)],TableECFTransport[Index],CONCATENATE($A10,"_LPG_LPG"))</f>
        <v>7.2398675454243095E-5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9.5381205628868263E-3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2.3157799381147461E-3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5.3066365314706075E-4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1.0808193524096668E-2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4.6264623116454423E-6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4.8151383362597325E-4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2.2116032987124301</v>
      </c>
      <c r="C14" s="22"/>
      <c r="D14" s="22">
        <f t="shared" ref="D14:M14" si="0">((D5)*10^9/3600)+D12</f>
        <v>5.8467916738816372</v>
      </c>
      <c r="E14" s="22">
        <f t="shared" si="0"/>
        <v>345.77370954821748</v>
      </c>
      <c r="F14" s="22"/>
      <c r="G14" s="22">
        <f t="shared" si="0"/>
        <v>72998.760960983374</v>
      </c>
      <c r="H14" s="22">
        <f t="shared" si="0"/>
        <v>13079.87134084661</v>
      </c>
      <c r="I14" s="22"/>
      <c r="J14" s="22"/>
      <c r="K14" s="22"/>
      <c r="L14" s="22"/>
      <c r="M14" s="22">
        <f t="shared" si="0"/>
        <v>3848.9734284013953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0.18256977481714967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0.40377191623079378</v>
      </c>
      <c r="C18" s="24"/>
      <c r="D18" s="24">
        <f t="shared" ref="D18:M18" si="1">D14*D16</f>
        <v>1.1810519181240908</v>
      </c>
      <c r="E18" s="24">
        <f t="shared" si="1"/>
        <v>78.490632067445375</v>
      </c>
      <c r="F18" s="24"/>
      <c r="G18" s="24">
        <f t="shared" si="1"/>
        <v>19490.669176582564</v>
      </c>
      <c r="H18" s="24">
        <f t="shared" si="1"/>
        <v>3256.8879638708058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1.0865236507242705E-2</v>
      </c>
      <c r="H50" s="323">
        <f t="shared" si="2"/>
        <v>0</v>
      </c>
      <c r="I50" s="323">
        <f t="shared" si="2"/>
        <v>0</v>
      </c>
      <c r="J50" s="323">
        <f t="shared" si="2"/>
        <v>0</v>
      </c>
      <c r="K50" s="323">
        <f t="shared" si="2"/>
        <v>0</v>
      </c>
      <c r="L50" s="323">
        <f t="shared" si="2"/>
        <v>0</v>
      </c>
      <c r="M50" s="323">
        <f t="shared" si="2"/>
        <v>4.7711045836176959E-4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1.0865236507242705E-2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4.7711045836176959E-4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3018.1212520118629</v>
      </c>
      <c r="H54" s="22">
        <f t="shared" si="3"/>
        <v>0</v>
      </c>
      <c r="I54" s="22">
        <f t="shared" si="3"/>
        <v>0</v>
      </c>
      <c r="J54" s="22">
        <f t="shared" si="3"/>
        <v>0</v>
      </c>
      <c r="K54" s="22">
        <f t="shared" si="3"/>
        <v>0</v>
      </c>
      <c r="L54" s="22">
        <f t="shared" si="3"/>
        <v>0</v>
      </c>
      <c r="M54" s="22">
        <f t="shared" si="3"/>
        <v>132.53068287826935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0.18256977481714967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805.83837428716743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38869.426987912731</v>
      </c>
      <c r="D10" s="688">
        <f ca="1">tertiair!C16</f>
        <v>22802.142857142859</v>
      </c>
      <c r="E10" s="688">
        <f ca="1">tertiair!D16</f>
        <v>40755.095754345224</v>
      </c>
      <c r="F10" s="688">
        <f>tertiair!E16</f>
        <v>245.65591202098628</v>
      </c>
      <c r="G10" s="688">
        <f ca="1">tertiair!F16</f>
        <v>4872.0840208877325</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1.5633333333333335</v>
      </c>
      <c r="Q10" s="689">
        <f>tertiair!P16</f>
        <v>0</v>
      </c>
      <c r="R10" s="691">
        <f ca="1">SUM(C10:Q10)</f>
        <v>107545.96886564288</v>
      </c>
      <c r="S10" s="68"/>
    </row>
    <row r="11" spans="1:19" s="457" customFormat="1">
      <c r="A11" s="803" t="s">
        <v>225</v>
      </c>
      <c r="B11" s="808"/>
      <c r="C11" s="688">
        <f>huishoudens!B8</f>
        <v>28525.902410683182</v>
      </c>
      <c r="D11" s="688">
        <f>huishoudens!C8</f>
        <v>0</v>
      </c>
      <c r="E11" s="688">
        <f>huishoudens!D8</f>
        <v>80457.205347190262</v>
      </c>
      <c r="F11" s="688">
        <f>huishoudens!E8</f>
        <v>2704.4240941937796</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18035.967511713901</v>
      </c>
      <c r="P11" s="688">
        <f>huishoudens!O8</f>
        <v>60.970000000000006</v>
      </c>
      <c r="Q11" s="689">
        <f>huishoudens!P8</f>
        <v>266.93333333333334</v>
      </c>
      <c r="R11" s="691">
        <f>SUM(C11:Q11)</f>
        <v>130051.40269711445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57832.740303474595</v>
      </c>
      <c r="D13" s="688">
        <f>industrie!C18</f>
        <v>0</v>
      </c>
      <c r="E13" s="688">
        <f>industrie!D18</f>
        <v>45779.845809755854</v>
      </c>
      <c r="F13" s="688">
        <f>industrie!E18</f>
        <v>511.72840257591338</v>
      </c>
      <c r="G13" s="688">
        <f>industrie!F18</f>
        <v>16246.87311330989</v>
      </c>
      <c r="H13" s="688">
        <f>industrie!G18</f>
        <v>0</v>
      </c>
      <c r="I13" s="688">
        <f>industrie!H18</f>
        <v>0</v>
      </c>
      <c r="J13" s="688">
        <f>industrie!I18</f>
        <v>0</v>
      </c>
      <c r="K13" s="688">
        <f>industrie!J18</f>
        <v>248.83461731977997</v>
      </c>
      <c r="L13" s="688">
        <f>industrie!K18</f>
        <v>0</v>
      </c>
      <c r="M13" s="688">
        <f>industrie!L18</f>
        <v>0</v>
      </c>
      <c r="N13" s="688">
        <f>industrie!M18</f>
        <v>0</v>
      </c>
      <c r="O13" s="688">
        <f>industrie!N18</f>
        <v>1887.4865604875508</v>
      </c>
      <c r="P13" s="688">
        <f>industrie!O18</f>
        <v>0</v>
      </c>
      <c r="Q13" s="689">
        <f>industrie!P18</f>
        <v>0</v>
      </c>
      <c r="R13" s="691">
        <f>SUM(C13:Q13)</f>
        <v>122507.50880692358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125228.06970207051</v>
      </c>
      <c r="D16" s="721">
        <f t="shared" ref="D16:R16" ca="1" si="0">SUM(D9:D15)</f>
        <v>22802.142857142859</v>
      </c>
      <c r="E16" s="721">
        <f t="shared" ca="1" si="0"/>
        <v>166992.14691129135</v>
      </c>
      <c r="F16" s="721">
        <f t="shared" si="0"/>
        <v>3461.8084087906791</v>
      </c>
      <c r="G16" s="721">
        <f t="shared" ca="1" si="0"/>
        <v>21118.957134197623</v>
      </c>
      <c r="H16" s="721">
        <f t="shared" si="0"/>
        <v>0</v>
      </c>
      <c r="I16" s="721">
        <f t="shared" si="0"/>
        <v>0</v>
      </c>
      <c r="J16" s="721">
        <f t="shared" si="0"/>
        <v>0</v>
      </c>
      <c r="K16" s="721">
        <f t="shared" si="0"/>
        <v>248.83461731977997</v>
      </c>
      <c r="L16" s="721">
        <f t="shared" si="0"/>
        <v>0</v>
      </c>
      <c r="M16" s="721">
        <f t="shared" ca="1" si="0"/>
        <v>0</v>
      </c>
      <c r="N16" s="721">
        <f t="shared" si="0"/>
        <v>0</v>
      </c>
      <c r="O16" s="721">
        <f t="shared" ca="1" si="0"/>
        <v>19923.454072201454</v>
      </c>
      <c r="P16" s="721">
        <f t="shared" si="0"/>
        <v>62.533333333333339</v>
      </c>
      <c r="Q16" s="721">
        <f t="shared" si="0"/>
        <v>266.93333333333334</v>
      </c>
      <c r="R16" s="721">
        <f t="shared" ca="1" si="0"/>
        <v>360104.88036968093</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3018.1212520118629</v>
      </c>
      <c r="I19" s="688">
        <f>transport!H54</f>
        <v>0</v>
      </c>
      <c r="J19" s="688">
        <f>transport!I54</f>
        <v>0</v>
      </c>
      <c r="K19" s="688">
        <f>transport!J54</f>
        <v>0</v>
      </c>
      <c r="L19" s="688">
        <f>transport!K54</f>
        <v>0</v>
      </c>
      <c r="M19" s="688">
        <f>transport!L54</f>
        <v>0</v>
      </c>
      <c r="N19" s="688">
        <f>transport!M54</f>
        <v>132.53068287826935</v>
      </c>
      <c r="O19" s="688">
        <f>transport!N54</f>
        <v>0</v>
      </c>
      <c r="P19" s="688">
        <f>transport!O54</f>
        <v>0</v>
      </c>
      <c r="Q19" s="689">
        <f>transport!P54</f>
        <v>0</v>
      </c>
      <c r="R19" s="691">
        <f>SUM(C19:Q19)</f>
        <v>3150.6519348901325</v>
      </c>
      <c r="S19" s="68"/>
    </row>
    <row r="20" spans="1:19" s="457" customFormat="1">
      <c r="A20" s="803" t="s">
        <v>307</v>
      </c>
      <c r="B20" s="808"/>
      <c r="C20" s="688">
        <f>transport!B14</f>
        <v>2.2116032987124301</v>
      </c>
      <c r="D20" s="688">
        <f>transport!C14</f>
        <v>0</v>
      </c>
      <c r="E20" s="688">
        <f>transport!D14</f>
        <v>5.8467916738816372</v>
      </c>
      <c r="F20" s="688">
        <f>transport!E14</f>
        <v>345.77370954821748</v>
      </c>
      <c r="G20" s="688">
        <f>transport!F14</f>
        <v>0</v>
      </c>
      <c r="H20" s="688">
        <f>transport!G14</f>
        <v>72998.760960983374</v>
      </c>
      <c r="I20" s="688">
        <f>transport!H14</f>
        <v>13079.87134084661</v>
      </c>
      <c r="J20" s="688">
        <f>transport!I14</f>
        <v>0</v>
      </c>
      <c r="K20" s="688">
        <f>transport!J14</f>
        <v>0</v>
      </c>
      <c r="L20" s="688">
        <f>transport!K14</f>
        <v>0</v>
      </c>
      <c r="M20" s="688">
        <f>transport!L14</f>
        <v>0</v>
      </c>
      <c r="N20" s="688">
        <f>transport!M14</f>
        <v>3848.9734284013953</v>
      </c>
      <c r="O20" s="688">
        <f>transport!N14</f>
        <v>0</v>
      </c>
      <c r="P20" s="688">
        <f>transport!O14</f>
        <v>0</v>
      </c>
      <c r="Q20" s="689">
        <f>transport!P14</f>
        <v>0</v>
      </c>
      <c r="R20" s="691">
        <f>SUM(C20:Q20)</f>
        <v>90281.4378347522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2.2116032987124301</v>
      </c>
      <c r="D22" s="806">
        <f t="shared" ref="D22:R22" si="1">SUM(D18:D21)</f>
        <v>0</v>
      </c>
      <c r="E22" s="806">
        <f t="shared" si="1"/>
        <v>5.8467916738816372</v>
      </c>
      <c r="F22" s="806">
        <f t="shared" si="1"/>
        <v>345.77370954821748</v>
      </c>
      <c r="G22" s="806">
        <f t="shared" si="1"/>
        <v>0</v>
      </c>
      <c r="H22" s="806">
        <f t="shared" si="1"/>
        <v>76016.882212995231</v>
      </c>
      <c r="I22" s="806">
        <f t="shared" si="1"/>
        <v>13079.87134084661</v>
      </c>
      <c r="J22" s="806">
        <f t="shared" si="1"/>
        <v>0</v>
      </c>
      <c r="K22" s="806">
        <f t="shared" si="1"/>
        <v>0</v>
      </c>
      <c r="L22" s="806">
        <f t="shared" si="1"/>
        <v>0</v>
      </c>
      <c r="M22" s="806">
        <f t="shared" si="1"/>
        <v>0</v>
      </c>
      <c r="N22" s="806">
        <f t="shared" si="1"/>
        <v>3981.5041112796648</v>
      </c>
      <c r="O22" s="806">
        <f t="shared" si="1"/>
        <v>0</v>
      </c>
      <c r="P22" s="806">
        <f t="shared" si="1"/>
        <v>0</v>
      </c>
      <c r="Q22" s="806">
        <f t="shared" si="1"/>
        <v>0</v>
      </c>
      <c r="R22" s="806">
        <f t="shared" si="1"/>
        <v>93432.089769642334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1479.2236360732211</v>
      </c>
      <c r="D24" s="688">
        <f>+landbouw!C8</f>
        <v>0</v>
      </c>
      <c r="E24" s="688">
        <f>+landbouw!D8</f>
        <v>5201.0027607947923</v>
      </c>
      <c r="F24" s="688">
        <f>+landbouw!E8</f>
        <v>13.935277764157464</v>
      </c>
      <c r="G24" s="688">
        <f>+landbouw!F8</f>
        <v>4827.1976357183084</v>
      </c>
      <c r="H24" s="688">
        <f>+landbouw!G8</f>
        <v>0</v>
      </c>
      <c r="I24" s="688">
        <f>+landbouw!H8</f>
        <v>0</v>
      </c>
      <c r="J24" s="688">
        <f>+landbouw!I8</f>
        <v>0</v>
      </c>
      <c r="K24" s="688">
        <f>+landbouw!J8</f>
        <v>182.9871587246412</v>
      </c>
      <c r="L24" s="688">
        <f>+landbouw!K8</f>
        <v>0</v>
      </c>
      <c r="M24" s="688">
        <f>+landbouw!L8</f>
        <v>0</v>
      </c>
      <c r="N24" s="688">
        <f>+landbouw!M8</f>
        <v>0</v>
      </c>
      <c r="O24" s="688">
        <f>+landbouw!N8</f>
        <v>0</v>
      </c>
      <c r="P24" s="688">
        <f>+landbouw!O8</f>
        <v>0</v>
      </c>
      <c r="Q24" s="689">
        <f>+landbouw!P8</f>
        <v>0</v>
      </c>
      <c r="R24" s="691">
        <f>SUM(C24:Q24)</f>
        <v>11704.346469075121</v>
      </c>
      <c r="S24" s="68"/>
    </row>
    <row r="25" spans="1:19" s="457" customFormat="1" ht="15" thickBot="1">
      <c r="A25" s="825" t="s">
        <v>912</v>
      </c>
      <c r="B25" s="1001"/>
      <c r="C25" s="1002">
        <f>IF(Onbekend_ele_kWh="---",0,Onbekend_ele_kWh)/1000+IF(REST_rest_ele_kWh="---",0,REST_rest_ele_kWh)/1000</f>
        <v>1367.7146002977699</v>
      </c>
      <c r="D25" s="1002"/>
      <c r="E25" s="1002">
        <f>IF(onbekend_gas_kWh="---",0,onbekend_gas_kWh)/1000+IF(REST_rest_gas_kWh="---",0,REST_rest_gas_kWh)/1000</f>
        <v>3403.9960964434499</v>
      </c>
      <c r="F25" s="1002"/>
      <c r="G25" s="1002"/>
      <c r="H25" s="1002"/>
      <c r="I25" s="1002"/>
      <c r="J25" s="1002"/>
      <c r="K25" s="1002"/>
      <c r="L25" s="1002"/>
      <c r="M25" s="1002"/>
      <c r="N25" s="1002"/>
      <c r="O25" s="1002"/>
      <c r="P25" s="1002"/>
      <c r="Q25" s="1003"/>
      <c r="R25" s="691">
        <f>SUM(C25:Q25)</f>
        <v>4771.7106967412201</v>
      </c>
      <c r="S25" s="68"/>
    </row>
    <row r="26" spans="1:19" s="457" customFormat="1" ht="15.75" thickBot="1">
      <c r="A26" s="694" t="s">
        <v>913</v>
      </c>
      <c r="B26" s="811"/>
      <c r="C26" s="806">
        <f>SUM(C24:C25)</f>
        <v>2846.938236370991</v>
      </c>
      <c r="D26" s="806">
        <f t="shared" ref="D26:R26" si="2">SUM(D24:D25)</f>
        <v>0</v>
      </c>
      <c r="E26" s="806">
        <f t="shared" si="2"/>
        <v>8604.9988572382426</v>
      </c>
      <c r="F26" s="806">
        <f t="shared" si="2"/>
        <v>13.935277764157464</v>
      </c>
      <c r="G26" s="806">
        <f t="shared" si="2"/>
        <v>4827.1976357183084</v>
      </c>
      <c r="H26" s="806">
        <f t="shared" si="2"/>
        <v>0</v>
      </c>
      <c r="I26" s="806">
        <f t="shared" si="2"/>
        <v>0</v>
      </c>
      <c r="J26" s="806">
        <f t="shared" si="2"/>
        <v>0</v>
      </c>
      <c r="K26" s="806">
        <f t="shared" si="2"/>
        <v>182.9871587246412</v>
      </c>
      <c r="L26" s="806">
        <f t="shared" si="2"/>
        <v>0</v>
      </c>
      <c r="M26" s="806">
        <f t="shared" si="2"/>
        <v>0</v>
      </c>
      <c r="N26" s="806">
        <f t="shared" si="2"/>
        <v>0</v>
      </c>
      <c r="O26" s="806">
        <f t="shared" si="2"/>
        <v>0</v>
      </c>
      <c r="P26" s="806">
        <f t="shared" si="2"/>
        <v>0</v>
      </c>
      <c r="Q26" s="806">
        <f t="shared" si="2"/>
        <v>0</v>
      </c>
      <c r="R26" s="806">
        <f t="shared" si="2"/>
        <v>16476.057165816339</v>
      </c>
      <c r="S26" s="68"/>
    </row>
    <row r="27" spans="1:19" s="457" customFormat="1" ht="17.25" thickTop="1" thickBot="1">
      <c r="A27" s="695" t="s">
        <v>116</v>
      </c>
      <c r="B27" s="798"/>
      <c r="C27" s="696">
        <f ca="1">C22+C16+C26</f>
        <v>128077.21954174021</v>
      </c>
      <c r="D27" s="696">
        <f t="shared" ref="D27:R27" ca="1" si="3">D22+D16+D26</f>
        <v>22802.142857142859</v>
      </c>
      <c r="E27" s="696">
        <f t="shared" ca="1" si="3"/>
        <v>175602.99256020348</v>
      </c>
      <c r="F27" s="696">
        <f t="shared" si="3"/>
        <v>3821.5173961030541</v>
      </c>
      <c r="G27" s="696">
        <f t="shared" ca="1" si="3"/>
        <v>25946.154769915931</v>
      </c>
      <c r="H27" s="696">
        <f t="shared" si="3"/>
        <v>76016.882212995231</v>
      </c>
      <c r="I27" s="696">
        <f t="shared" si="3"/>
        <v>13079.87134084661</v>
      </c>
      <c r="J27" s="696">
        <f t="shared" si="3"/>
        <v>0</v>
      </c>
      <c r="K27" s="696">
        <f t="shared" si="3"/>
        <v>431.8217760444212</v>
      </c>
      <c r="L27" s="696">
        <f t="shared" si="3"/>
        <v>0</v>
      </c>
      <c r="M27" s="696">
        <f t="shared" ca="1" si="3"/>
        <v>0</v>
      </c>
      <c r="N27" s="696">
        <f t="shared" si="3"/>
        <v>3981.5041112796648</v>
      </c>
      <c r="O27" s="696">
        <f t="shared" ca="1" si="3"/>
        <v>19923.454072201454</v>
      </c>
      <c r="P27" s="696">
        <f t="shared" si="3"/>
        <v>62.533333333333339</v>
      </c>
      <c r="Q27" s="696">
        <f t="shared" si="3"/>
        <v>266.93333333333334</v>
      </c>
      <c r="R27" s="696">
        <f t="shared" ca="1" si="3"/>
        <v>470013.02730513958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7096.382532454867</v>
      </c>
      <c r="D40" s="688">
        <f ca="1">tertiair!C20</f>
        <v>0</v>
      </c>
      <c r="E40" s="688">
        <f ca="1">tertiair!D20</f>
        <v>8232.5293423777366</v>
      </c>
      <c r="F40" s="688">
        <f>tertiair!E20</f>
        <v>55.763892028763884</v>
      </c>
      <c r="G40" s="688">
        <f ca="1">tertiair!F20</f>
        <v>1300.8464335770248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16685.522200438394</v>
      </c>
    </row>
    <row r="41" spans="1:18">
      <c r="A41" s="816" t="s">
        <v>225</v>
      </c>
      <c r="B41" s="823"/>
      <c r="C41" s="688">
        <f ca="1">huishoudens!B12</f>
        <v>5207.9675795744151</v>
      </c>
      <c r="D41" s="688">
        <f ca="1">huishoudens!C12</f>
        <v>0</v>
      </c>
      <c r="E41" s="688">
        <f>huishoudens!D12</f>
        <v>16252.355480132434</v>
      </c>
      <c r="F41" s="688">
        <f>huishoudens!E12</f>
        <v>613.904269381988</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22074.227329088833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10558.510374264053</v>
      </c>
      <c r="D43" s="688">
        <f ca="1">industrie!C22</f>
        <v>0</v>
      </c>
      <c r="E43" s="688">
        <f>industrie!D22</f>
        <v>9247.5288535706823</v>
      </c>
      <c r="F43" s="688">
        <f>industrie!E22</f>
        <v>116.16234738473234</v>
      </c>
      <c r="G43" s="688">
        <f>industrie!F22</f>
        <v>4337.9151212537408</v>
      </c>
      <c r="H43" s="688">
        <f>industrie!G22</f>
        <v>0</v>
      </c>
      <c r="I43" s="688">
        <f>industrie!H22</f>
        <v>0</v>
      </c>
      <c r="J43" s="688">
        <f>industrie!I22</f>
        <v>0</v>
      </c>
      <c r="K43" s="688">
        <f>industrie!J22</f>
        <v>88.087454531202098</v>
      </c>
      <c r="L43" s="688">
        <f>industrie!K22</f>
        <v>0</v>
      </c>
      <c r="M43" s="688">
        <f>industrie!L22</f>
        <v>0</v>
      </c>
      <c r="N43" s="688">
        <f>industrie!M22</f>
        <v>0</v>
      </c>
      <c r="O43" s="688">
        <f>industrie!N22</f>
        <v>0</v>
      </c>
      <c r="P43" s="688">
        <f>industrie!O22</f>
        <v>0</v>
      </c>
      <c r="Q43" s="763">
        <f>industrie!P22</f>
        <v>0</v>
      </c>
      <c r="R43" s="843">
        <f t="shared" ca="1" si="4"/>
        <v>24348.204151004411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22862.860486293335</v>
      </c>
      <c r="D46" s="721">
        <f t="shared" ref="D46:Q46" ca="1" si="5">SUM(D39:D45)</f>
        <v>0</v>
      </c>
      <c r="E46" s="721">
        <f t="shared" ca="1" si="5"/>
        <v>33732.413676080847</v>
      </c>
      <c r="F46" s="721">
        <f t="shared" si="5"/>
        <v>785.83050879548421</v>
      </c>
      <c r="G46" s="721">
        <f t="shared" ca="1" si="5"/>
        <v>5638.7615548307658</v>
      </c>
      <c r="H46" s="721">
        <f t="shared" si="5"/>
        <v>0</v>
      </c>
      <c r="I46" s="721">
        <f t="shared" si="5"/>
        <v>0</v>
      </c>
      <c r="J46" s="721">
        <f t="shared" si="5"/>
        <v>0</v>
      </c>
      <c r="K46" s="721">
        <f t="shared" si="5"/>
        <v>88.087454531202098</v>
      </c>
      <c r="L46" s="721">
        <f t="shared" si="5"/>
        <v>0</v>
      </c>
      <c r="M46" s="721">
        <f t="shared" ca="1" si="5"/>
        <v>0</v>
      </c>
      <c r="N46" s="721">
        <f t="shared" si="5"/>
        <v>0</v>
      </c>
      <c r="O46" s="721">
        <f t="shared" ca="1" si="5"/>
        <v>0</v>
      </c>
      <c r="P46" s="721">
        <f t="shared" si="5"/>
        <v>0</v>
      </c>
      <c r="Q46" s="721">
        <f t="shared" si="5"/>
        <v>0</v>
      </c>
      <c r="R46" s="721">
        <f ca="1">SUM(R39:R45)</f>
        <v>63107.953680531631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805.83837428716743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805.83837428716743</v>
      </c>
    </row>
    <row r="50" spans="1:18">
      <c r="A50" s="819" t="s">
        <v>307</v>
      </c>
      <c r="B50" s="829"/>
      <c r="C50" s="1008">
        <f ca="1">transport!B18</f>
        <v>0.40377191623079378</v>
      </c>
      <c r="D50" s="1008">
        <f>transport!C18</f>
        <v>0</v>
      </c>
      <c r="E50" s="1008">
        <f>transport!D18</f>
        <v>1.1810519181240908</v>
      </c>
      <c r="F50" s="1008">
        <f>transport!E18</f>
        <v>78.490632067445375</v>
      </c>
      <c r="G50" s="1008">
        <f>transport!F18</f>
        <v>0</v>
      </c>
      <c r="H50" s="1008">
        <f>transport!G18</f>
        <v>19490.669176582564</v>
      </c>
      <c r="I50" s="1008">
        <f>transport!H18</f>
        <v>3256.8879638708058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22827.632596355168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0.40377191623079378</v>
      </c>
      <c r="D52" s="721">
        <f t="shared" ref="D52:Q52" ca="1" si="6">SUM(D48:D51)</f>
        <v>0</v>
      </c>
      <c r="E52" s="721">
        <f t="shared" si="6"/>
        <v>1.1810519181240908</v>
      </c>
      <c r="F52" s="721">
        <f t="shared" si="6"/>
        <v>78.490632067445375</v>
      </c>
      <c r="G52" s="721">
        <f t="shared" si="6"/>
        <v>0</v>
      </c>
      <c r="H52" s="721">
        <f t="shared" si="6"/>
        <v>20296.50755086973</v>
      </c>
      <c r="I52" s="721">
        <f t="shared" si="6"/>
        <v>3256.8879638708058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23633.470970642335</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270.06152614209333</v>
      </c>
      <c r="D54" s="1008">
        <f ca="1">+landbouw!C12</f>
        <v>0</v>
      </c>
      <c r="E54" s="1008">
        <f>+landbouw!D12</f>
        <v>1050.6025576805482</v>
      </c>
      <c r="F54" s="1008">
        <f>+landbouw!E12</f>
        <v>3.1633080524637442</v>
      </c>
      <c r="G54" s="1008">
        <f>+landbouw!F12</f>
        <v>1288.8617687367885</v>
      </c>
      <c r="H54" s="1008">
        <f>+landbouw!G12</f>
        <v>0</v>
      </c>
      <c r="I54" s="1008">
        <f>+landbouw!H12</f>
        <v>0</v>
      </c>
      <c r="J54" s="1008">
        <f>+landbouw!I12</f>
        <v>0</v>
      </c>
      <c r="K54" s="1008">
        <f>+landbouw!J12</f>
        <v>64.777454188522981</v>
      </c>
      <c r="L54" s="1008">
        <f>+landbouw!K12</f>
        <v>0</v>
      </c>
      <c r="M54" s="1008">
        <f>+landbouw!L12</f>
        <v>0</v>
      </c>
      <c r="N54" s="1008">
        <f>+landbouw!M12</f>
        <v>0</v>
      </c>
      <c r="O54" s="1008">
        <f>+landbouw!N12</f>
        <v>0</v>
      </c>
      <c r="P54" s="1008">
        <f>+landbouw!O12</f>
        <v>0</v>
      </c>
      <c r="Q54" s="1009">
        <f>+landbouw!P12</f>
        <v>0</v>
      </c>
      <c r="R54" s="720">
        <f ca="1">SUM(C54:Q54)</f>
        <v>2677.4666148004162</v>
      </c>
    </row>
    <row r="55" spans="1:18" ht="15" thickBot="1">
      <c r="A55" s="819" t="s">
        <v>912</v>
      </c>
      <c r="B55" s="829"/>
      <c r="C55" s="1008">
        <f ca="1">C25*'EF ele_warmte'!B12</f>
        <v>249.70334659049172</v>
      </c>
      <c r="D55" s="1008"/>
      <c r="E55" s="1008">
        <f>E25*EF_CO2_aardgas</f>
        <v>687.60721148157688</v>
      </c>
      <c r="F55" s="1008"/>
      <c r="G55" s="1008"/>
      <c r="H55" s="1008"/>
      <c r="I55" s="1008"/>
      <c r="J55" s="1008"/>
      <c r="K55" s="1008"/>
      <c r="L55" s="1008"/>
      <c r="M55" s="1008"/>
      <c r="N55" s="1008"/>
      <c r="O55" s="1008"/>
      <c r="P55" s="1008"/>
      <c r="Q55" s="1009"/>
      <c r="R55" s="720">
        <f ca="1">SUM(C55:Q55)</f>
        <v>937.3105580720686</v>
      </c>
    </row>
    <row r="56" spans="1:18" ht="15.75" thickBot="1">
      <c r="A56" s="817" t="s">
        <v>913</v>
      </c>
      <c r="B56" s="830"/>
      <c r="C56" s="721">
        <f ca="1">SUM(C54:C55)</f>
        <v>519.76487273258499</v>
      </c>
      <c r="D56" s="721">
        <f t="shared" ref="D56:Q56" ca="1" si="7">SUM(D54:D55)</f>
        <v>0</v>
      </c>
      <c r="E56" s="721">
        <f t="shared" si="7"/>
        <v>1738.2097691621252</v>
      </c>
      <c r="F56" s="721">
        <f t="shared" si="7"/>
        <v>3.1633080524637442</v>
      </c>
      <c r="G56" s="721">
        <f t="shared" si="7"/>
        <v>1288.8617687367885</v>
      </c>
      <c r="H56" s="721">
        <f t="shared" si="7"/>
        <v>0</v>
      </c>
      <c r="I56" s="721">
        <f t="shared" si="7"/>
        <v>0</v>
      </c>
      <c r="J56" s="721">
        <f t="shared" si="7"/>
        <v>0</v>
      </c>
      <c r="K56" s="721">
        <f t="shared" si="7"/>
        <v>64.777454188522981</v>
      </c>
      <c r="L56" s="721">
        <f t="shared" si="7"/>
        <v>0</v>
      </c>
      <c r="M56" s="721">
        <f t="shared" si="7"/>
        <v>0</v>
      </c>
      <c r="N56" s="721">
        <f t="shared" si="7"/>
        <v>0</v>
      </c>
      <c r="O56" s="721">
        <f t="shared" si="7"/>
        <v>0</v>
      </c>
      <c r="P56" s="721">
        <f t="shared" si="7"/>
        <v>0</v>
      </c>
      <c r="Q56" s="722">
        <f t="shared" si="7"/>
        <v>0</v>
      </c>
      <c r="R56" s="723">
        <f ca="1">SUM(R54:R55)</f>
        <v>3614.7771728724847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23383.029130942152</v>
      </c>
      <c r="D61" s="729">
        <f t="shared" ref="D61:Q61" ca="1" si="8">D46+D52+D56</f>
        <v>0</v>
      </c>
      <c r="E61" s="729">
        <f t="shared" ca="1" si="8"/>
        <v>35471.804497161094</v>
      </c>
      <c r="F61" s="729">
        <f t="shared" si="8"/>
        <v>867.48444891539339</v>
      </c>
      <c r="G61" s="729">
        <f t="shared" ca="1" si="8"/>
        <v>6927.6233235675545</v>
      </c>
      <c r="H61" s="729">
        <f t="shared" si="8"/>
        <v>20296.50755086973</v>
      </c>
      <c r="I61" s="729">
        <f t="shared" si="8"/>
        <v>3256.8879638708058</v>
      </c>
      <c r="J61" s="729">
        <f t="shared" si="8"/>
        <v>0</v>
      </c>
      <c r="K61" s="729">
        <f t="shared" si="8"/>
        <v>152.86490871972507</v>
      </c>
      <c r="L61" s="729">
        <f t="shared" si="8"/>
        <v>0</v>
      </c>
      <c r="M61" s="729">
        <f t="shared" ca="1" si="8"/>
        <v>0</v>
      </c>
      <c r="N61" s="729">
        <f t="shared" si="8"/>
        <v>0</v>
      </c>
      <c r="O61" s="729">
        <f t="shared" ca="1" si="8"/>
        <v>0</v>
      </c>
      <c r="P61" s="729">
        <f t="shared" si="8"/>
        <v>0</v>
      </c>
      <c r="Q61" s="729">
        <f t="shared" si="8"/>
        <v>0</v>
      </c>
      <c r="R61" s="729">
        <f ca="1">R46+R52+R56</f>
        <v>90356.201824046453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0.18256977481714967</v>
      </c>
      <c r="D63" s="773">
        <f t="shared" ca="1" si="9"/>
        <v>0</v>
      </c>
      <c r="E63" s="1010">
        <f t="shared" ca="1" si="9"/>
        <v>0.20199999999999996</v>
      </c>
      <c r="F63" s="773">
        <f t="shared" si="9"/>
        <v>0.22700000000000004</v>
      </c>
      <c r="G63" s="773">
        <f t="shared" ca="1" si="9"/>
        <v>0.26700000000000002</v>
      </c>
      <c r="H63" s="773">
        <f t="shared" si="9"/>
        <v>0.26700000000000007</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6310.157863268927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15961.5</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18778.23529411765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22271.657863268927</v>
      </c>
      <c r="C78" s="744">
        <f>SUM(C72:C77)</f>
        <v>0</v>
      </c>
      <c r="D78" s="745">
        <f t="shared" ref="D78:H78" si="10">SUM(D76:D77)</f>
        <v>0</v>
      </c>
      <c r="E78" s="745">
        <f t="shared" si="10"/>
        <v>0</v>
      </c>
      <c r="F78" s="745">
        <f t="shared" si="10"/>
        <v>0</v>
      </c>
      <c r="G78" s="745">
        <f t="shared" si="10"/>
        <v>0</v>
      </c>
      <c r="H78" s="745">
        <f t="shared" si="10"/>
        <v>0</v>
      </c>
      <c r="I78" s="745">
        <f>SUM(I76:I77)</f>
        <v>0</v>
      </c>
      <c r="J78" s="745">
        <f>SUM(J76:J77)</f>
        <v>18778.23529411765</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22802.142857142859</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26826.050420168071</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22802.142857142859</v>
      </c>
      <c r="C90" s="744">
        <f>SUM(C87:C89)</f>
        <v>0</v>
      </c>
      <c r="D90" s="744">
        <f t="shared" ref="D90:H90" si="12">SUM(D87:D89)</f>
        <v>0</v>
      </c>
      <c r="E90" s="744">
        <f t="shared" si="12"/>
        <v>0</v>
      </c>
      <c r="F90" s="744">
        <f t="shared" si="12"/>
        <v>0</v>
      </c>
      <c r="G90" s="744">
        <f t="shared" si="12"/>
        <v>0</v>
      </c>
      <c r="H90" s="744">
        <f t="shared" si="12"/>
        <v>0</v>
      </c>
      <c r="I90" s="744">
        <f>SUM(I87:I89)</f>
        <v>0</v>
      </c>
      <c r="J90" s="744">
        <f>SUM(J87:J89)</f>
        <v>26826.050420168071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6310.157863268927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15961.5</v>
      </c>
      <c r="C8" s="558">
        <f>B101</f>
        <v>0</v>
      </c>
      <c r="D8" s="991"/>
      <c r="E8" s="991">
        <f>E101</f>
        <v>0</v>
      </c>
      <c r="F8" s="992"/>
      <c r="G8" s="559"/>
      <c r="H8" s="991">
        <f>I101</f>
        <v>0</v>
      </c>
      <c r="I8" s="991">
        <f>G101+F101</f>
        <v>0</v>
      </c>
      <c r="J8" s="991">
        <f>H101+D101+C101</f>
        <v>18778.23529411765</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22271.657863268927</v>
      </c>
      <c r="C10" s="570">
        <f t="shared" ref="C10:L10" si="0">SUM(C8:C9)</f>
        <v>0</v>
      </c>
      <c r="D10" s="570">
        <f t="shared" si="0"/>
        <v>0</v>
      </c>
      <c r="E10" s="570">
        <f t="shared" si="0"/>
        <v>0</v>
      </c>
      <c r="F10" s="570">
        <f t="shared" si="0"/>
        <v>0</v>
      </c>
      <c r="G10" s="570">
        <f t="shared" si="0"/>
        <v>0</v>
      </c>
      <c r="H10" s="570">
        <f t="shared" si="0"/>
        <v>0</v>
      </c>
      <c r="I10" s="570">
        <f t="shared" si="0"/>
        <v>0</v>
      </c>
      <c r="J10" s="570">
        <f t="shared" si="0"/>
        <v>18778.23529411765</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22802.142857142859</v>
      </c>
      <c r="C17" s="582">
        <f>B102</f>
        <v>0</v>
      </c>
      <c r="D17" s="583"/>
      <c r="E17" s="583">
        <f>E102</f>
        <v>0</v>
      </c>
      <c r="F17" s="584"/>
      <c r="G17" s="585"/>
      <c r="H17" s="582">
        <f>I102</f>
        <v>0</v>
      </c>
      <c r="I17" s="583">
        <f>G102+F102</f>
        <v>0</v>
      </c>
      <c r="J17" s="583">
        <f>H102+D102+C102</f>
        <v>26826.050420168071</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22802.142857142859</v>
      </c>
      <c r="C20" s="569">
        <f>SUM(C17:C19)</f>
        <v>0</v>
      </c>
      <c r="D20" s="569">
        <f t="shared" ref="D20:L20" si="1">SUM(D17:D19)</f>
        <v>0</v>
      </c>
      <c r="E20" s="569">
        <f t="shared" si="1"/>
        <v>0</v>
      </c>
      <c r="F20" s="569">
        <f t="shared" si="1"/>
        <v>0</v>
      </c>
      <c r="G20" s="569">
        <f t="shared" si="1"/>
        <v>0</v>
      </c>
      <c r="H20" s="569">
        <f t="shared" si="1"/>
        <v>0</v>
      </c>
      <c r="I20" s="569">
        <f t="shared" si="1"/>
        <v>0</v>
      </c>
      <c r="J20" s="569">
        <f t="shared" si="1"/>
        <v>26826.050420168071</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11057</v>
      </c>
      <c r="C28" s="789">
        <v>2390</v>
      </c>
      <c r="D28" s="642" t="s">
        <v>948</v>
      </c>
      <c r="E28" s="641" t="s">
        <v>949</v>
      </c>
      <c r="F28" s="641" t="s">
        <v>950</v>
      </c>
      <c r="G28" s="641" t="s">
        <v>951</v>
      </c>
      <c r="H28" s="641" t="s">
        <v>952</v>
      </c>
      <c r="I28" s="641" t="s">
        <v>949</v>
      </c>
      <c r="J28" s="788">
        <v>40029</v>
      </c>
      <c r="K28" s="788">
        <v>39022</v>
      </c>
      <c r="L28" s="641" t="s">
        <v>953</v>
      </c>
      <c r="M28" s="641">
        <v>3547</v>
      </c>
      <c r="N28" s="641">
        <v>15961.5</v>
      </c>
      <c r="O28" s="641">
        <v>22802.142857142859</v>
      </c>
      <c r="P28" s="641">
        <v>0</v>
      </c>
      <c r="Q28" s="641">
        <v>45604.285714285717</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3547</v>
      </c>
      <c r="N58" s="599">
        <f>SUM(N28:N57)</f>
        <v>15961.5</v>
      </c>
      <c r="O58" s="599">
        <f t="shared" ref="O58:W58" si="2">SUM(O28:O57)</f>
        <v>22802.142857142859</v>
      </c>
      <c r="P58" s="599">
        <f t="shared" si="2"/>
        <v>0</v>
      </c>
      <c r="Q58" s="599">
        <f t="shared" si="2"/>
        <v>45604.285714285717</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3547</v>
      </c>
      <c r="N60" s="599">
        <f ca="1">SUMIF($Z$28:AD57,"tertiair",N28:N57)</f>
        <v>15961.5</v>
      </c>
      <c r="O60" s="599">
        <f ca="1">SUMIF($Z$28:AE57,"tertiair",O28:O57)</f>
        <v>22802.142857142859</v>
      </c>
      <c r="P60" s="599">
        <f ca="1">SUMIF($Z$28:AF57,"tertiair",P28:P57)</f>
        <v>0</v>
      </c>
      <c r="Q60" s="599">
        <f ca="1">SUMIF($Z$28:AG57,"tertiair",Q28:Q57)</f>
        <v>45604.285714285717</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18778.23529411765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26826.050420168071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28525.902410683182</v>
      </c>
      <c r="C4" s="461">
        <f>huishoudens!C8</f>
        <v>0</v>
      </c>
      <c r="D4" s="461">
        <f>huishoudens!D8</f>
        <v>80457.205347190262</v>
      </c>
      <c r="E4" s="461">
        <f>huishoudens!E8</f>
        <v>2704.4240941937796</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18035.967511713901</v>
      </c>
      <c r="O4" s="461">
        <f>huishoudens!O8</f>
        <v>60.970000000000006</v>
      </c>
      <c r="P4" s="462">
        <f>huishoudens!P8</f>
        <v>266.93333333333334</v>
      </c>
      <c r="Q4" s="463">
        <f>SUM(B4:P4)</f>
        <v>130051.40269711445</v>
      </c>
    </row>
    <row r="5" spans="1:17">
      <c r="A5" s="460" t="s">
        <v>156</v>
      </c>
      <c r="B5" s="461">
        <f ca="1">tertiair!B16</f>
        <v>38126.666987912729</v>
      </c>
      <c r="C5" s="461">
        <f ca="1">tertiair!C16</f>
        <v>22802.142857142859</v>
      </c>
      <c r="D5" s="461">
        <f ca="1">tertiair!D16</f>
        <v>40755.095754345224</v>
      </c>
      <c r="E5" s="461">
        <f>tertiair!E16</f>
        <v>245.65591202098628</v>
      </c>
      <c r="F5" s="461">
        <f ca="1">tertiair!F16</f>
        <v>4872.0840208877325</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0</v>
      </c>
      <c r="Q5" s="460">
        <f t="shared" ref="Q5:Q14" ca="1" si="0">SUM(B5:P5)</f>
        <v>106803.20886564287</v>
      </c>
    </row>
    <row r="6" spans="1:17">
      <c r="A6" s="460" t="s">
        <v>194</v>
      </c>
      <c r="B6" s="461">
        <f>'openbare verlichting'!B8</f>
        <v>742.76</v>
      </c>
      <c r="C6" s="461"/>
      <c r="D6" s="461"/>
      <c r="E6" s="461"/>
      <c r="F6" s="461"/>
      <c r="G6" s="461"/>
      <c r="H6" s="461"/>
      <c r="I6" s="461"/>
      <c r="J6" s="461"/>
      <c r="K6" s="461"/>
      <c r="L6" s="461"/>
      <c r="M6" s="461"/>
      <c r="N6" s="461"/>
      <c r="O6" s="461"/>
      <c r="P6" s="462"/>
      <c r="Q6" s="460">
        <f t="shared" si="0"/>
        <v>742.76</v>
      </c>
    </row>
    <row r="7" spans="1:17">
      <c r="A7" s="460" t="s">
        <v>112</v>
      </c>
      <c r="B7" s="461">
        <f>landbouw!B8</f>
        <v>1479.2236360732211</v>
      </c>
      <c r="C7" s="461">
        <f>landbouw!C8</f>
        <v>0</v>
      </c>
      <c r="D7" s="461">
        <f>landbouw!D8</f>
        <v>5201.0027607947923</v>
      </c>
      <c r="E7" s="461">
        <f>landbouw!E8</f>
        <v>13.935277764157464</v>
      </c>
      <c r="F7" s="461">
        <f>landbouw!F8</f>
        <v>4827.1976357183084</v>
      </c>
      <c r="G7" s="461">
        <f>landbouw!G8</f>
        <v>0</v>
      </c>
      <c r="H7" s="461">
        <f>landbouw!H8</f>
        <v>0</v>
      </c>
      <c r="I7" s="461">
        <f>landbouw!I8</f>
        <v>0</v>
      </c>
      <c r="J7" s="461">
        <f>landbouw!J8</f>
        <v>182.9871587246412</v>
      </c>
      <c r="K7" s="461">
        <f>landbouw!K8</f>
        <v>0</v>
      </c>
      <c r="L7" s="461">
        <f>landbouw!L8</f>
        <v>0</v>
      </c>
      <c r="M7" s="461">
        <f>landbouw!M8</f>
        <v>0</v>
      </c>
      <c r="N7" s="461">
        <f>landbouw!N8</f>
        <v>0</v>
      </c>
      <c r="O7" s="461">
        <f>landbouw!O8</f>
        <v>0</v>
      </c>
      <c r="P7" s="462">
        <f>landbouw!P8</f>
        <v>0</v>
      </c>
      <c r="Q7" s="460">
        <f t="shared" si="0"/>
        <v>11704.346469075121</v>
      </c>
    </row>
    <row r="8" spans="1:17">
      <c r="A8" s="460" t="s">
        <v>685</v>
      </c>
      <c r="B8" s="461">
        <f>industrie!B18</f>
        <v>57832.740303474595</v>
      </c>
      <c r="C8" s="461">
        <f>industrie!C18</f>
        <v>0</v>
      </c>
      <c r="D8" s="461">
        <f>industrie!D18</f>
        <v>45779.845809755854</v>
      </c>
      <c r="E8" s="461">
        <f>industrie!E18</f>
        <v>511.72840257591338</v>
      </c>
      <c r="F8" s="461">
        <f>industrie!F18</f>
        <v>16246.87311330989</v>
      </c>
      <c r="G8" s="461">
        <f>industrie!G18</f>
        <v>0</v>
      </c>
      <c r="H8" s="461">
        <f>industrie!H18</f>
        <v>0</v>
      </c>
      <c r="I8" s="461">
        <f>industrie!I18</f>
        <v>0</v>
      </c>
      <c r="J8" s="461">
        <f>industrie!J18</f>
        <v>248.83461731977997</v>
      </c>
      <c r="K8" s="461">
        <f>industrie!K18</f>
        <v>0</v>
      </c>
      <c r="L8" s="461">
        <f>industrie!L18</f>
        <v>0</v>
      </c>
      <c r="M8" s="461">
        <f>industrie!M18</f>
        <v>0</v>
      </c>
      <c r="N8" s="461">
        <f>industrie!N18</f>
        <v>1887.4865604875508</v>
      </c>
      <c r="O8" s="461">
        <f>industrie!O18</f>
        <v>0</v>
      </c>
      <c r="P8" s="462">
        <f>industrie!P18</f>
        <v>0</v>
      </c>
      <c r="Q8" s="460">
        <f t="shared" si="0"/>
        <v>122507.50880692358</v>
      </c>
    </row>
    <row r="9" spans="1:17" s="466" customFormat="1">
      <c r="A9" s="464" t="s">
        <v>579</v>
      </c>
      <c r="B9" s="465">
        <f>transport!B14</f>
        <v>2.2116032987124301</v>
      </c>
      <c r="C9" s="465">
        <f>transport!C14</f>
        <v>0</v>
      </c>
      <c r="D9" s="465">
        <f>transport!D14</f>
        <v>5.8467916738816372</v>
      </c>
      <c r="E9" s="465">
        <f>transport!E14</f>
        <v>345.77370954821748</v>
      </c>
      <c r="F9" s="465">
        <f>transport!F14</f>
        <v>0</v>
      </c>
      <c r="G9" s="465">
        <f>transport!G14</f>
        <v>72998.760960983374</v>
      </c>
      <c r="H9" s="465">
        <f>transport!H14</f>
        <v>13079.87134084661</v>
      </c>
      <c r="I9" s="465">
        <f>transport!I14</f>
        <v>0</v>
      </c>
      <c r="J9" s="465">
        <f>transport!J14</f>
        <v>0</v>
      </c>
      <c r="K9" s="465">
        <f>transport!K14</f>
        <v>0</v>
      </c>
      <c r="L9" s="465">
        <f>transport!L14</f>
        <v>0</v>
      </c>
      <c r="M9" s="465">
        <f>transport!M14</f>
        <v>3848.9734284013953</v>
      </c>
      <c r="N9" s="465">
        <f>transport!N14</f>
        <v>0</v>
      </c>
      <c r="O9" s="465">
        <f>transport!O14</f>
        <v>0</v>
      </c>
      <c r="P9" s="465">
        <f>transport!P14</f>
        <v>0</v>
      </c>
      <c r="Q9" s="464">
        <f>SUM(B9:P9)</f>
        <v>90281.4378347522</v>
      </c>
    </row>
    <row r="10" spans="1:17">
      <c r="A10" s="460" t="s">
        <v>569</v>
      </c>
      <c r="B10" s="461">
        <f>transport!B54</f>
        <v>0</v>
      </c>
      <c r="C10" s="461">
        <f>transport!C54</f>
        <v>0</v>
      </c>
      <c r="D10" s="461">
        <f>transport!D54</f>
        <v>0</v>
      </c>
      <c r="E10" s="461">
        <f>transport!E54</f>
        <v>0</v>
      </c>
      <c r="F10" s="461">
        <f>transport!F54</f>
        <v>0</v>
      </c>
      <c r="G10" s="461">
        <f>transport!G54</f>
        <v>3018.1212520118629</v>
      </c>
      <c r="H10" s="461">
        <f>transport!H54</f>
        <v>0</v>
      </c>
      <c r="I10" s="461">
        <f>transport!I54</f>
        <v>0</v>
      </c>
      <c r="J10" s="461">
        <f>transport!J54</f>
        <v>0</v>
      </c>
      <c r="K10" s="461">
        <f>transport!K54</f>
        <v>0</v>
      </c>
      <c r="L10" s="461">
        <f>transport!L54</f>
        <v>0</v>
      </c>
      <c r="M10" s="461">
        <f>transport!M54</f>
        <v>132.53068287826935</v>
      </c>
      <c r="N10" s="461">
        <f>transport!N54</f>
        <v>0</v>
      </c>
      <c r="O10" s="461">
        <f>transport!O54</f>
        <v>0</v>
      </c>
      <c r="P10" s="462">
        <f>transport!P54</f>
        <v>0</v>
      </c>
      <c r="Q10" s="460">
        <f t="shared" si="0"/>
        <v>3150.6519348901325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1367.7146002977699</v>
      </c>
      <c r="C14" s="468"/>
      <c r="D14" s="468">
        <f>'SEAP template'!E25</f>
        <v>3403.9960964434499</v>
      </c>
      <c r="E14" s="468"/>
      <c r="F14" s="468"/>
      <c r="G14" s="468"/>
      <c r="H14" s="468"/>
      <c r="I14" s="468"/>
      <c r="J14" s="468"/>
      <c r="K14" s="468"/>
      <c r="L14" s="468"/>
      <c r="M14" s="468"/>
      <c r="N14" s="468"/>
      <c r="O14" s="468"/>
      <c r="P14" s="469"/>
      <c r="Q14" s="460">
        <f t="shared" si="0"/>
        <v>4771.7106967412201</v>
      </c>
    </row>
    <row r="15" spans="1:17" s="473" customFormat="1">
      <c r="A15" s="470" t="s">
        <v>573</v>
      </c>
      <c r="B15" s="471">
        <f ca="1">SUM(B4:B14)</f>
        <v>128077.2195417402</v>
      </c>
      <c r="C15" s="471">
        <f t="shared" ref="C15:Q15" ca="1" si="1">SUM(C4:C14)</f>
        <v>22802.142857142859</v>
      </c>
      <c r="D15" s="471">
        <f t="shared" ca="1" si="1"/>
        <v>175602.99256020345</v>
      </c>
      <c r="E15" s="471">
        <f t="shared" si="1"/>
        <v>3821.5173961030546</v>
      </c>
      <c r="F15" s="471">
        <f t="shared" ca="1" si="1"/>
        <v>25946.154769915931</v>
      </c>
      <c r="G15" s="471">
        <f t="shared" si="1"/>
        <v>76016.882212995231</v>
      </c>
      <c r="H15" s="471">
        <f t="shared" si="1"/>
        <v>13079.87134084661</v>
      </c>
      <c r="I15" s="471">
        <f t="shared" si="1"/>
        <v>0</v>
      </c>
      <c r="J15" s="471">
        <f t="shared" si="1"/>
        <v>431.8217760444212</v>
      </c>
      <c r="K15" s="471">
        <f t="shared" si="1"/>
        <v>0</v>
      </c>
      <c r="L15" s="471">
        <f t="shared" ca="1" si="1"/>
        <v>0</v>
      </c>
      <c r="M15" s="471">
        <f t="shared" si="1"/>
        <v>3981.5041112796648</v>
      </c>
      <c r="N15" s="471">
        <f t="shared" ca="1" si="1"/>
        <v>19923.454072201454</v>
      </c>
      <c r="O15" s="471">
        <f t="shared" si="1"/>
        <v>62.533333333333339</v>
      </c>
      <c r="P15" s="471">
        <f t="shared" si="1"/>
        <v>266.93333333333334</v>
      </c>
      <c r="Q15" s="471">
        <f t="shared" ca="1" si="1"/>
        <v>470013.02730513958</v>
      </c>
    </row>
    <row r="17" spans="1:17">
      <c r="A17" s="474" t="s">
        <v>574</v>
      </c>
      <c r="B17" s="778">
        <f ca="1">huishoudens!B10</f>
        <v>0.18256977481714967</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5207.9675795744151</v>
      </c>
      <c r="C22" s="461">
        <f t="shared" ref="C22:C32" ca="1" si="3">C4*$C$17</f>
        <v>0</v>
      </c>
      <c r="D22" s="461">
        <f t="shared" ref="D22:D32" si="4">D4*$D$17</f>
        <v>16252.355480132434</v>
      </c>
      <c r="E22" s="461">
        <f t="shared" ref="E22:E32" si="5">E4*$E$17</f>
        <v>613.904269381988</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22074.227329088833</v>
      </c>
    </row>
    <row r="23" spans="1:17">
      <c r="A23" s="460" t="s">
        <v>156</v>
      </c>
      <c r="B23" s="461">
        <f t="shared" ca="1" si="2"/>
        <v>6960.7770065116811</v>
      </c>
      <c r="C23" s="461">
        <f t="shared" ca="1" si="3"/>
        <v>0</v>
      </c>
      <c r="D23" s="461">
        <f t="shared" ca="1" si="4"/>
        <v>8232.5293423777366</v>
      </c>
      <c r="E23" s="461">
        <f t="shared" si="5"/>
        <v>55.763892028763884</v>
      </c>
      <c r="F23" s="461">
        <f t="shared" ca="1" si="6"/>
        <v>1300.8464335770248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16549.916674495209</v>
      </c>
    </row>
    <row r="24" spans="1:17">
      <c r="A24" s="460" t="s">
        <v>194</v>
      </c>
      <c r="B24" s="461">
        <f t="shared" ca="1" si="2"/>
        <v>135.60552594318608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135.60552594318608</v>
      </c>
    </row>
    <row r="25" spans="1:17">
      <c r="A25" s="460" t="s">
        <v>112</v>
      </c>
      <c r="B25" s="461">
        <f t="shared" ca="1" si="2"/>
        <v>270.06152614209333</v>
      </c>
      <c r="C25" s="461">
        <f t="shared" ca="1" si="3"/>
        <v>0</v>
      </c>
      <c r="D25" s="461">
        <f t="shared" si="4"/>
        <v>1050.6025576805482</v>
      </c>
      <c r="E25" s="461">
        <f t="shared" si="5"/>
        <v>3.1633080524637442</v>
      </c>
      <c r="F25" s="461">
        <f t="shared" si="6"/>
        <v>1288.8617687367885</v>
      </c>
      <c r="G25" s="461">
        <f t="shared" si="7"/>
        <v>0</v>
      </c>
      <c r="H25" s="461">
        <f t="shared" si="8"/>
        <v>0</v>
      </c>
      <c r="I25" s="461">
        <f t="shared" si="9"/>
        <v>0</v>
      </c>
      <c r="J25" s="461">
        <f t="shared" si="10"/>
        <v>64.777454188522981</v>
      </c>
      <c r="K25" s="461">
        <f t="shared" si="11"/>
        <v>0</v>
      </c>
      <c r="L25" s="461">
        <f t="shared" si="12"/>
        <v>0</v>
      </c>
      <c r="M25" s="461">
        <f t="shared" si="13"/>
        <v>0</v>
      </c>
      <c r="N25" s="461">
        <f t="shared" si="14"/>
        <v>0</v>
      </c>
      <c r="O25" s="461">
        <f t="shared" si="15"/>
        <v>0</v>
      </c>
      <c r="P25" s="462">
        <f t="shared" si="16"/>
        <v>0</v>
      </c>
      <c r="Q25" s="460">
        <f t="shared" ca="1" si="17"/>
        <v>2677.4666148004162</v>
      </c>
    </row>
    <row r="26" spans="1:17">
      <c r="A26" s="460" t="s">
        <v>685</v>
      </c>
      <c r="B26" s="461">
        <f t="shared" ca="1" si="2"/>
        <v>10558.510374264053</v>
      </c>
      <c r="C26" s="461">
        <f t="shared" ca="1" si="3"/>
        <v>0</v>
      </c>
      <c r="D26" s="461">
        <f t="shared" si="4"/>
        <v>9247.5288535706823</v>
      </c>
      <c r="E26" s="461">
        <f t="shared" si="5"/>
        <v>116.16234738473234</v>
      </c>
      <c r="F26" s="461">
        <f t="shared" si="6"/>
        <v>4337.9151212537408</v>
      </c>
      <c r="G26" s="461">
        <f t="shared" si="7"/>
        <v>0</v>
      </c>
      <c r="H26" s="461">
        <f t="shared" si="8"/>
        <v>0</v>
      </c>
      <c r="I26" s="461">
        <f t="shared" si="9"/>
        <v>0</v>
      </c>
      <c r="J26" s="461">
        <f t="shared" si="10"/>
        <v>88.087454531202098</v>
      </c>
      <c r="K26" s="461">
        <f t="shared" si="11"/>
        <v>0</v>
      </c>
      <c r="L26" s="461">
        <f t="shared" si="12"/>
        <v>0</v>
      </c>
      <c r="M26" s="461">
        <f t="shared" si="13"/>
        <v>0</v>
      </c>
      <c r="N26" s="461">
        <f t="shared" si="14"/>
        <v>0</v>
      </c>
      <c r="O26" s="461">
        <f t="shared" si="15"/>
        <v>0</v>
      </c>
      <c r="P26" s="462">
        <f t="shared" si="16"/>
        <v>0</v>
      </c>
      <c r="Q26" s="460">
        <f t="shared" ca="1" si="17"/>
        <v>24348.204151004411</v>
      </c>
    </row>
    <row r="27" spans="1:17" s="466" customFormat="1">
      <c r="A27" s="464" t="s">
        <v>579</v>
      </c>
      <c r="B27" s="772">
        <f t="shared" ca="1" si="2"/>
        <v>0.40377191623079378</v>
      </c>
      <c r="C27" s="465">
        <f t="shared" ca="1" si="3"/>
        <v>0</v>
      </c>
      <c r="D27" s="465">
        <f t="shared" si="4"/>
        <v>1.1810519181240908</v>
      </c>
      <c r="E27" s="465">
        <f t="shared" si="5"/>
        <v>78.490632067445375</v>
      </c>
      <c r="F27" s="465">
        <f t="shared" si="6"/>
        <v>0</v>
      </c>
      <c r="G27" s="465">
        <f t="shared" si="7"/>
        <v>19490.669176582564</v>
      </c>
      <c r="H27" s="465">
        <f t="shared" si="8"/>
        <v>3256.8879638708058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22827.632596355168</v>
      </c>
    </row>
    <row r="28" spans="1:17">
      <c r="A28" s="460" t="s">
        <v>569</v>
      </c>
      <c r="B28" s="461">
        <f t="shared" ca="1" si="2"/>
        <v>0</v>
      </c>
      <c r="C28" s="461">
        <f t="shared" ca="1" si="3"/>
        <v>0</v>
      </c>
      <c r="D28" s="461">
        <f t="shared" si="4"/>
        <v>0</v>
      </c>
      <c r="E28" s="461">
        <f t="shared" si="5"/>
        <v>0</v>
      </c>
      <c r="F28" s="461">
        <f t="shared" si="6"/>
        <v>0</v>
      </c>
      <c r="G28" s="461">
        <f t="shared" si="7"/>
        <v>805.83837428716743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805.83837428716743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249.70334659049172</v>
      </c>
      <c r="C32" s="461">
        <f t="shared" ca="1" si="3"/>
        <v>0</v>
      </c>
      <c r="D32" s="461">
        <f t="shared" si="4"/>
        <v>687.60721148157688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937.3105580720686</v>
      </c>
    </row>
    <row r="33" spans="1:17" s="473" customFormat="1">
      <c r="A33" s="470" t="s">
        <v>573</v>
      </c>
      <c r="B33" s="471">
        <f ca="1">SUM(B22:B32)</f>
        <v>23383.029130942155</v>
      </c>
      <c r="C33" s="471">
        <f t="shared" ref="C33:Q33" ca="1" si="18">SUM(C22:C32)</f>
        <v>0</v>
      </c>
      <c r="D33" s="471">
        <f t="shared" ca="1" si="18"/>
        <v>35471.804497161102</v>
      </c>
      <c r="E33" s="471">
        <f t="shared" si="18"/>
        <v>867.48444891539339</v>
      </c>
      <c r="F33" s="471">
        <f t="shared" ca="1" si="18"/>
        <v>6927.6233235675536</v>
      </c>
      <c r="G33" s="471">
        <f t="shared" si="18"/>
        <v>20296.50755086973</v>
      </c>
      <c r="H33" s="471">
        <f t="shared" si="18"/>
        <v>3256.8879638708058</v>
      </c>
      <c r="I33" s="471">
        <f t="shared" si="18"/>
        <v>0</v>
      </c>
      <c r="J33" s="471">
        <f t="shared" si="18"/>
        <v>152.86490871972507</v>
      </c>
      <c r="K33" s="471">
        <f t="shared" si="18"/>
        <v>0</v>
      </c>
      <c r="L33" s="471">
        <f t="shared" ca="1" si="18"/>
        <v>0</v>
      </c>
      <c r="M33" s="471">
        <f t="shared" si="18"/>
        <v>0</v>
      </c>
      <c r="N33" s="471">
        <f t="shared" ca="1" si="18"/>
        <v>0</v>
      </c>
      <c r="O33" s="471">
        <f t="shared" si="18"/>
        <v>0</v>
      </c>
      <c r="P33" s="471">
        <f t="shared" si="18"/>
        <v>0</v>
      </c>
      <c r="Q33" s="471">
        <f t="shared" ca="1" si="18"/>
        <v>90356.201824046468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6310.157863268927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15961.5</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18778.23529411765</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22271.657863268927</v>
      </c>
      <c r="C10" s="1041">
        <f>SUM(C4:C9)</f>
        <v>0</v>
      </c>
      <c r="D10" s="1041">
        <f t="shared" ref="D10:H10" si="0">SUM(D8:D9)</f>
        <v>0</v>
      </c>
      <c r="E10" s="1041">
        <f t="shared" si="0"/>
        <v>0</v>
      </c>
      <c r="F10" s="1041">
        <f t="shared" si="0"/>
        <v>0</v>
      </c>
      <c r="G10" s="1041">
        <f t="shared" si="0"/>
        <v>0</v>
      </c>
      <c r="H10" s="1041">
        <f t="shared" si="0"/>
        <v>0</v>
      </c>
      <c r="I10" s="1041">
        <f>SUM(I8:I9)</f>
        <v>0</v>
      </c>
      <c r="J10" s="1041">
        <f>SUM(J8:J9)</f>
        <v>18778.23529411765</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0.18256977481714967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22802.142857142859</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26826.050420168071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22802.142857142859</v>
      </c>
      <c r="C20" s="1041">
        <f>SUM(C17:C19)</f>
        <v>0</v>
      </c>
      <c r="D20" s="1041">
        <f t="shared" ref="D20:H20" si="2">SUM(D17:D19)</f>
        <v>0</v>
      </c>
      <c r="E20" s="1041">
        <f t="shared" si="2"/>
        <v>0</v>
      </c>
      <c r="F20" s="1041">
        <f t="shared" si="2"/>
        <v>0</v>
      </c>
      <c r="G20" s="1041">
        <f t="shared" si="2"/>
        <v>0</v>
      </c>
      <c r="H20" s="1041">
        <f t="shared" si="2"/>
        <v>0</v>
      </c>
      <c r="I20" s="1041">
        <f>SUM(I17:I19)</f>
        <v>0</v>
      </c>
      <c r="J20" s="1041">
        <f>SUM(J17:J19)</f>
        <v>26826.050420168071</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0.18256977481714967</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2019-08-12T07:52:36Z</dcterms:modified>
</cp:coreProperties>
</file>