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P20"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Q90" i="14"/>
  <c r="B17" i="6" s="1"/>
  <c r="B76" i="14"/>
  <c r="C76"/>
  <c r="C87"/>
  <c r="C17" i="56" s="1"/>
  <c r="C20" s="1"/>
  <c r="B87" i="14"/>
  <c r="B8" i="56" l="1"/>
  <c r="B10" s="1"/>
  <c r="B78" i="14"/>
  <c r="B4" i="6" s="1"/>
  <c r="C8" i="56"/>
  <c r="C10" s="1"/>
  <c r="C78" i="14"/>
  <c r="B90"/>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N46"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9"/>
  <c r="J28"/>
  <c r="P4"/>
  <c r="Q11" i="14"/>
  <c r="B7" i="48"/>
  <c r="C24" i="14"/>
  <c r="C26" s="1"/>
  <c r="O4" i="48"/>
  <c r="P11" i="14"/>
  <c r="I32" i="48"/>
  <c r="I22"/>
  <c r="I31"/>
  <c r="I26"/>
  <c r="I29"/>
  <c r="I25"/>
  <c r="I24"/>
  <c r="I28"/>
  <c r="I30"/>
  <c r="I27"/>
  <c r="E11" i="14"/>
  <c r="D4" i="48"/>
  <c r="D22" s="1"/>
  <c r="H32"/>
  <c r="H25"/>
  <c r="H26"/>
  <c r="H29"/>
  <c r="H22"/>
  <c r="H30"/>
  <c r="H28"/>
  <c r="H24"/>
  <c r="H23"/>
  <c r="D11" i="14"/>
  <c r="C4" i="48"/>
  <c r="G32"/>
  <c r="G25"/>
  <c r="G26"/>
  <c r="G24"/>
  <c r="G22"/>
  <c r="G29"/>
  <c r="G30"/>
  <c r="G23"/>
  <c r="C11" i="14"/>
  <c r="B4" i="48"/>
  <c r="F30"/>
  <c r="F24"/>
  <c r="F28"/>
  <c r="F32"/>
  <c r="F27"/>
  <c r="F31"/>
  <c r="F29"/>
  <c r="N24"/>
  <c r="N32"/>
  <c r="N30"/>
  <c r="N28"/>
  <c r="N31"/>
  <c r="N27"/>
  <c r="N29"/>
  <c r="C19" i="14"/>
  <c r="B10" i="48"/>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P15"/>
  <c r="P22"/>
  <c r="P33" s="1"/>
  <c r="I23"/>
  <c r="I33" s="1"/>
  <c r="I15"/>
  <c r="J12" i="17"/>
  <c r="K54" i="14" s="1"/>
  <c r="K56" s="1"/>
  <c r="J7" i="48"/>
  <c r="J25" s="1"/>
  <c r="K24" i="14"/>
  <c r="K26" s="1"/>
  <c r="M32" i="48"/>
  <c r="M22"/>
  <c r="M26"/>
  <c r="M25"/>
  <c r="M29"/>
  <c r="M30"/>
  <c r="M24"/>
  <c r="M23"/>
  <c r="O5"/>
  <c r="O23" s="1"/>
  <c r="P10" i="14"/>
  <c r="O22" i="48"/>
  <c r="K15"/>
  <c r="K23"/>
  <c r="K33" s="1"/>
  <c r="G11" i="14"/>
  <c r="F4" i="48"/>
  <c r="F22" s="1"/>
  <c r="H13"/>
  <c r="H31" s="1"/>
  <c r="I18" i="14"/>
  <c r="P8" i="48"/>
  <c r="P26" s="1"/>
  <c r="Q13" i="14"/>
  <c r="J46"/>
  <c r="J61" s="1"/>
  <c r="L63"/>
  <c r="Q16"/>
  <c r="Q27" s="1"/>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E9" i="48"/>
  <c r="E27" s="1"/>
  <c r="F20" i="14"/>
  <c r="F22" s="1"/>
  <c r="R18"/>
  <c r="G31" i="48"/>
  <c r="Q13"/>
  <c r="P13" i="14"/>
  <c r="O8" i="48"/>
  <c r="N19" i="14"/>
  <c r="M10" i="48"/>
  <c r="M28" s="1"/>
  <c r="D9"/>
  <c r="D27" s="1"/>
  <c r="E20" i="14"/>
  <c r="E22" s="1"/>
  <c r="P16"/>
  <c r="P27" s="1"/>
  <c r="M14" i="22"/>
  <c r="E12" i="17"/>
  <c r="F54" i="14" s="1"/>
  <c r="F56" s="1"/>
  <c r="H14" i="22"/>
  <c r="D16" i="14"/>
  <c r="P46"/>
  <c r="P61" s="1"/>
  <c r="P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N22" l="1"/>
  <c r="N27" s="1"/>
  <c r="N63" s="1"/>
  <c r="H20"/>
  <c r="H22" s="1"/>
  <c r="H27" s="1"/>
  <c r="G9" i="48"/>
  <c r="E22"/>
  <c r="Q4"/>
  <c r="K10" i="14"/>
  <c r="J5" i="48"/>
  <c r="J23" s="1"/>
  <c r="M9"/>
  <c r="N20" i="14"/>
  <c r="G28" i="48"/>
  <c r="Q10"/>
  <c r="E5"/>
  <c r="E23" s="1"/>
  <c r="F10" i="14"/>
  <c r="I20"/>
  <c r="I22" s="1"/>
  <c r="I27" s="1"/>
  <c r="I63" s="1"/>
  <c r="H9" i="48"/>
  <c r="J22"/>
  <c r="C22" i="14"/>
  <c r="O26" i="48"/>
  <c r="O33" s="1"/>
  <c r="O15"/>
  <c r="R19" i="14"/>
  <c r="E46"/>
  <c r="E61" s="1"/>
  <c r="G18" i="22"/>
  <c r="H50" i="14" s="1"/>
  <c r="H52" s="1"/>
  <c r="H61"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E8"/>
  <c r="E26" s="1"/>
  <c r="F13" i="14"/>
  <c r="H27" i="48"/>
  <c r="H33" s="1"/>
  <c r="H15"/>
  <c r="M27"/>
  <c r="M33" s="1"/>
  <c r="M15"/>
  <c r="G27"/>
  <c r="G33" s="1"/>
  <c r="G15"/>
  <c r="E15"/>
  <c r="Q5"/>
  <c r="F16" i="14"/>
  <c r="F27" s="1"/>
  <c r="F63" s="1"/>
  <c r="K16"/>
  <c r="K27" s="1"/>
  <c r="F46"/>
  <c r="F61" s="1"/>
  <c r="J33" i="48"/>
  <c r="R10" i="14"/>
  <c r="J15" i="48"/>
  <c r="Q9"/>
  <c r="R20" i="14"/>
  <c r="R22" s="1"/>
  <c r="H63"/>
  <c r="E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<sst xmlns="http://schemas.openxmlformats.org/spreadsheetml/2006/main" count="2486" uniqueCount="948">
  <si>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</si>
  <si>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</si>
  <si>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</si>
  <si>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</si>
  <si>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</si>
  <si>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</si>
  <si>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</si>
  <si>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</si>
  <si>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</si>
  <si>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</si>
  <si>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</si>
  <si>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</si>
  <si>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</si>
  <si>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</si>
  <si>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</si>
  <si>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</si>
  <si>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</si>
  <si>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</si>
  <si>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</si>
  <si>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</si>
  <si>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</si>
  <si>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</si>
  <si>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</si>
  <si>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</si>
  <si>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</si>
  <si>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</si>
  <si>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</si>
  <si>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</si>
  <si>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</si>
  <si>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</si>
  <si>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</si>
  <si>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</si>
  <si>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</si>
  <si>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</si>
  <si>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</si>
  <si>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</si>
  <si>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</si>
  <si>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</si>
  <si>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</si>
  <si>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</si>
  <si>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</si>
  <si>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</si>
  <si>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</si>
  <si>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</si>
  <si>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</si>
  <si>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</si>
  <si>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</si>
  <si>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</si>
  <si>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</si>
  <si>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</si>
  <si>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</si>
  <si>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</si>
  <si>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</si>
  <si>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</si>
  <si>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</si>
  <si>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</si>
  <si>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</si>
  <si>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</si>
  <si>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</si>
  <si>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</si>
  <si>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</si>
  <si>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</si>
  <si>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</si>
  <si>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</si>
  <si>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</si>
  <si>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</si>
  <si>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</si>
  <si>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</si>
  <si>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</si>
  <si>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</si>
  <si>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</si>
  <si>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</si>
  <si>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</si>
  <si>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</si>
  <si>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</si>
  <si>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</si>
  <si>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</si>
  <si>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</si>
  <si>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</si>
  <si>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</si>
  <si>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</si>
  <si>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</si>
  <si>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</si>
  <si>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</si>
  <si>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</si>
  <si>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</si>
  <si>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</si>
  <si>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</si>
  <si>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</si>
  <si>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</si>
  <si>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</si>
  <si>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</si>
  <si>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</si>
  <si>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</si>
  <si>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</si>
  <si>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</si>
  <si>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</si>
  <si>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</si>
  <si>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</si>
  <si>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</si>
  <si>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</si>
  <si>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</si>
  <si>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</si>
  <si>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</si>
  <si>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</si>
  <si>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</si>
  <si>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</si>
  <si>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</si>
  <si>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</si>
  <si>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</si>
  <si>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</si>
  <si>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</si>
  <si>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</si>
  <si>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</si>
  <si>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</si>
  <si>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</si>
  <si>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</si>
  <si>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</si>
  <si>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</si>
  <si>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</si>
  <si>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</si>
  <si>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</si>
  <si>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</si>
  <si>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</si>
  <si>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</si>
  <si>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</si>
  <si>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</si>
  <si>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</si>
  <si>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</si>
  <si>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</si>
  <si>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</si>
  <si>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</si>
  <si>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</si>
  <si>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</si>
  <si>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</si>
  <si>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</si>
  <si>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</si>
  <si>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</si>
  <si>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</si>
  <si>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</si>
  <si>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</si>
  <si>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</si>
  <si>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</si>
  <si>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</si>
  <si>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</si>
  <si>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</si>
  <si>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</si>
  <si>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</si>
  <si>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</si>
  <si>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</si>
  <si>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</si>
  <si>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</si>
  <si>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</si>
  <si>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</si>
  <si>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</si>
  <si>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</si>
  <si>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</si>
  <si>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</si>
  <si>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</si>
  <si>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</si>
  <si>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</si>
  <si>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</si>
  <si>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</si>
  <si>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</si>
  <si>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</si>
  <si>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</si>
  <si>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</si>
  <si>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</si>
  <si>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</si>
  <si>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</si>
  <si>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</si>
  <si>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</si>
  <si>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</si>
  <si>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</si>
  <si>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</si>
  <si>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</si>
  <si>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</si>
  <si>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</si>
  <si>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</si>
  <si>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</si>
  <si>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</si>
  <si>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</si>
  <si>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</si>
  <si>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</si>
  <si>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</si>
  <si>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</si>
  <si>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</si>
  <si>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</si>
  <si>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</si>
  <si>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</si>
  <si>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</si>
  <si>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</si>
  <si>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</si>
  <si>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</si>
  <si>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</si>
  <si>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</si>
  <si>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</si>
  <si>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</si>
  <si>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</si>
  <si>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</si>
  <si>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</si>
  <si>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</si>
  <si>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</si>
  <si>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</si>
  <si>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</si>
  <si>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</si>
  <si>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</si>
  <si>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</si>
  <si>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</si>
  <si>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</si>
  <si>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</si>
  <si>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</si>
  <si>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</si>
  <si>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</si>
  <si>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</si>
  <si>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</si>
  <si>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</si>
  <si>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</si>
  <si>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</si>
  <si>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</si>
  <si>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</si>
  <si>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</si>
  <si>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</si>
  <si>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</si>
  <si>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</si>
  <si>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</si>
  <si>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</si>
  <si>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</si>
  <si>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</si>
  <si>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</si>
  <si>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</si>
  <si>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</si>
  <si>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</si>
  <si>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</si>
  <si>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</si>
  <si>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</si>
  <si>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</si>
  <si>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</si>
  <si>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</si>
  <si>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</si>
  <si>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</si>
  <si>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</si>
  <si>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</si>
  <si>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</si>
  <si>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</si>
  <si>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</si>
  <si>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</si>
  <si>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</si>
  <si>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</si>
  <si>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</si>
  <si>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</si>
  <si>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</si>
  <si>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</si>
  <si>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</si>
  <si>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</si>
  <si>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</si>
  <si>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</si>
  <si>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</si>
  <si>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</si>
  <si>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</si>
  <si>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</si>
  <si>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</si>
  <si>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</si>
  <si>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</si>
  <si>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</si>
  <si>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</si>
  <si>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</si>
  <si>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</si>
  <si>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</si>
  <si>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</si>
  <si>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</si>
  <si>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</si>
  <si>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</si>
  <si>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</si>
  <si>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</si>
  <si>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</si>
  <si>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</si>
  <si>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</si>
  <si>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</si>
  <si>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</si>
  <si>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</si>
  <si>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</si>
  <si>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</si>
  <si>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</si>
  <si>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</si>
  <si>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</si>
  <si>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</si>
  <si>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</si>
  <si>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</si>
  <si>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</si>
  <si>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</si>
  <si>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</si>
  <si>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</si>
  <si>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</si>
  <si>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</si>
  <si>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</si>
  <si>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</si>
  <si>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</si>
  <si>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</si>
  <si>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</si>
  <si>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</si>
  <si>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</si>
  <si>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</si>
  <si>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</si>
  <si>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</si>
  <si>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</si>
  <si>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</si>
  <si>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</si>
  <si>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</si>
  <si>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</si>
  <si>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</si>
  <si>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</si>
  <si>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</si>
  <si>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</si>
  <si>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</si>
  <si>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</si>
  <si>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</si>
  <si>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</si>
  <si>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</si>
  <si>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</si>
  <si>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</si>
  <si>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</si>
  <si>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</si>
  <si>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</si>
  <si>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</si>
  <si>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</si>
  <si>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</si>
  <si>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</si>
  <si>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</si>
  <si>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</si>
  <si>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</si>
  <si>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</si>
  <si>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</si>
  <si>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</si>
  <si>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</si>
  <si>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</si>
  <si>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</si>
  <si>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</si>
  <si>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</si>
  <si>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</si>
  <si>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</si>
  <si>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</si>
  <si>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</si>
  <si>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</si>
  <si>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</si>
  <si>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</si>
  <si>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</si>
  <si>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</si>
  <si>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</si>
  <si>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</si>
  <si>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</si>
  <si>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</si>
  <si>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</si>
  <si>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</si>
  <si>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</si>
  <si>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</si>
  <si>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</si>
  <si>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</si>
  <si>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</si>
  <si>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</si>
  <si>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</si>
  <si>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</si>
  <si>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</si>
  <si>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</si>
  <si>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</si>
  <si>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</si>
  <si>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</si>
  <si>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</si>
  <si>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</si>
  <si>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</si>
  <si>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</si>
  <si>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</si>
  <si>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</si>
  <si>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</si>
  <si>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</si>
  <si>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</si>
  <si>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</si>
  <si>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</si>
  <si>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</si>
  <si>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</si>
  <si>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</si>
  <si>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</si>
  <si>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</si>
  <si>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</si>
  <si>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</si>
  <si>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</si>
  <si>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</si>
  <si>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</si>
  <si>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</si>
  <si>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</si>
  <si>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</si>
  <si>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</si>
  <si>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</si>
  <si>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</si>
  <si>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</si>
  <si>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</si>
  <si>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</si>
  <si>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</si>
  <si>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</si>
  <si>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</si>
  <si>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</si>
  <si>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</si>
  <si>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</si>
  <si>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</si>
  <si>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</si>
  <si>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</si>
  <si>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</si>
  <si>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</si>
  <si>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</si>
  <si>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</si>
  <si>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</si>
  <si>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</si>
  <si>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</si>
  <si>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</si>
  <si>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</si>
  <si>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</si>
  <si>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</si>
  <si>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</si>
  <si>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</si>
  <si>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</si>
  <si>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</si>
  <si>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</si>
  <si>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</si>
  <si>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</si>
  <si>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</si>
  <si>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</si>
  <si>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</si>
  <si>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</si>
  <si>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</si>
  <si>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</si>
  <si>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</si>
  <si>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</si>
  <si>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</si>
  <si>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</si>
  <si>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</si>
  <si>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</si>
  <si>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</si>
  <si>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</si>
  <si>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</si>
  <si>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</si>
  <si>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</si>
  <si>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</si>
  <si>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</si>
  <si>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</si>
  <si>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</si>
  <si>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</si>
  <si>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</si>
  <si>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</si>
  <si>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</si>
  <si>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</si>
  <si>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</si>
  <si>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</si>
  <si>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</si>
  <si>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</si>
  <si>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</si>
  <si>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</si>
  <si>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</si>
  <si>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</si>
  <si>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</si>
  <si>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</si>
  <si>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</si>
  <si>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</si>
  <si>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</si>
  <si>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</si>
  <si>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</si>
  <si>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</si>
  <si>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</si>
  <si>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</si>
  <si>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</si>
  <si>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</si>
  <si>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</si>
  <si>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</si>
  <si>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</si>
  <si>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</si>
  <si>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</si>
  <si>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</si>
  <si>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</si>
  <si>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</si>
  <si>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</si>
  <si>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</si>
  <si>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</si>
  <si>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</si>
  <si>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</si>
  <si>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</si>
  <si>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</si>
  <si>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</si>
  <si>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</si>
  <si>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</si>
  <si>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</si>
  <si>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</si>
  <si>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</si>
  <si>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</si>
  <si>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</si>
  <si>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</si>
  <si>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</si>
  <si>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</si>
  <si>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</si>
  <si>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</si>
  <si>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</si>
  <si>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</si>
  <si>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</si>
  <si>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</si>
  <si>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</si>
  <si>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</si>
  <si>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</si>
  <si>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</si>
  <si>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</si>
  <si>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</si>
  <si>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</si>
  <si>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</si>
  <si>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</si>
  <si>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</si>
  <si>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</si>
  <si>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</si>
  <si>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</si>
  <si>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</si>
  <si>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</si>
  <si>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</si>
  <si>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</si>
  <si>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</si>
  <si>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</si>
  <si>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</si>
  <si>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</si>
  <si>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</si>
  <si>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</si>
  <si>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</si>
  <si>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</si>
  <si>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</si>
  <si>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</si>
  <si>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</si>
  <si>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</si>
  <si>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</si>
  <si>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</si>
  <si>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</si>
  <si>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</si>
  <si>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</si>
  <si>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</si>
  <si>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</si>
  <si>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</si>
  <si>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</si>
  <si>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</si>
  <si>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</si>
  <si>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</si>
  <si>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</si>
  <si>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</si>
  <si>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</si>
  <si>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</si>
  <si>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</si>
  <si>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</si>
  <si>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</si>
  <si>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</si>
  <si>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</si>
  <si>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</si>
  <si>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</si>
  <si>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</si>
  <si>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</si>
  <si>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</si>
  <si>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</si>
  <si>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</si>
  <si>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</si>
  <si>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</si>
  <si>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</si>
  <si>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</si>
  <si>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</si>
  <si>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</si>
  <si>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</si>
  <si>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</si>
  <si>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</si>
  <si>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</si>
  <si>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</si>
  <si>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</si>
  <si>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</si>
  <si>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</si>
  <si>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</si>
  <si>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</si>
  <si>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</si>
  <si>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</si>
  <si>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</si>
  <si>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</si>
  <si>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</si>
  <si>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</si>
  <si>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</si>
  <si>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</si>
  <si>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</si>
  <si>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</si>
  <si>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</si>
  <si>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</si>
  <si>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</si>
  <si>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</si>
  <si>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</si>
  <si>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</si>
  <si>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</si>
  <si>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</si>
  <si>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</si>
  <si>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</si>
  <si>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</si>
  <si>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</si>
  <si>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</si>
  <si>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</si>
  <si>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</si>
  <si>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</si>
  <si>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</si>
  <si>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</si>
  <si>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</si>
  <si>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</si>
  <si>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</si>
  <si>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</si>
  <si>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</si>
  <si>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</si>
  <si>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</si>
  <si>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</si>
  <si>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</si>
  <si>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</si>
  <si>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</si>
  <si>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</si>
  <si>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</si>
  <si>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</si>
  <si>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</si>
  <si>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</si>
  <si>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</si>
  <si>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</si>
  <si>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</si>
  <si>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</si>
  <si>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</si>
  <si>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</si>
  <si>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</si>
  <si>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</si>
  <si>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</si>
  <si>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</si>
  <si>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</si>
  <si>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</si>
  <si>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</si>
  <si>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</si>
  <si>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</si>
  <si>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</si>
  <si>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</si>
  <si>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</si>
  <si>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</si>
  <si>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</si>
  <si>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</si>
  <si>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</si>
  <si>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</si>
  <si>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</si>
  <si>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</si>
  <si>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</si>
  <si>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</si>
  <si>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</si>
  <si>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</si>
  <si>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</si>
  <si>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</si>
  <si>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</si>
  <si>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</si>
  <si>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</si>
  <si>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</si>
  <si>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</si>
  <si>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</si>
  <si>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</si>
  <si>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</si>
  <si>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</si>
  <si>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</si>
  <si>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</si>
  <si>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</si>
  <si>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</si>
  <si>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</si>
  <si>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</si>
  <si>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</si>
  <si>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</si>
  <si>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</si>
  <si>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</si>
  <si>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</si>
  <si>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</si>
  <si>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</si>
  <si>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</si>
  <si>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</si>
  <si>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</si>
  <si>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</si>
  <si>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</si>
  <si>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</si>
  <si>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</si>
  <si>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</si>
  <si>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</si>
  <si>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</si>
  <si>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</si>
  <si>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</si>
  <si>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</si>
  <si>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</si>
  <si>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</si>
  <si>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</si>
  <si>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</si>
  <si>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</si>
  <si>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</si>
  <si>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</si>
  <si>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</si>
  <si>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</si>
  <si>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</si>
  <si>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</si>
  <si>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</si>
  <si>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</si>
  <si>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</si>
  <si>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</si>
  <si>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</si>
  <si>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</si>
  <si>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</si>
  <si>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</si>
  <si>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</si>
  <si>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</si>
  <si>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</si>
  <si>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</si>
  <si>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</si>
  <si>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</si>
  <si>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</si>
  <si>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</si>
  <si>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</si>
  <si>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</si>
  <si>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</si>
  <si>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</si>
  <si>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</si>
  <si>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</si>
  <si>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</si>
  <si>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</si>
  <si>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</si>
  <si>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</si>
  <si>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</si>
  <si>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</si>
  <si>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</si>
  <si>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</si>
  <si>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</si>
  <si>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</si>
  <si>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</si>
  <si>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</si>
  <si>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</si>
  <si>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</si>
  <si>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</si>
  <si>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</si>
  <si>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</si>
  <si>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</si>
  <si>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</si>
  <si>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</si>
  <si>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</si>
  <si>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</si>
  <si>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</si>
  <si>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</si>
  <si>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</si>
  <si>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</si>
  <si>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</si>
  <si>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</si>
  <si>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</si>
  <si>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</si>
  <si>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</si>
  <si>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</si>
  <si>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</si>
  <si>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</si>
  <si>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</si>
  <si>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</si>
  <si>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</si>
  <si>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</si>
  <si>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</si>
  <si>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</si>
  <si>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</si>
  <si>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</si>
  <si>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</si>
  <si>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</si>
  <si>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</si>
  <si>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</si>
  <si>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</si>
  <si>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</si>
  <si>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</si>
  <si>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</si>
  <si>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</si>
  <si>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</si>
  <si>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</si>
  <si>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</si>
  <si>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</si>
  <si>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</si>
  <si>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</si>
  <si>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</si>
  <si>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</si>
  <si>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</si>
  <si>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</si>
  <si>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</si>
  <si>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</si>
  <si>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</si>
  <si>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</si>
  <si>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</si>
  <si>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</si>
  <si>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</si>
  <si>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</si>
  <si>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</si>
  <si>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</si>
  <si>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</si>
  <si>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</si>
  <si>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</si>
  <si>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</si>
  <si>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</si>
  <si>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</si>
  <si>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</si>
  <si>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</si>
  <si>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</si>
  <si>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</si>
  <si>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</si>
  <si>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</si>
  <si>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</si>
  <si>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</si>
  <si>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</si>
  <si>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</si>
  <si>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</si>
  <si>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</si>
  <si>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</si>
  <si>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</si>
  <si>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</si>
  <si>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</si>
  <si>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</si>
  <si>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</si>
  <si>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</si>
  <si>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</si>
  <si>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</si>
  <si>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</si>
  <si>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</si>
  <si>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</si>
  <si>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</si>
  <si>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</si>
  <si>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</si>
  <si>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</si>
  <si>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</si>
  <si>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</si>
  <si>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</si>
  <si>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</si>
  <si>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</si>
  <si>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</si>
  <si>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</si>
  <si>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</si>
  <si>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</si>
  <si>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</si>
  <si>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</si>
  <si>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</si>
  <si>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</si>
  <si>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</si>
  <si>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</si>
  <si>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</si>
  <si>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</si>
  <si>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</si>
  <si>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</si>
  <si>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</si>
  <si>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</si>
  <si>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</si>
  <si>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</si>
  <si>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</si>
  <si>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</si>
  <si>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</si>
  <si>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</si>
  <si>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</si>
  <si>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</si>
  <si>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</si>
  <si>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</si>
  <si>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</si>
  <si>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</si>
  <si>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</si>
  <si>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</si>
  <si>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</si>
  <si>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</si>
  <si>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</si>
  <si>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</si>
  <si>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</si>
  <si>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</si>
  <si>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</si>
  <si>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</si>
  <si>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</si>
  <si>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</si>
  <si>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</si>
  <si>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</si>
  <si>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</si>
  <si>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</si>
  <si>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</si>
  <si>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</si>
  <si>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</si>
  <si>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</si>
  <si>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</si>
  <si>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</si>
  <si>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</si>
  <si>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</si>
  <si>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</si>
  <si>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</si>
  <si>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</si>
  <si>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</si>
  <si>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</si>
  <si>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</si>
  <si>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</si>
  <si>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</si>
  <si>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</si>
  <si>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</si>
  <si>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</si>
  <si>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</si>
  <si>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</si>
  <si>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</si>
  <si>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</si>
  <si>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</si>
  <si>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</si>
  <si>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</si>
  <si>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</si>
  <si>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</si>
  <si>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</si>
  <si>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</si>
  <si>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</si>
  <si>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</si>
  <si>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</si>
  <si>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</si>
  <si>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</si>
  <si>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</si>
  <si>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</si>
  <si>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</si>
  <si>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</si>
  <si>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</si>
  <si>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</si>
  <si>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</si>
  <si>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</si>
  <si>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</si>
  <si>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</si>
  <si>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</si>
  <si>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</si>
  <si>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</si>
  <si>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</si>
  <si>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</si>
  <si>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</si>
  <si>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</si>
  <si>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</si>
  <si>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</si>
  <si>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</si>
  <si>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</si>
  <si>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</si>
  <si>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</si>
  <si>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</si>
  <si>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</si>
  <si>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</si>
  <si>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</si>
  <si>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</si>
  <si>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</si>
  <si>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</si>
  <si>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</si>
  <si>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</si>
  <si>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</si>
  <si>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</si>
  <si>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</si>
  <si>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11050</t>
  </si>
  <si>
    <t>WIJNEGEM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</si>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</sst>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11050</v>
      </c>
      <c r="B6" s="397"/>
      <c r="C6" s="398"/>
    </row>
    <row r="7" spans="1:7" s="395" customFormat="1" ht="15.75" customHeight="1">
      <c r="A7" s="399" t="str">
        <f>txtMunicipality</f>
        <v>WIJNEGEM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0.19960934581420173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0.19960934581420173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3763</v>
      </c>
      <c r="C9" s="338">
        <v>3910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117</v>
      </c>
    </row>
    <row r="15" spans="1:6">
      <c r="A15" s="1286" t="s">
        <v>184</v>
      </c>
      <c r="B15" s="335">
        <v>0</v>
      </c>
    </row>
    <row r="16" spans="1:6">
      <c r="A16" s="1286" t="s">
        <v>6</v>
      </c>
      <c r="B16" s="335">
        <v>0</v>
      </c>
    </row>
    <row r="17" spans="1:6">
      <c r="A17" s="1286" t="s">
        <v>7</v>
      </c>
      <c r="B17" s="335">
        <v>6</v>
      </c>
    </row>
    <row r="18" spans="1:6">
      <c r="A18" s="1286" t="s">
        <v>8</v>
      </c>
      <c r="B18" s="335">
        <v>5</v>
      </c>
    </row>
    <row r="19" spans="1:6">
      <c r="A19" s="1286" t="s">
        <v>9</v>
      </c>
      <c r="B19" s="335">
        <v>9</v>
      </c>
    </row>
    <row r="20" spans="1:6">
      <c r="A20" s="1286" t="s">
        <v>10</v>
      </c>
      <c r="B20" s="335">
        <v>8</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8</v>
      </c>
      <c r="C29" s="341"/>
      <c r="D29" s="341"/>
      <c r="E29" s="341"/>
      <c r="F29" s="341"/>
    </row>
    <row r="30" spans="1:6">
      <c r="A30" s="1282" t="s">
        <v>945</v>
      </c>
      <c r="B30" s="1282">
        <v>16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2730.3170703065002</v>
      </c>
    </row>
    <row r="39" spans="1:6">
      <c r="A39" s="1286" t="s">
        <v>30</v>
      </c>
      <c r="B39" s="1286" t="s">
        <v>31</v>
      </c>
      <c r="C39" s="335">
        <v>3258</v>
      </c>
      <c r="D39" s="335">
        <v>60522460.455804802</v>
      </c>
      <c r="E39" s="335">
        <v>3829</v>
      </c>
      <c r="F39" s="335">
        <v>15081576.3145719</v>
      </c>
    </row>
    <row r="40" spans="1:6">
      <c r="A40" s="1286" t="s">
        <v>30</v>
      </c>
      <c r="B40" s="1286" t="s">
        <v>29</v>
      </c>
      <c r="C40" s="335">
        <v>0</v>
      </c>
      <c r="D40" s="335">
        <v>0</v>
      </c>
      <c r="E40" s="335">
        <v>0</v>
      </c>
      <c r="F40" s="335">
        <v>0</v>
      </c>
    </row>
    <row r="41" spans="1:6">
      <c r="A41" s="1286" t="s">
        <v>32</v>
      </c>
      <c r="B41" s="1286" t="s">
        <v>33</v>
      </c>
      <c r="C41" s="335">
        <v>38</v>
      </c>
      <c r="D41" s="335">
        <v>2160682.5926681599</v>
      </c>
      <c r="E41" s="335">
        <v>74</v>
      </c>
      <c r="F41" s="335">
        <v>3619922.2495992701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376994.42703467701</v>
      </c>
      <c r="E44" s="335">
        <v>9</v>
      </c>
      <c r="F44" s="335">
        <v>312794.65575398097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303373.71818170999</v>
      </c>
    </row>
    <row r="48" spans="1:6">
      <c r="A48" s="1286" t="s">
        <v>32</v>
      </c>
      <c r="B48" s="1286" t="s">
        <v>29</v>
      </c>
      <c r="C48" s="335">
        <v>20</v>
      </c>
      <c r="D48" s="335">
        <v>5655794.35602355</v>
      </c>
      <c r="E48" s="335">
        <v>25</v>
      </c>
      <c r="F48" s="335">
        <v>4527827.9085602602</v>
      </c>
    </row>
    <row r="49" spans="1:6">
      <c r="A49" s="1286" t="s">
        <v>32</v>
      </c>
      <c r="B49" s="1286" t="s">
        <v>40</v>
      </c>
      <c r="C49" s="335">
        <v>0</v>
      </c>
      <c r="D49" s="335">
        <v>0</v>
      </c>
      <c r="E49" s="335">
        <v>0</v>
      </c>
      <c r="F49" s="335">
        <v>0</v>
      </c>
    </row>
    <row r="50" spans="1:6">
      <c r="A50" s="1286" t="s">
        <v>32</v>
      </c>
      <c r="B50" s="1286" t="s">
        <v>41</v>
      </c>
      <c r="C50" s="335">
        <v>6</v>
      </c>
      <c r="D50" s="335">
        <v>320226.92413967999</v>
      </c>
      <c r="E50" s="335">
        <v>5</v>
      </c>
      <c r="F50" s="335">
        <v>455475.26410823001</v>
      </c>
    </row>
    <row r="51" spans="1:6">
      <c r="A51" s="1286" t="s">
        <v>42</v>
      </c>
      <c r="B51" s="1286" t="s">
        <v>43</v>
      </c>
      <c r="C51" s="335">
        <v>0</v>
      </c>
      <c r="D51" s="335">
        <v>0</v>
      </c>
      <c r="E51" s="335">
        <v>0</v>
      </c>
      <c r="F51" s="335">
        <v>0</v>
      </c>
    </row>
    <row r="52" spans="1:6">
      <c r="A52" s="1286" t="s">
        <v>42</v>
      </c>
      <c r="B52" s="1286" t="s">
        <v>29</v>
      </c>
      <c r="C52" s="335">
        <v>4</v>
      </c>
      <c r="D52" s="335">
        <v>511934.53796623502</v>
      </c>
      <c r="E52" s="335">
        <v>5</v>
      </c>
      <c r="F52" s="335">
        <v>184322.448214592</v>
      </c>
    </row>
    <row r="53" spans="1:6">
      <c r="A53" s="1286" t="s">
        <v>44</v>
      </c>
      <c r="B53" s="1286" t="s">
        <v>45</v>
      </c>
      <c r="C53" s="335">
        <v>65</v>
      </c>
      <c r="D53" s="335">
        <v>1866020.0930617801</v>
      </c>
      <c r="E53" s="335">
        <v>118</v>
      </c>
      <c r="F53" s="335">
        <v>692896.68981745804</v>
      </c>
    </row>
    <row r="54" spans="1:6">
      <c r="A54" s="1286" t="s">
        <v>46</v>
      </c>
      <c r="B54" s="1286" t="s">
        <v>47</v>
      </c>
      <c r="C54" s="335">
        <v>0</v>
      </c>
      <c r="D54" s="335">
        <v>0</v>
      </c>
      <c r="E54" s="335">
        <v>1</v>
      </c>
      <c r="F54" s="335">
        <v>631068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3178553.3372605899</v>
      </c>
      <c r="E57" s="335">
        <v>69</v>
      </c>
      <c r="F57" s="335">
        <v>1435411.83908886</v>
      </c>
    </row>
    <row r="58" spans="1:6">
      <c r="A58" s="1286" t="s">
        <v>49</v>
      </c>
      <c r="B58" s="1286" t="s">
        <v>51</v>
      </c>
      <c r="C58" s="335">
        <v>11</v>
      </c>
      <c r="D58" s="335">
        <v>1946842.0346152</v>
      </c>
      <c r="E58" s="335">
        <v>14</v>
      </c>
      <c r="F58" s="335">
        <v>397456.037516799</v>
      </c>
    </row>
    <row r="59" spans="1:6">
      <c r="A59" s="1286" t="s">
        <v>49</v>
      </c>
      <c r="B59" s="1286" t="s">
        <v>52</v>
      </c>
      <c r="C59" s="335">
        <v>51</v>
      </c>
      <c r="D59" s="335">
        <v>4145008.9667792101</v>
      </c>
      <c r="E59" s="335">
        <v>321</v>
      </c>
      <c r="F59" s="335">
        <v>16493240.6242202</v>
      </c>
    </row>
    <row r="60" spans="1:6">
      <c r="A60" s="1286" t="s">
        <v>49</v>
      </c>
      <c r="B60" s="1286" t="s">
        <v>53</v>
      </c>
      <c r="C60" s="335">
        <v>43</v>
      </c>
      <c r="D60" s="335">
        <v>3751692.29013729</v>
      </c>
      <c r="E60" s="335">
        <v>71</v>
      </c>
      <c r="F60" s="335">
        <v>4651089.2837422304</v>
      </c>
    </row>
    <row r="61" spans="1:6">
      <c r="A61" s="1286" t="s">
        <v>49</v>
      </c>
      <c r="B61" s="1286" t="s">
        <v>54</v>
      </c>
      <c r="C61" s="335">
        <v>61</v>
      </c>
      <c r="D61" s="335">
        <v>4583266.2286280598</v>
      </c>
      <c r="E61" s="335">
        <v>152</v>
      </c>
      <c r="F61" s="335">
        <v>9572346.9260114301</v>
      </c>
    </row>
    <row r="62" spans="1:6">
      <c r="A62" s="1286" t="s">
        <v>49</v>
      </c>
      <c r="B62" s="1286" t="s">
        <v>55</v>
      </c>
      <c r="C62" s="335">
        <v>4</v>
      </c>
      <c r="D62" s="335">
        <v>782234.554249465</v>
      </c>
      <c r="E62" s="335">
        <v>3</v>
      </c>
      <c r="F62" s="335">
        <v>31632.716725798</v>
      </c>
    </row>
    <row r="63" spans="1:6">
      <c r="A63" s="1286" t="s">
        <v>49</v>
      </c>
      <c r="B63" s="1286" t="s">
        <v>29</v>
      </c>
      <c r="C63" s="335">
        <v>108</v>
      </c>
      <c r="D63" s="335">
        <v>8228192.0022839904</v>
      </c>
      <c r="E63" s="335">
        <v>112</v>
      </c>
      <c r="F63" s="335">
        <v>6398401.2978045801</v>
      </c>
    </row>
    <row r="64" spans="1:6">
      <c r="A64" s="1286" t="s">
        <v>56</v>
      </c>
      <c r="B64" s="1286" t="s">
        <v>57</v>
      </c>
      <c r="C64" s="335">
        <v>0</v>
      </c>
      <c r="D64" s="335">
        <v>0</v>
      </c>
      <c r="E64" s="335">
        <v>0</v>
      </c>
      <c r="F64" s="335">
        <v>0</v>
      </c>
    </row>
    <row r="65" spans="1:6">
      <c r="A65" s="1286" t="s">
        <v>56</v>
      </c>
      <c r="B65" s="1286" t="s">
        <v>29</v>
      </c>
      <c r="C65" s="335">
        <v>3</v>
      </c>
      <c r="D65" s="335">
        <v>85552.339572516197</v>
      </c>
      <c r="E65" s="335">
        <v>4</v>
      </c>
      <c r="F65" s="335">
        <v>16049.229831589601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226835.87589916601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58491621</v>
      </c>
      <c r="E73" s="335">
        <v>56556309.078826807</v>
      </c>
    </row>
    <row r="74" spans="1:6">
      <c r="A74" s="1286" t="s">
        <v>64</v>
      </c>
      <c r="B74" s="1286" t="s">
        <v>772</v>
      </c>
      <c r="C74" s="1297" t="s">
        <v>766</v>
      </c>
      <c r="D74" s="335">
        <v>5844852.4467542246</v>
      </c>
      <c r="E74" s="335">
        <v>5888659.0561196161</v>
      </c>
    </row>
    <row r="75" spans="1:6">
      <c r="A75" s="1286" t="s">
        <v>65</v>
      </c>
      <c r="B75" s="1286" t="s">
        <v>771</v>
      </c>
      <c r="C75" s="1297" t="s">
        <v>767</v>
      </c>
      <c r="D75" s="335">
        <v>4342885</v>
      </c>
      <c r="E75" s="335">
        <v>4584694.6259161448</v>
      </c>
    </row>
    <row r="76" spans="1:6">
      <c r="A76" s="1286" t="s">
        <v>65</v>
      </c>
      <c r="B76" s="1286" t="s">
        <v>772</v>
      </c>
      <c r="C76" s="1297" t="s">
        <v>768</v>
      </c>
      <c r="D76" s="335">
        <v>180229.44675422466</v>
      </c>
      <c r="E76" s="335">
        <v>227866.58232415802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361957.10649155069</v>
      </c>
      <c r="C83" s="335">
        <v>340725.23260386923</v>
      </c>
    </row>
    <row r="84" spans="1:6">
      <c r="A84" s="1282" t="s">
        <v>337</v>
      </c>
      <c r="B84" s="338">
        <v>143837.44321923138</v>
      </c>
      <c r="C84" s="338">
        <v>162208.82478884156</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555</v>
      </c>
    </row>
    <row r="90" spans="1:6">
      <c r="A90" s="1286" t="s">
        <v>567</v>
      </c>
      <c r="B90" s="1301">
        <v>0</v>
      </c>
    </row>
    <row r="91" spans="1:6">
      <c r="A91" s="1286" t="s">
        <v>68</v>
      </c>
      <c r="B91" s="335">
        <v>896.75134685455714</v>
      </c>
    </row>
    <row r="92" spans="1:6">
      <c r="A92" s="1282" t="s">
        <v>69</v>
      </c>
      <c r="B92" s="338">
        <v>4955.1789771963668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2433</v>
      </c>
    </row>
    <row r="98" spans="1:6">
      <c r="A98" s="1286" t="s">
        <v>72</v>
      </c>
      <c r="B98" s="335">
        <v>7</v>
      </c>
    </row>
    <row r="99" spans="1:6">
      <c r="A99" s="1286" t="s">
        <v>73</v>
      </c>
      <c r="B99" s="335">
        <v>11</v>
      </c>
    </row>
    <row r="100" spans="1:6">
      <c r="A100" s="1286" t="s">
        <v>74</v>
      </c>
      <c r="B100" s="335">
        <v>240</v>
      </c>
    </row>
    <row r="101" spans="1:6">
      <c r="A101" s="1286" t="s">
        <v>75</v>
      </c>
      <c r="B101" s="335">
        <v>35</v>
      </c>
    </row>
    <row r="102" spans="1:6">
      <c r="A102" s="1286" t="s">
        <v>76</v>
      </c>
      <c r="B102" s="335">
        <v>54</v>
      </c>
    </row>
    <row r="103" spans="1:6">
      <c r="A103" s="1286" t="s">
        <v>77</v>
      </c>
      <c r="B103" s="335">
        <v>51</v>
      </c>
    </row>
    <row r="104" spans="1:6">
      <c r="A104" s="1286" t="s">
        <v>78</v>
      </c>
      <c r="B104" s="335">
        <v>534</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66193.936347927243</v>
      </c>
      <c r="C3" s="44" t="s">
        <v>170</v>
      </c>
      <c r="D3" s="44"/>
      <c r="E3" s="157"/>
      <c r="F3" s="44"/>
      <c r="G3" s="44"/>
      <c r="H3" s="44"/>
      <c r="I3" s="44"/>
      <c r="J3" s="44"/>
      <c r="K3" s="97"/>
    </row>
    <row r="4" spans="1:11">
      <c r="A4" s="365" t="s">
        <v>171</v>
      </c>
      <c r="B4" s="50">
        <f>IF(ISERROR('SEAP template'!B78+'SEAP template'!C78),0,'SEAP template'!B78+'SEAP template'!C78)</f>
        <v>6406.9303240509234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0.19960934581420173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631.06799999999998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631.06799999999998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0.19960934581420173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125.96707064427665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15081.576314571901</v>
      </c>
      <c r="C5" s="18">
        <f>IF(ISERROR('Eigen informatie GS &amp; warmtenet'!B57),0,'Eigen informatie GS &amp; warmtenet'!B57)</f>
        <v>0</v>
      </c>
      <c r="D5" s="31">
        <f>(SUM(HH_hh_gas_kWh,HH_rest_gas_kWh)/1000)*0.902</f>
        <v>54591.259331135931</v>
      </c>
      <c r="E5" s="18">
        <f>B46*B57</f>
        <v>426.32016511720195</v>
      </c>
      <c r="F5" s="18">
        <f>B51*B62</f>
        <v>0</v>
      </c>
      <c r="G5" s="19"/>
      <c r="H5" s="18"/>
      <c r="I5" s="18"/>
      <c r="J5" s="18">
        <f>B50*B61+C50*C61</f>
        <v>0</v>
      </c>
      <c r="K5" s="18"/>
      <c r="L5" s="18"/>
      <c r="M5" s="18"/>
      <c r="N5" s="18">
        <f>B48*B59+C48*C59</f>
        <v>4405.2044486920868</v>
      </c>
      <c r="O5" s="18">
        <f>B69*B70*B71</f>
        <v>34.393333333333338</v>
      </c>
      <c r="P5" s="18">
        <f>B77*B78*B79/1000-B77*B78*B79/1000/B80</f>
        <v>38.133333333333333</v>
      </c>
    </row>
    <row r="6" spans="1:16">
      <c r="A6" s="17" t="s">
        <v>639</v>
      </c>
      <c r="B6" s="780">
        <f>kWh_PV_kleiner_dan_10kW</f>
        <v>896.75134685455714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15978.327661426458</v>
      </c>
      <c r="C8" s="22">
        <f>C5</f>
        <v>0</v>
      </c>
      <c r="D8" s="22">
        <f>D5</f>
        <v>54591.259331135931</v>
      </c>
      <c r="E8" s="22">
        <f>E5</f>
        <v>426.32016511720195</v>
      </c>
      <c r="F8" s="22">
        <f>F5</f>
        <v>0</v>
      </c>
      <c r="G8" s="22"/>
      <c r="H8" s="22"/>
      <c r="I8" s="22"/>
      <c r="J8" s="22">
        <f>J5</f>
        <v>0</v>
      </c>
      <c r="K8" s="22"/>
      <c r="L8" s="22">
        <f>L5</f>
        <v>0</v>
      </c>
      <c r="M8" s="22">
        <f>M5</f>
        <v>0</v>
      </c>
      <c r="N8" s="22">
        <f>N5</f>
        <v>4405.2044486920868</v>
      </c>
      <c r="O8" s="22">
        <f>O5</f>
        <v>34.393333333333338</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0.19960934581420173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3189.423531702299</v>
      </c>
      <c r="C12" s="24">
        <f ca="1">C10*C8</f>
        <v>0</v>
      </c>
      <c r="D12" s="24">
        <f>D8*D10</f>
        <v>11027.434384889459</v>
      </c>
      <c r="E12" s="24">
        <f>E10*E8</f>
        <v>96.77467748160484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2433</v>
      </c>
      <c r="C18" s="169" t="s">
        <v>111</v>
      </c>
      <c r="D18" s="231"/>
      <c r="E18" s="16"/>
    </row>
    <row r="19" spans="1:7">
      <c r="A19" s="174" t="s">
        <v>72</v>
      </c>
      <c r="B19" s="38">
        <f>aantalw2001_ander</f>
        <v>7</v>
      </c>
      <c r="C19" s="169" t="s">
        <v>111</v>
      </c>
      <c r="D19" s="232"/>
      <c r="E19" s="16"/>
    </row>
    <row r="20" spans="1:7">
      <c r="A20" s="174" t="s">
        <v>73</v>
      </c>
      <c r="B20" s="38">
        <f>aantalw2001_propaan</f>
        <v>11</v>
      </c>
      <c r="C20" s="170">
        <f>IF(ISERROR(B20/SUM($B$20,$B$21,$B$22)*100),0,B20/SUM($B$20,$B$21,$B$22)*100)</f>
        <v>3.8461538461538463</v>
      </c>
      <c r="D20" s="232"/>
      <c r="E20" s="16"/>
    </row>
    <row r="21" spans="1:7">
      <c r="A21" s="174" t="s">
        <v>74</v>
      </c>
      <c r="B21" s="38">
        <f>aantalw2001_elektriciteit</f>
        <v>240</v>
      </c>
      <c r="C21" s="170">
        <f>IF(ISERROR(B21/SUM($B$20,$B$21,$B$22)*100),0,B21/SUM($B$20,$B$21,$B$22)*100)</f>
        <v>83.91608391608392</v>
      </c>
      <c r="D21" s="232"/>
      <c r="E21" s="16"/>
    </row>
    <row r="22" spans="1:7">
      <c r="A22" s="174" t="s">
        <v>75</v>
      </c>
      <c r="B22" s="38">
        <f>aantalw2001_hout</f>
        <v>35</v>
      </c>
      <c r="C22" s="170">
        <f>IF(ISERROR(B22/SUM($B$20,$B$21,$B$22)*100),0,B22/SUM($B$20,$B$21,$B$22)*100)</f>
        <v>12.237762237762238</v>
      </c>
      <c r="D22" s="232"/>
      <c r="E22" s="16"/>
    </row>
    <row r="23" spans="1:7">
      <c r="A23" s="174" t="s">
        <v>76</v>
      </c>
      <c r="B23" s="38">
        <f>aantalw2001_niet_gespec</f>
        <v>54</v>
      </c>
      <c r="C23" s="169" t="s">
        <v>111</v>
      </c>
      <c r="D23" s="231"/>
      <c r="E23" s="16"/>
    </row>
    <row r="24" spans="1:7">
      <c r="A24" s="174" t="s">
        <v>77</v>
      </c>
      <c r="B24" s="38">
        <f>aantalw2001_steenkool</f>
        <v>51</v>
      </c>
      <c r="C24" s="169" t="s">
        <v>111</v>
      </c>
      <c r="D24" s="232"/>
      <c r="E24" s="16"/>
    </row>
    <row r="25" spans="1:7">
      <c r="A25" s="174" t="s">
        <v>78</v>
      </c>
      <c r="B25" s="38">
        <f>aantalw2001_stookolie</f>
        <v>534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3763</v>
      </c>
      <c r="C28" s="37"/>
      <c r="D28" s="231"/>
    </row>
    <row r="29" spans="1:7" s="16" customFormat="1">
      <c r="A29" s="233" t="s">
        <v>666</v>
      </c>
      <c r="B29" s="38">
        <f>SUM(HH_hh_gas_aantal,HH_rest_gas_aantal)</f>
        <v>3258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3258</v>
      </c>
      <c r="C32" s="170">
        <f>IF(ISERROR(B32/SUM($B$32,$B$34,$B$35,$B$36,$B$38,$B$39)*100),0,B32/SUM($B$32,$B$34,$B$35,$B$36,$B$38,$B$39)*100)</f>
        <v>86.62589736772135</v>
      </c>
      <c r="D32" s="236"/>
      <c r="G32" s="16"/>
    </row>
    <row r="33" spans="1:7">
      <c r="A33" s="174" t="s">
        <v>72</v>
      </c>
      <c r="B33" s="35" t="s">
        <v>111</v>
      </c>
      <c r="C33" s="170"/>
      <c r="D33" s="236"/>
      <c r="G33" s="16"/>
    </row>
    <row r="34" spans="1:7">
      <c r="A34" s="174" t="s">
        <v>73</v>
      </c>
      <c r="B34" s="34">
        <f>IF((($B$28-$B$32-$B$39-$B$77-$B$38)*C20/100)&lt;0,0,($B$28-$B$32-$B$39-$B$77-$B$38)*C20/100)</f>
        <v>19.346153846153847</v>
      </c>
      <c r="C34" s="170">
        <f>IF(ISERROR(B34/SUM($B$32,$B$34,$B$35,$B$36,$B$38,$B$39)*100),0,B34/SUM($B$32,$B$34,$B$35,$B$36,$B$38,$B$39)*100)</f>
        <v>0.51438856277994804</v>
      </c>
      <c r="D34" s="236"/>
      <c r="G34" s="16"/>
    </row>
    <row r="35" spans="1:7">
      <c r="A35" s="174" t="s">
        <v>74</v>
      </c>
      <c r="B35" s="34">
        <f>IF((($B$28-$B$32-$B$39-$B$77-$B$38)*C21/100)&lt;0,0,($B$28-$B$32-$B$39-$B$77-$B$38)*C21/100)</f>
        <v>422.09790209790214</v>
      </c>
      <c r="C35" s="170">
        <f>IF(ISERROR(B35/SUM($B$32,$B$34,$B$35,$B$36,$B$38,$B$39)*100),0,B35/SUM($B$32,$B$34,$B$35,$B$36,$B$38,$B$39)*100)</f>
        <v>11.22302318792614</v>
      </c>
      <c r="D35" s="236"/>
      <c r="G35" s="16"/>
    </row>
    <row r="36" spans="1:7">
      <c r="A36" s="174" t="s">
        <v>75</v>
      </c>
      <c r="B36" s="34">
        <f>IF((($B$28-$B$32-$B$39-$B$77-$B$38)*C22/100)&lt;0,0,($B$28-$B$32-$B$39-$B$77-$B$38)*C22/100)</f>
        <v>61.555944055944053</v>
      </c>
      <c r="C36" s="170">
        <f>IF(ISERROR(B36/SUM($B$32,$B$34,$B$35,$B$36,$B$38,$B$39)*100),0,B36/SUM($B$32,$B$34,$B$35,$B$36,$B$38,$B$39)*100)</f>
        <v>1.6366908815725618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3258</v>
      </c>
      <c r="C44" s="35" t="s">
        <v>111</v>
      </c>
      <c r="D44" s="177"/>
    </row>
    <row r="45" spans="1:7">
      <c r="A45" s="174" t="s">
        <v>72</v>
      </c>
      <c r="B45" s="34" t="str">
        <f t="shared" si="0"/>
        <v>-</v>
      </c>
      <c r="C45" s="35" t="s">
        <v>111</v>
      </c>
      <c r="D45" s="177"/>
    </row>
    <row r="46" spans="1:7">
      <c r="A46" s="174" t="s">
        <v>73</v>
      </c>
      <c r="B46" s="34">
        <f t="shared" si="0"/>
        <v>19.346153846153847</v>
      </c>
      <c r="C46" s="35" t="s">
        <v>111</v>
      </c>
      <c r="D46" s="177"/>
    </row>
    <row r="47" spans="1:7">
      <c r="A47" s="174" t="s">
        <v>74</v>
      </c>
      <c r="B47" s="34">
        <f t="shared" si="0"/>
        <v>422.09790209790214</v>
      </c>
      <c r="C47" s="35" t="s">
        <v>111</v>
      </c>
      <c r="D47" s="177"/>
    </row>
    <row r="48" spans="1:7">
      <c r="A48" s="174" t="s">
        <v>75</v>
      </c>
      <c r="B48" s="34">
        <f t="shared" si="0"/>
        <v>61.555944055944053</v>
      </c>
      <c r="C48" s="34">
        <f>B48*10</f>
        <v>615.55944055944053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38979.578725109903</v>
      </c>
      <c r="C5" s="18">
        <f>IF(ISERROR('Eigen informatie GS &amp; warmtenet'!B58),0,'Eigen informatie GS &amp; warmtenet'!B58)</f>
        <v>0</v>
      </c>
      <c r="D5" s="31">
        <f>SUM(D6:D12)</f>
        <v>24007.44205138633</v>
      </c>
      <c r="E5" s="18">
        <f>SUM(E6:E12)</f>
        <v>413.32701778013893</v>
      </c>
      <c r="F5" s="18">
        <f>SUM(F6:F12)</f>
        <v>7397.4705166334707</v>
      </c>
      <c r="G5" s="19"/>
      <c r="H5" s="18"/>
      <c r="I5" s="18"/>
      <c r="J5" s="18">
        <f>SUM(J6:J12)</f>
        <v>0</v>
      </c>
      <c r="K5" s="18"/>
      <c r="L5" s="18"/>
      <c r="M5" s="18"/>
      <c r="N5" s="18">
        <f>SUM(N6:N12)</f>
        <v>1336.8507862533979</v>
      </c>
      <c r="O5" s="18">
        <f>B38*B39*B40</f>
        <v>0</v>
      </c>
      <c r="P5" s="18">
        <f>B46*B47*B48/1000-B46*B47*B48/1000/B49</f>
        <v>0</v>
      </c>
      <c r="R5" s="33"/>
    </row>
    <row r="6" spans="1:18">
      <c r="A6" s="33" t="s">
        <v>54</v>
      </c>
      <c r="B6" s="38">
        <f>B26</f>
        <v>9572.3469260114307</v>
      </c>
      <c r="C6" s="34"/>
      <c r="D6" s="38">
        <f>IF(ISERROR(TER_kantoor_gas_kWh/1000),0,TER_kantoor_gas_kWh/1000)*0.902</f>
        <v>4134.1061382225107</v>
      </c>
      <c r="E6" s="34">
        <f>$C$26*'E Balans VL '!I12/100/3.6*1000000</f>
        <v>15.71016138912471</v>
      </c>
      <c r="F6" s="34">
        <f>$C$26*('E Balans VL '!L12+'E Balans VL '!N12)/100/3.6*1000000</f>
        <v>1128.3544774843244</v>
      </c>
      <c r="G6" s="35"/>
      <c r="H6" s="34"/>
      <c r="I6" s="34"/>
      <c r="J6" s="34">
        <f>$C$26*('E Balans VL '!D12+'E Balans VL '!E12)/100/3.6*1000000</f>
        <v>0</v>
      </c>
      <c r="K6" s="34"/>
      <c r="L6" s="34"/>
      <c r="M6" s="34"/>
      <c r="N6" s="34">
        <f>$C$26*'E Balans VL '!Y12/100/3.6*1000000</f>
        <v>1.9340473676269665</v>
      </c>
      <c r="O6" s="34"/>
      <c r="P6" s="34"/>
      <c r="R6" s="33"/>
    </row>
    <row r="7" spans="1:18">
      <c r="A7" s="33" t="s">
        <v>53</v>
      </c>
      <c r="B7" s="38">
        <f t="shared" ref="B7:B12" si="0">B27</f>
        <v>4651.0892837422307</v>
      </c>
      <c r="C7" s="34"/>
      <c r="D7" s="38">
        <f>IF(ISERROR(TER_horeca_gas_kWh/1000),0,TER_horeca_gas_kWh/1000)*0.902</f>
        <v>3384.0264457038356</v>
      </c>
      <c r="E7" s="34">
        <f>$C$27*'E Balans VL '!I9/100/3.6*1000000</f>
        <v>241.357877823953</v>
      </c>
      <c r="F7" s="34">
        <f>$C$27*('E Balans VL '!L9+'E Balans VL '!N9)/100/3.6*1000000</f>
        <v>1061.3819493970877</v>
      </c>
      <c r="G7" s="35"/>
      <c r="H7" s="34"/>
      <c r="I7" s="34"/>
      <c r="J7" s="34">
        <f>$C$27*('E Balans VL '!D9+'E Balans VL '!E9)/100/3.6*1000000</f>
        <v>0</v>
      </c>
      <c r="K7" s="34"/>
      <c r="L7" s="34"/>
      <c r="M7" s="34"/>
      <c r="N7" s="34">
        <f>$C$27*'E Balans VL '!Y9/100/3.6*1000000</f>
        <v>0.49115289690852548</v>
      </c>
      <c r="O7" s="34"/>
      <c r="P7" s="34"/>
      <c r="R7" s="33"/>
    </row>
    <row r="8" spans="1:18">
      <c r="A8" s="6" t="s">
        <v>52</v>
      </c>
      <c r="B8" s="38">
        <f t="shared" si="0"/>
        <v>16493.240624220201</v>
      </c>
      <c r="C8" s="34"/>
      <c r="D8" s="38">
        <f>IF(ISERROR(TER_handel_gas_kWh/1000),0,TER_handel_gas_kWh/1000)*0.902</f>
        <v>3738.7980880348473</v>
      </c>
      <c r="E8" s="34">
        <f>$C$28*'E Balans VL '!I13/100/3.6*1000000</f>
        <v>88.818127511321663</v>
      </c>
      <c r="F8" s="34">
        <f>$C$28*('E Balans VL '!L13+'E Balans VL '!N13)/100/3.6*1000000</f>
        <v>3363.4618982449815</v>
      </c>
      <c r="G8" s="35"/>
      <c r="H8" s="34"/>
      <c r="I8" s="34"/>
      <c r="J8" s="34">
        <f>$C$28*('E Balans VL '!D13+'E Balans VL '!E13)/100/3.6*1000000</f>
        <v>0</v>
      </c>
      <c r="K8" s="34"/>
      <c r="L8" s="34"/>
      <c r="M8" s="34"/>
      <c r="N8" s="34">
        <f>$C$28*'E Balans VL '!Y13/100/3.6*1000000</f>
        <v>82.012175793415111</v>
      </c>
      <c r="O8" s="34"/>
      <c r="P8" s="34"/>
      <c r="R8" s="33"/>
    </row>
    <row r="9" spans="1:18">
      <c r="A9" s="33" t="s">
        <v>51</v>
      </c>
      <c r="B9" s="38">
        <f t="shared" si="0"/>
        <v>397.45603751679897</v>
      </c>
      <c r="C9" s="34"/>
      <c r="D9" s="38">
        <f>IF(ISERROR(TER_gezond_gas_kWh/1000),0,TER_gezond_gas_kWh/1000)*0.902</f>
        <v>1756.0515152229104</v>
      </c>
      <c r="E9" s="34">
        <f>$C$29*'E Balans VL '!I10/100/3.6*1000000</f>
        <v>0.3938834530305006</v>
      </c>
      <c r="F9" s="34">
        <f>$C$29*('E Balans VL '!L10+'E Balans VL '!N10)/100/3.6*1000000</f>
        <v>137.90578878755875</v>
      </c>
      <c r="G9" s="35"/>
      <c r="H9" s="34"/>
      <c r="I9" s="34"/>
      <c r="J9" s="34">
        <f>$C$29*('E Balans VL '!D10+'E Balans VL '!E10)/100/3.6*1000000</f>
        <v>0</v>
      </c>
      <c r="K9" s="34"/>
      <c r="L9" s="34"/>
      <c r="M9" s="34"/>
      <c r="N9" s="34">
        <f>$C$29*'E Balans VL '!Y10/100/3.6*1000000</f>
        <v>3.4248442438308024</v>
      </c>
      <c r="O9" s="34"/>
      <c r="P9" s="34"/>
      <c r="R9" s="33"/>
    </row>
    <row r="10" spans="1:18">
      <c r="A10" s="33" t="s">
        <v>50</v>
      </c>
      <c r="B10" s="38">
        <f t="shared" si="0"/>
        <v>1435.41183908886</v>
      </c>
      <c r="C10" s="34"/>
      <c r="D10" s="38">
        <f>IF(ISERROR(TER_ander_gas_kWh/1000),0,TER_ander_gas_kWh/1000)*0.902</f>
        <v>2867.0551102090521</v>
      </c>
      <c r="E10" s="34">
        <f>$C$30*'E Balans VL '!I14/100/3.6*1000000</f>
        <v>11.743103435711506</v>
      </c>
      <c r="F10" s="34">
        <f>$C$30*('E Balans VL '!L14+'E Balans VL '!N14)/100/3.6*1000000</f>
        <v>419.65598371331441</v>
      </c>
      <c r="G10" s="35"/>
      <c r="H10" s="34"/>
      <c r="I10" s="34"/>
      <c r="J10" s="34">
        <f>$C$30*('E Balans VL '!D14+'E Balans VL '!E14)/100/3.6*1000000</f>
        <v>0</v>
      </c>
      <c r="K10" s="34"/>
      <c r="L10" s="34"/>
      <c r="M10" s="34"/>
      <c r="N10" s="34">
        <f>$C$30*'E Balans VL '!Y14/100/3.6*1000000</f>
        <v>828.04428920713838</v>
      </c>
      <c r="O10" s="34"/>
      <c r="P10" s="34"/>
      <c r="R10" s="33"/>
    </row>
    <row r="11" spans="1:18">
      <c r="A11" s="33" t="s">
        <v>55</v>
      </c>
      <c r="B11" s="38">
        <f t="shared" si="0"/>
        <v>31.632716725798002</v>
      </c>
      <c r="C11" s="34"/>
      <c r="D11" s="38">
        <f>IF(ISERROR(TER_onderwijs_gas_kWh/1000),0,TER_onderwijs_gas_kWh/1000)*0.902</f>
        <v>705.5755679330174</v>
      </c>
      <c r="E11" s="34">
        <f>$C$31*'E Balans VL '!I11/100/3.6*1000000</f>
        <v>1.9497071872950116E-2</v>
      </c>
      <c r="F11" s="34">
        <f>$C$31*('E Balans VL '!L11+'E Balans VL '!N11)/100/3.6*1000000</f>
        <v>12.22972056758041</v>
      </c>
      <c r="G11" s="35"/>
      <c r="H11" s="34"/>
      <c r="I11" s="34"/>
      <c r="J11" s="34">
        <f>$C$31*('E Balans VL '!D11+'E Balans VL '!E11)/100/3.6*1000000</f>
        <v>0</v>
      </c>
      <c r="K11" s="34"/>
      <c r="L11" s="34"/>
      <c r="M11" s="34"/>
      <c r="N11" s="34">
        <f>$C$31*'E Balans VL '!Y11/100/3.6*1000000</f>
        <v>0.1028944487625626</v>
      </c>
      <c r="O11" s="34"/>
      <c r="P11" s="34"/>
      <c r="R11" s="33"/>
    </row>
    <row r="12" spans="1:18">
      <c r="A12" s="33" t="s">
        <v>260</v>
      </c>
      <c r="B12" s="38">
        <f t="shared" si="0"/>
        <v>6398.4012978045803</v>
      </c>
      <c r="C12" s="34"/>
      <c r="D12" s="38">
        <f>IF(ISERROR(TER_rest_gas_kWh/1000),0,TER_rest_gas_kWh/1000)*0.902</f>
        <v>7421.8291860601585</v>
      </c>
      <c r="E12" s="34">
        <f>$C$32*'E Balans VL '!I8/100/3.6*1000000</f>
        <v>55.284367095124523</v>
      </c>
      <c r="F12" s="34">
        <f>$C$32*('E Balans VL '!L8+'E Balans VL '!N8)/100/3.6*1000000</f>
        <v>1274.4806984386232</v>
      </c>
      <c r="G12" s="35"/>
      <c r="H12" s="34"/>
      <c r="I12" s="34"/>
      <c r="J12" s="34">
        <f>$C$32*('E Balans VL '!D8+'E Balans VL '!E8)/100/3.6*1000000</f>
        <v>0</v>
      </c>
      <c r="K12" s="34"/>
      <c r="L12" s="34"/>
      <c r="M12" s="34"/>
      <c r="N12" s="34">
        <f>$C$32*'E Balans VL '!Y8/100/3.6*1000000</f>
        <v>420.84138229571573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38979.578725109903</v>
      </c>
      <c r="C16" s="22">
        <f t="shared" ca="1" si="1"/>
        <v>0</v>
      </c>
      <c r="D16" s="22">
        <f t="shared" ca="1" si="1"/>
        <v>24007.44205138633</v>
      </c>
      <c r="E16" s="22">
        <f t="shared" si="1"/>
        <v>413.32701778013893</v>
      </c>
      <c r="F16" s="22">
        <f t="shared" ca="1" si="1"/>
        <v>7397.4705166334707</v>
      </c>
      <c r="G16" s="22">
        <f t="shared" si="1"/>
        <v>0</v>
      </c>
      <c r="H16" s="22">
        <f t="shared" si="1"/>
        <v>0</v>
      </c>
      <c r="I16" s="22">
        <f t="shared" si="1"/>
        <v>0</v>
      </c>
      <c r="J16" s="22">
        <f t="shared" si="1"/>
        <v>0</v>
      </c>
      <c r="K16" s="22">
        <f t="shared" si="1"/>
        <v>0</v>
      </c>
      <c r="L16" s="22">
        <f t="shared" ca="1" si="1"/>
        <v>0</v>
      </c>
      <c r="M16" s="22">
        <f t="shared" si="1"/>
        <v>0</v>
      </c>
      <c r="N16" s="22">
        <f t="shared" ca="1" si="1"/>
        <v>1336.8507862533979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0.19960934581420173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7780.6882094323628</v>
      </c>
      <c r="C20" s="24">
        <f t="shared" ref="C20:P20" ca="1" si="2">C16*C18</f>
        <v>0</v>
      </c>
      <c r="D20" s="24">
        <f t="shared" ca="1" si="2"/>
        <v>4849.5032943800388</v>
      </c>
      <c r="E20" s="24">
        <f t="shared" si="2"/>
        <v>93.825233036091547</v>
      </c>
      <c r="F20" s="24">
        <f t="shared" ca="1" si="2"/>
        <v>1975.1246279411369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9572.3469260114307</v>
      </c>
      <c r="C26" s="40">
        <f>IF(ISERROR(B26*3.6/1000000/'E Balans VL '!Z12*100),0,B26*3.6/1000000/'E Balans VL '!Z12*100)</f>
        <v>0.20340550755060119</v>
      </c>
      <c r="D26" s="240" t="s">
        <v>707</v>
      </c>
      <c r="F26" s="6"/>
    </row>
    <row r="27" spans="1:18">
      <c r="A27" s="234" t="s">
        <v>53</v>
      </c>
      <c r="B27" s="34">
        <f>IF(ISERROR(TER_horeca_ele_kWh/1000),0,TER_horeca_ele_kWh/1000)</f>
        <v>4651.0892837422307</v>
      </c>
      <c r="C27" s="40">
        <f>IF(ISERROR(B27*3.6/1000000/'E Balans VL '!Z9*100),0,B27*3.6/1000000/'E Balans VL '!Z9*100)</f>
        <v>0.36607669334796933</v>
      </c>
      <c r="D27" s="240" t="s">
        <v>707</v>
      </c>
      <c r="F27" s="6"/>
    </row>
    <row r="28" spans="1:18">
      <c r="A28" s="174" t="s">
        <v>52</v>
      </c>
      <c r="B28" s="34">
        <f>IF(ISERROR(TER_handel_ele_kWh/1000),0,TER_handel_ele_kWh/1000)</f>
        <v>16493.240624220201</v>
      </c>
      <c r="C28" s="40">
        <f>IF(ISERROR(B28*3.6/1000000/'E Balans VL '!Z13*100),0,B28*3.6/1000000/'E Balans VL '!Z13*100)</f>
        <v>0.4619844967183091</v>
      </c>
      <c r="D28" s="240" t="s">
        <v>707</v>
      </c>
      <c r="F28" s="6"/>
    </row>
    <row r="29" spans="1:18">
      <c r="A29" s="234" t="s">
        <v>51</v>
      </c>
      <c r="B29" s="34">
        <f>IF(ISERROR(TER_gezond_ele_kWh/1000),0,TER_gezond_ele_kWh/1000)</f>
        <v>397.45603751679897</v>
      </c>
      <c r="C29" s="40">
        <f>IF(ISERROR(B29*3.6/1000000/'E Balans VL '!Z10*100),0,B29*3.6/1000000/'E Balans VL '!Z10*100)</f>
        <v>5.0846645784931845E-2</v>
      </c>
      <c r="D29" s="240" t="s">
        <v>707</v>
      </c>
      <c r="F29" s="6"/>
    </row>
    <row r="30" spans="1:18">
      <c r="A30" s="234" t="s">
        <v>50</v>
      </c>
      <c r="B30" s="34">
        <f>IF(ISERROR(TER_ander_ele_kWh/1000),0,TER_ander_ele_kWh/1000)</f>
        <v>1435.41183908886</v>
      </c>
      <c r="C30" s="40">
        <f>IF(ISERROR(B30*3.6/1000000/'E Balans VL '!Z14*100),0,B30*3.6/1000000/'E Balans VL '!Z14*100)</f>
        <v>0.10735671057240435</v>
      </c>
      <c r="D30" s="240" t="s">
        <v>707</v>
      </c>
      <c r="F30" s="6"/>
    </row>
    <row r="31" spans="1:18">
      <c r="A31" s="234" t="s">
        <v>55</v>
      </c>
      <c r="B31" s="34">
        <f>IF(ISERROR(TER_onderwijs_ele_kWh/1000),0,TER_onderwijs_ele_kWh/1000)</f>
        <v>31.632716725798002</v>
      </c>
      <c r="C31" s="40">
        <f>IF(ISERROR(B31*3.6/1000000/'E Balans VL '!Z11*100),0,B31*3.6/1000000/'E Balans VL '!Z11*100)</f>
        <v>6.6792891114938382E-3</v>
      </c>
      <c r="D31" s="240" t="s">
        <v>707</v>
      </c>
    </row>
    <row r="32" spans="1:18">
      <c r="A32" s="234" t="s">
        <v>260</v>
      </c>
      <c r="B32" s="34">
        <f>IF(ISERROR(TER_rest_ele_kWh/1000),0,TER_rest_ele_kWh/1000)</f>
        <v>6398.4012978045803</v>
      </c>
      <c r="C32" s="40">
        <f>IF(ISERROR(B32*3.6/1000000/'E Balans VL '!Z8*100),0,B32*3.6/1000000/'E Balans VL '!Z8*100)</f>
        <v>5.2709595218735132E-2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9219.3937962034506</v>
      </c>
      <c r="C5" s="18">
        <f>IF(ISERROR('Eigen informatie GS &amp; warmtenet'!B59),0,'Eigen informatie GS &amp; warmtenet'!B59)</f>
        <v>0</v>
      </c>
      <c r="D5" s="31">
        <f>SUM(D6:D15)</f>
        <v>7679.3558664791926</v>
      </c>
      <c r="E5" s="18">
        <f>SUM(E6:E15)</f>
        <v>79.269780500841392</v>
      </c>
      <c r="F5" s="18">
        <f>SUM(F6:F15)</f>
        <v>3913.3962662917747</v>
      </c>
      <c r="G5" s="19"/>
      <c r="H5" s="18"/>
      <c r="I5" s="18"/>
      <c r="J5" s="18">
        <f>SUM(J6:J15)</f>
        <v>28.242984840450674</v>
      </c>
      <c r="K5" s="18"/>
      <c r="L5" s="18"/>
      <c r="M5" s="18"/>
      <c r="N5" s="18">
        <f>SUM(N6:N15)</f>
        <v>532.70914088973336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312.79465575398098</v>
      </c>
      <c r="C8" s="34"/>
      <c r="D8" s="38">
        <f>IF( ISERROR(IND_metaal_Gas_kWH/1000),0,IND_metaal_Gas_kWH/1000)*0.902</f>
        <v>340.04897318527867</v>
      </c>
      <c r="E8" s="34">
        <f>C30*'E Balans VL '!I18/100/3.6*1000000</f>
        <v>2.8485645604901366</v>
      </c>
      <c r="F8" s="34">
        <f>C30*'E Balans VL '!L18/100/3.6*1000000+C30*'E Balans VL '!N18/100/3.6*1000000</f>
        <v>41.255239690535461</v>
      </c>
      <c r="G8" s="35"/>
      <c r="H8" s="34"/>
      <c r="I8" s="34"/>
      <c r="J8" s="41">
        <f>C30*'E Balans VL '!D18/100/3.6*1000000+C30*'E Balans VL '!E18/100/3.6*1000000</f>
        <v>5.1293781928789981</v>
      </c>
      <c r="K8" s="34"/>
      <c r="L8" s="34"/>
      <c r="M8" s="34"/>
      <c r="N8" s="34">
        <f>C30*'E Balans VL '!Y18/100/3.6*1000000</f>
        <v>1.0749509744681784</v>
      </c>
      <c r="O8" s="34"/>
      <c r="P8" s="34"/>
      <c r="R8" s="33"/>
    </row>
    <row r="9" spans="1:18">
      <c r="A9" s="6" t="s">
        <v>33</v>
      </c>
      <c r="B9" s="38">
        <f t="shared" si="0"/>
        <v>3619.9222495992699</v>
      </c>
      <c r="C9" s="34"/>
      <c r="D9" s="38">
        <f>IF( ISERROR(IND_andere_gas_kWh/1000),0,IND_andere_gas_kWh/1000)*0.902</f>
        <v>1948.9356985866802</v>
      </c>
      <c r="E9" s="34">
        <f>C31*'E Balans VL '!I19/100/3.6*1000000</f>
        <v>20.923691555320183</v>
      </c>
      <c r="F9" s="34">
        <f>C31*'E Balans VL '!L19/100/3.6*1000000+C31*'E Balans VL '!N19/100/3.6*1000000</f>
        <v>2879.8223333221654</v>
      </c>
      <c r="G9" s="35"/>
      <c r="H9" s="34"/>
      <c r="I9" s="34"/>
      <c r="J9" s="41">
        <f>C31*'E Balans VL '!D19/100/3.6*1000000+C31*'E Balans VL '!E19/100/3.6*1000000</f>
        <v>0.34240443585461283</v>
      </c>
      <c r="K9" s="34"/>
      <c r="L9" s="34"/>
      <c r="M9" s="34"/>
      <c r="N9" s="34">
        <f>C31*'E Balans VL '!Y19/100/3.6*1000000</f>
        <v>274.26389180277079</v>
      </c>
      <c r="O9" s="34"/>
      <c r="P9" s="34"/>
      <c r="R9" s="33"/>
    </row>
    <row r="10" spans="1:18">
      <c r="A10" s="6" t="s">
        <v>41</v>
      </c>
      <c r="B10" s="38">
        <f t="shared" si="0"/>
        <v>455.47526410823002</v>
      </c>
      <c r="C10" s="34"/>
      <c r="D10" s="38">
        <f>IF( ISERROR(IND_voed_gas_kWh/1000),0,IND_voed_gas_kWh/1000)*0.902</f>
        <v>288.84468557399134</v>
      </c>
      <c r="E10" s="34">
        <f>C32*'E Balans VL '!I20/100/3.6*1000000</f>
        <v>4.4785134383949154</v>
      </c>
      <c r="F10" s="34">
        <f>C32*'E Balans VL '!L20/100/3.6*1000000+C32*'E Balans VL '!N20/100/3.6*1000000</f>
        <v>50.586473235870514</v>
      </c>
      <c r="G10" s="35"/>
      <c r="H10" s="34"/>
      <c r="I10" s="34"/>
      <c r="J10" s="41">
        <f>C32*'E Balans VL '!D20/100/3.6*1000000+C32*'E Balans VL '!E20/100/3.6*1000000</f>
        <v>1.7952347891784122E-3</v>
      </c>
      <c r="K10" s="34"/>
      <c r="L10" s="34"/>
      <c r="M10" s="34"/>
      <c r="N10" s="34">
        <f>C32*'E Balans VL '!Y20/100/3.6*1000000</f>
        <v>6.7445172706888412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303.37371818170999</v>
      </c>
      <c r="C13" s="34"/>
      <c r="D13" s="38">
        <f>IF( ISERROR(IND_papier_gas_kWh/1000),0,IND_papier_gas_kWh/1000)*0.902</f>
        <v>0</v>
      </c>
      <c r="E13" s="34">
        <f>C35*'E Balans VL '!I23/100/3.6*1000000</f>
        <v>10.333348704722132</v>
      </c>
      <c r="F13" s="34">
        <f>C35*'E Balans VL '!L23/100/3.6*1000000+C35*'E Balans VL '!N23/100/3.6*1000000</f>
        <v>50.110218215715406</v>
      </c>
      <c r="G13" s="35"/>
      <c r="H13" s="34"/>
      <c r="I13" s="34"/>
      <c r="J13" s="41">
        <f>C35*'E Balans VL '!D23/100/3.6*1000000+C35*'E Balans VL '!E23/100/3.6*1000000</f>
        <v>0</v>
      </c>
      <c r="K13" s="34"/>
      <c r="L13" s="34"/>
      <c r="M13" s="34"/>
      <c r="N13" s="34">
        <f>C35*'E Balans VL '!Y23/100/3.6*1000000</f>
        <v>111.63339243843933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4527.8279085602599</v>
      </c>
      <c r="C15" s="34"/>
      <c r="D15" s="38">
        <f>IF( ISERROR(IND_rest_gas_kWh/1000),0,IND_rest_gas_kWh/1000)*0.902</f>
        <v>5101.5265091332421</v>
      </c>
      <c r="E15" s="34">
        <f>C37*'E Balans VL '!I15/100/3.6*1000000</f>
        <v>40.685662241914031</v>
      </c>
      <c r="F15" s="34">
        <f>C37*'E Balans VL '!L15/100/3.6*1000000+C37*'E Balans VL '!N15/100/3.6*1000000</f>
        <v>891.62200182748779</v>
      </c>
      <c r="G15" s="35"/>
      <c r="H15" s="34"/>
      <c r="I15" s="34"/>
      <c r="J15" s="41">
        <f>C37*'E Balans VL '!D15/100/3.6*1000000+C37*'E Balans VL '!E15/100/3.6*1000000</f>
        <v>22.769406976927886</v>
      </c>
      <c r="K15" s="34"/>
      <c r="L15" s="34"/>
      <c r="M15" s="34"/>
      <c r="N15" s="34">
        <f>C37*'E Balans VL '!Y15/100/3.6*1000000</f>
        <v>138.99238840336631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9219.3937962034506</v>
      </c>
      <c r="C18" s="22">
        <f>C5+C16</f>
        <v>0</v>
      </c>
      <c r="D18" s="22">
        <f>MAX((D5+D16),0)</f>
        <v>7679.3558664791926</v>
      </c>
      <c r="E18" s="22">
        <f>MAX((E5+E16),0)</f>
        <v>79.269780500841392</v>
      </c>
      <c r="F18" s="22">
        <f>MAX((F5+F16),0)</f>
        <v>3913.3962662917747</v>
      </c>
      <c r="G18" s="22"/>
      <c r="H18" s="22"/>
      <c r="I18" s="22"/>
      <c r="J18" s="22">
        <f>MAX((J5+J16),0)</f>
        <v>28.242984840450674</v>
      </c>
      <c r="K18" s="22"/>
      <c r="L18" s="22">
        <f>MAX((L5+L16),0)</f>
        <v>0</v>
      </c>
      <c r="M18" s="22"/>
      <c r="N18" s="22">
        <f>MAX((N5+N16),0)</f>
        <v>532.70914088973336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0.19960934581420173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1840.2771644636807</v>
      </c>
      <c r="C22" s="24">
        <f ca="1">C18*C20</f>
        <v>0</v>
      </c>
      <c r="D22" s="24">
        <f>D18*D20</f>
        <v>1551.2298850287971</v>
      </c>
      <c r="E22" s="24">
        <f>E18*E20</f>
        <v>17.994240173690997</v>
      </c>
      <c r="F22" s="24">
        <f>F18*F20</f>
        <v>1044.876803099904</v>
      </c>
      <c r="G22" s="24"/>
      <c r="H22" s="24"/>
      <c r="I22" s="24"/>
      <c r="J22" s="24">
        <f>J18*J20</f>
        <v>9.9980166335195388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312.79465575398098</v>
      </c>
      <c r="C30" s="40">
        <f>IF(ISERROR(B30*3.6/1000000/'E Balans VL '!Z18*100),0,B30*3.6/1000000/'E Balans VL '!Z18*100)</f>
        <v>1.740493095279174E-2</v>
      </c>
      <c r="D30" s="240" t="s">
        <v>707</v>
      </c>
    </row>
    <row r="31" spans="1:18">
      <c r="A31" s="6" t="s">
        <v>33</v>
      </c>
      <c r="B31" s="38">
        <f>IF( ISERROR(IND_ander_ele_kWh/1000),0,IND_ander_ele_kWh/1000)</f>
        <v>3619.9222495992699</v>
      </c>
      <c r="C31" s="40">
        <f>IF(ISERROR(B31*3.6/1000000/'E Balans VL '!Z19*100),0,B31*3.6/1000000/'E Balans VL '!Z19*100)</f>
        <v>0.16828067837223293</v>
      </c>
      <c r="D31" s="240" t="s">
        <v>707</v>
      </c>
    </row>
    <row r="32" spans="1:18">
      <c r="A32" s="174" t="s">
        <v>41</v>
      </c>
      <c r="B32" s="38">
        <f>IF( ISERROR(IND_voed_ele_kWh/1000),0,IND_voed_ele_kWh/1000)</f>
        <v>455.47526410823002</v>
      </c>
      <c r="C32" s="40">
        <f>IF(ISERROR(B32*3.6/1000000/'E Balans VL '!Z20*100),0,B32*3.6/1000000/'E Balans VL '!Z20*100)</f>
        <v>1.6100130714973116E-2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303.37371818170999</v>
      </c>
      <c r="C35" s="40">
        <f>IF(ISERROR(B35*3.6/1000000/'E Balans VL '!Z22*100),0,B35*3.6/1000000/'E Balans VL '!Z22*100)</f>
        <v>6.0969562504688886E-2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4527.8279085602599</v>
      </c>
      <c r="C37" s="40">
        <f>IF(ISERROR(B37*3.6/1000000/'E Balans VL '!Z15*100),0,B37*3.6/1000000/'E Balans VL '!Z15*100)</f>
        <v>3.4191789322869336E-2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184.32244821459201</v>
      </c>
      <c r="C5" s="18">
        <f>'Eigen informatie GS &amp; warmtenet'!B60</f>
        <v>0</v>
      </c>
      <c r="D5" s="31">
        <f>IF(ISERROR(SUM(LB_lb_gas_kWh,LB_rest_gas_kWh)/1000),0,SUM(LB_lb_gas_kWh,LB_rest_gas_kWh)/1000)*0.902</f>
        <v>461.76495324554401</v>
      </c>
      <c r="E5" s="18">
        <f>B17*'E Balans VL '!I25/3.6*1000000/100</f>
        <v>1.7364409622729458</v>
      </c>
      <c r="F5" s="18">
        <f>B17*('E Balans VL '!L25/3.6*1000000+'E Balans VL '!N25/3.6*1000000)/100</f>
        <v>601.50531977251751</v>
      </c>
      <c r="G5" s="19"/>
      <c r="H5" s="18"/>
      <c r="I5" s="18"/>
      <c r="J5" s="18">
        <f>('E Balans VL '!D25+'E Balans VL '!E25)/3.6*1000000*landbouw!B17/100</f>
        <v>22.801583388360928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184.32244821459201</v>
      </c>
      <c r="C8" s="22">
        <f>C5+C6</f>
        <v>0</v>
      </c>
      <c r="D8" s="22">
        <f>MAX((D5+D6),0)</f>
        <v>461.76495324554401</v>
      </c>
      <c r="E8" s="22">
        <f>MAX((E5+E6),0)</f>
        <v>1.7364409622729458</v>
      </c>
      <c r="F8" s="22">
        <f>MAX((F5+F6),0)</f>
        <v>601.50531977251751</v>
      </c>
      <c r="G8" s="22"/>
      <c r="H8" s="22"/>
      <c r="I8" s="22"/>
      <c r="J8" s="22">
        <f>MAX((J5+J6),0)</f>
        <v>22.801583388360928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0.19960934581420173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36.792483306986789</v>
      </c>
      <c r="C12" s="24">
        <f ca="1">C8*C10</f>
        <v>0</v>
      </c>
      <c r="D12" s="24">
        <f>D8*D10</f>
        <v>93.276520555599902</v>
      </c>
      <c r="E12" s="24">
        <f>E8*E10</f>
        <v>0.39417209843595868</v>
      </c>
      <c r="F12" s="24">
        <f>F8*F10</f>
        <v>160.6019203792622</v>
      </c>
      <c r="G12" s="24"/>
      <c r="H12" s="24"/>
      <c r="I12" s="24"/>
      <c r="J12" s="24">
        <f>J8*J10</f>
        <v>8.0717605194797688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2.4954314109688111E-2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1.8201804882555856</v>
      </c>
      <c r="C26" s="250">
        <f>B26*'GWP N2O_CH4'!B5</f>
        <v>38.223790253367298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0.16269578906159354</v>
      </c>
      <c r="C27" s="250">
        <f>B27*'GWP N2O_CH4'!B5</f>
        <v>3.4166115702934645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2.7995833420584332E-2</v>
      </c>
      <c r="C28" s="250">
        <f>B28*'GWP N2O_CH4'!B4</f>
        <v>8.6787083603811439</v>
      </c>
      <c r="D28" s="51"/>
    </row>
    <row r="29" spans="1:4">
      <c r="A29" s="42" t="s">
        <v>277</v>
      </c>
      <c r="B29" s="250">
        <f>B34*'ha_N2O bodem landbouw'!B4</f>
        <v>0.64529768793443454</v>
      </c>
      <c r="C29" s="250">
        <f>B29*'GWP N2O_CH4'!B4</f>
        <v>200.04228325967472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1.74210061598891E-4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4.7593433073338131E-6</v>
      </c>
      <c r="C5" s="447" t="s">
        <v>211</v>
      </c>
      <c r="D5" s="432">
        <f>SUM(D6:D11)</f>
        <v>1.2260349847053839E-5</v>
      </c>
      <c r="E5" s="432">
        <f>SUM(E6:E11)</f>
        <v>7.1967364875875624E-4</v>
      </c>
      <c r="F5" s="445" t="s">
        <v>211</v>
      </c>
      <c r="G5" s="432">
        <f>SUM(G6:G11)</f>
        <v>0.16007649292909112</v>
      </c>
      <c r="H5" s="432">
        <f>SUM(H6:H11)</f>
        <v>2.7418027625753478E-2</v>
      </c>
      <c r="I5" s="447" t="s">
        <v>211</v>
      </c>
      <c r="J5" s="447" t="s">
        <v>211</v>
      </c>
      <c r="K5" s="447" t="s">
        <v>211</v>
      </c>
      <c r="L5" s="447" t="s">
        <v>211</v>
      </c>
      <c r="M5" s="432">
        <f>SUM(M6:M11)</f>
        <v>8.3824523991152446E-3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4.4303953776839736E-6</v>
      </c>
      <c r="C6" s="433"/>
      <c r="D6" s="433">
        <f>vkm_2011_GW_PW*SUMIFS(TableVerdeelsleutelVkm[CNG],TableVerdeelsleutelVkm[Voertuigtype],"Lichte voertuigen")*SUMIFS(TableECFTransport[EnergieConsumptieFactor (PJ per km)],TableECFTransport[Index],CONCATENATE($A6,"_CNG_CNG"))</f>
        <v>1.081909970860726E-5</v>
      </c>
      <c r="E6" s="435">
        <f>vkm_2011_GW_PW*SUMIFS(TableVerdeelsleutelVkm[LPG],TableVerdeelsleutelVkm[Voertuigtype],"Lichte voertuigen")*SUMIFS(TableECFTransport[EnergieConsumptieFactor (PJ per km)],TableECFTransport[Index],CONCATENATE($A6,"_LPG_LPG"))</f>
        <v>6.413003191225599E-4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9.2707505050327349E-2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2.4295973636408102E-2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5.2396312507139711E-3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5.434275207352196E-2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2.1925181815843727E-5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2.4209527913456397E-3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3.2894792964983933E-7</v>
      </c>
      <c r="C8" s="433"/>
      <c r="D8" s="435">
        <f>vkm_2011_NGW_PW*SUMIFS(TableVerdeelsleutelVkm[CNG],TableVerdeelsleutelVkm[Voertuigtype],"Lichte voertuigen")*SUMIFS(TableECFTransport[EnergieConsumptieFactor (PJ per km)],TableECFTransport[Index],CONCATENATE($A8,"_CNG_CNG"))</f>
        <v>1.4412501384465783E-6</v>
      </c>
      <c r="E8" s="435">
        <f>vkm_2011_NGW_PW*SUMIFS(TableVerdeelsleutelVkm[LPG],TableVerdeelsleutelVkm[Voertuigtype],"Lichte voertuigen")*SUMIFS(TableECFTransport[EnergieConsumptieFactor (PJ per km)],TableECFTransport[Index],CONCATENATE($A8,"_LPG_LPG"))</f>
        <v>7.837332963619638E-5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1.0703079113403716E-2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3.0993127018007572E-3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6.1837798855226905E-4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2.3231566918381023E-3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8.1610572877577856E-7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1.0349036850336423E-4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1.3220398075927258</v>
      </c>
      <c r="C14" s="22"/>
      <c r="D14" s="22">
        <f t="shared" ref="D14:M14" si="0">((D5)*10^9/3600)+D12</f>
        <v>3.4056527352927333</v>
      </c>
      <c r="E14" s="22">
        <f t="shared" si="0"/>
        <v>199.90934687743228</v>
      </c>
      <c r="F14" s="22"/>
      <c r="G14" s="22">
        <f t="shared" si="0"/>
        <v>44465.692480303092</v>
      </c>
      <c r="H14" s="22">
        <f t="shared" si="0"/>
        <v>7616.1187849315211</v>
      </c>
      <c r="I14" s="22"/>
      <c r="J14" s="22"/>
      <c r="K14" s="22"/>
      <c r="L14" s="22"/>
      <c r="M14" s="22">
        <f t="shared" si="0"/>
        <v>2328.4589997542348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0.19960934581420173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0.26389150113391713</v>
      </c>
      <c r="C18" s="24"/>
      <c r="D18" s="24">
        <f t="shared" ref="D18:M18" si="1">D14*D16</f>
        <v>0.6879418525291322</v>
      </c>
      <c r="E18" s="24">
        <f t="shared" si="1"/>
        <v>45.379421741177133</v>
      </c>
      <c r="F18" s="24"/>
      <c r="G18" s="24">
        <f t="shared" si="1"/>
        <v>11872.339892240927</v>
      </c>
      <c r="H18" s="24">
        <f t="shared" si="1"/>
        <v>1896.4135774479487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1.8252971544520462E-3</v>
      </c>
      <c r="C50" s="323">
        <f t="shared" ref="C50:P50" si="2">SUM(C51:C52)</f>
        <v>0</v>
      </c>
      <c r="D50" s="323">
        <f t="shared" si="2"/>
        <v>0</v>
      </c>
      <c r="E50" s="323">
        <f t="shared" si="2"/>
        <v>0</v>
      </c>
      <c r="F50" s="323">
        <f t="shared" si="2"/>
        <v>0</v>
      </c>
      <c r="G50" s="323">
        <f t="shared" si="2"/>
        <v>4.7442689406124259E-3</v>
      </c>
      <c r="H50" s="323">
        <f t="shared" si="2"/>
        <v>0</v>
      </c>
      <c r="I50" s="323">
        <f t="shared" si="2"/>
        <v>0</v>
      </c>
      <c r="J50" s="323">
        <f t="shared" si="2"/>
        <v>0</v>
      </c>
      <c r="K50" s="323">
        <f t="shared" si="2"/>
        <v>0</v>
      </c>
      <c r="L50" s="323">
        <f t="shared" si="2"/>
        <v>0</v>
      </c>
      <c r="M50" s="323">
        <f t="shared" si="2"/>
        <v>2.0832867534344409E-4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4.7442689406124259E-3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2.0832867534344409E-4</v>
      </c>
      <c r="N51" s="325"/>
      <c r="O51" s="325"/>
      <c r="P51" s="328"/>
    </row>
    <row r="52" spans="1:18">
      <c r="A52" s="4" t="s">
        <v>330</v>
      </c>
      <c r="B52" s="329">
        <f>vkm_2011_tram*SUMIFS(TableECFTransport[EnergieConsumptieFactor (PJ per km)],TableECFTransport[Index],"Tram_gemiddeld_Electric_Electric")</f>
        <v>1.8252971544520462E-3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507.02698734779062</v>
      </c>
      <c r="C54" s="22">
        <f t="shared" ref="C54:P54" si="3">(C50)*10^9/3600</f>
        <v>0</v>
      </c>
      <c r="D54" s="22">
        <f t="shared" si="3"/>
        <v>0</v>
      </c>
      <c r="E54" s="22">
        <f t="shared" si="3"/>
        <v>0</v>
      </c>
      <c r="F54" s="22">
        <f t="shared" si="3"/>
        <v>0</v>
      </c>
      <c r="G54" s="22">
        <f t="shared" si="3"/>
        <v>1317.8524835034516</v>
      </c>
      <c r="H54" s="22">
        <f t="shared" si="3"/>
        <v>0</v>
      </c>
      <c r="I54" s="22">
        <f t="shared" si="3"/>
        <v>0</v>
      </c>
      <c r="J54" s="22">
        <f t="shared" si="3"/>
        <v>0</v>
      </c>
      <c r="K54" s="22">
        <f t="shared" si="3"/>
        <v>0</v>
      </c>
      <c r="L54" s="22">
        <f t="shared" si="3"/>
        <v>0</v>
      </c>
      <c r="M54" s="22">
        <f t="shared" si="3"/>
        <v>57.869076484290026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0.19960934581420173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101.20732525463802</v>
      </c>
      <c r="C58" s="24">
        <f t="shared" ref="C58:P58" ca="1" si="4">C54*C56</f>
        <v>0</v>
      </c>
      <c r="D58" s="24">
        <f t="shared" si="4"/>
        <v>0</v>
      </c>
      <c r="E58" s="24">
        <f t="shared" si="4"/>
        <v>0</v>
      </c>
      <c r="F58" s="24">
        <f t="shared" si="4"/>
        <v>0</v>
      </c>
      <c r="G58" s="24">
        <f t="shared" si="4"/>
        <v>351.8666130954216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39610.646725109902</v>
      </c>
      <c r="D10" s="688">
        <f ca="1">tertiair!C16</f>
        <v>0</v>
      </c>
      <c r="E10" s="688">
        <f ca="1">tertiair!D16</f>
        <v>24007.44205138633</v>
      </c>
      <c r="F10" s="688">
        <f>tertiair!E16</f>
        <v>413.32701778013893</v>
      </c>
      <c r="G10" s="688">
        <f ca="1">tertiair!F16</f>
        <v>7397.4705166334707</v>
      </c>
      <c r="H10" s="688">
        <f>tertiair!G16</f>
        <v>0</v>
      </c>
      <c r="I10" s="688">
        <f>tertiair!H16</f>
        <v>0</v>
      </c>
      <c r="J10" s="688">
        <f>tertiair!I16</f>
        <v>0</v>
      </c>
      <c r="K10" s="688">
        <f>tertiair!J16</f>
        <v>0</v>
      </c>
      <c r="L10" s="688">
        <f>tertiair!K16</f>
        <v>0</v>
      </c>
      <c r="M10" s="688">
        <f ca="1">tertiair!L16</f>
        <v>0</v>
      </c>
      <c r="N10" s="688">
        <f>tertiair!M16</f>
        <v>0</v>
      </c>
      <c r="O10" s="688">
        <f ca="1">tertiair!N16</f>
        <v>1336.8507862533979</v>
      </c>
      <c r="P10" s="688">
        <f>tertiair!O16</f>
        <v>0</v>
      </c>
      <c r="Q10" s="689">
        <f>tertiair!P16</f>
        <v>0</v>
      </c>
      <c r="R10" s="691">
        <f ca="1">SUM(C10:Q10)</f>
        <v>72765.737097163248</v>
      </c>
      <c r="S10" s="68"/>
    </row>
    <row r="11" spans="1:19" s="457" customFormat="1">
      <c r="A11" s="803" t="s">
        <v>225</v>
      </c>
      <c r="B11" s="808"/>
      <c r="C11" s="688">
        <f>huishoudens!B8</f>
        <v>15978.327661426458</v>
      </c>
      <c r="D11" s="688">
        <f>huishoudens!C8</f>
        <v>0</v>
      </c>
      <c r="E11" s="688">
        <f>huishoudens!D8</f>
        <v>54591.259331135931</v>
      </c>
      <c r="F11" s="688">
        <f>huishoudens!E8</f>
        <v>426.32016511720195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4405.2044486920868</v>
      </c>
      <c r="P11" s="688">
        <f>huishoudens!O8</f>
        <v>34.393333333333338</v>
      </c>
      <c r="Q11" s="689">
        <f>huishoudens!P8</f>
        <v>38.133333333333333</v>
      </c>
      <c r="R11" s="691">
        <f>SUM(C11:Q11)</f>
        <v>75473.638273038334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9219.3937962034506</v>
      </c>
      <c r="D13" s="688">
        <f>industrie!C18</f>
        <v>0</v>
      </c>
      <c r="E13" s="688">
        <f>industrie!D18</f>
        <v>7679.3558664791926</v>
      </c>
      <c r="F13" s="688">
        <f>industrie!E18</f>
        <v>79.269780500841392</v>
      </c>
      <c r="G13" s="688">
        <f>industrie!F18</f>
        <v>3913.3962662917747</v>
      </c>
      <c r="H13" s="688">
        <f>industrie!G18</f>
        <v>0</v>
      </c>
      <c r="I13" s="688">
        <f>industrie!H18</f>
        <v>0</v>
      </c>
      <c r="J13" s="688">
        <f>industrie!I18</f>
        <v>0</v>
      </c>
      <c r="K13" s="688">
        <f>industrie!J18</f>
        <v>28.242984840450674</v>
      </c>
      <c r="L13" s="688">
        <f>industrie!K18</f>
        <v>0</v>
      </c>
      <c r="M13" s="688">
        <f>industrie!L18</f>
        <v>0</v>
      </c>
      <c r="N13" s="688">
        <f>industrie!M18</f>
        <v>0</v>
      </c>
      <c r="O13" s="688">
        <f>industrie!N18</f>
        <v>532.70914088973336</v>
      </c>
      <c r="P13" s="688">
        <f>industrie!O18</f>
        <v>0</v>
      </c>
      <c r="Q13" s="689">
        <f>industrie!P18</f>
        <v>0</v>
      </c>
      <c r="R13" s="691">
        <f>SUM(C13:Q13)</f>
        <v>21452.367835205441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64808.36818273981</v>
      </c>
      <c r="D16" s="721">
        <f t="shared" ref="D16:R16" ca="1" si="0">SUM(D9:D15)</f>
        <v>0</v>
      </c>
      <c r="E16" s="721">
        <f t="shared" ca="1" si="0"/>
        <v>86278.05724900146</v>
      </c>
      <c r="F16" s="721">
        <f t="shared" si="0"/>
        <v>918.91696339818225</v>
      </c>
      <c r="G16" s="721">
        <f t="shared" ca="1" si="0"/>
        <v>11310.866782925244</v>
      </c>
      <c r="H16" s="721">
        <f t="shared" si="0"/>
        <v>0</v>
      </c>
      <c r="I16" s="721">
        <f t="shared" si="0"/>
        <v>0</v>
      </c>
      <c r="J16" s="721">
        <f t="shared" si="0"/>
        <v>0</v>
      </c>
      <c r="K16" s="721">
        <f t="shared" si="0"/>
        <v>28.242984840450674</v>
      </c>
      <c r="L16" s="721">
        <f t="shared" si="0"/>
        <v>0</v>
      </c>
      <c r="M16" s="721">
        <f t="shared" ca="1" si="0"/>
        <v>0</v>
      </c>
      <c r="N16" s="721">
        <f t="shared" si="0"/>
        <v>0</v>
      </c>
      <c r="O16" s="721">
        <f t="shared" ca="1" si="0"/>
        <v>6274.7643758352178</v>
      </c>
      <c r="P16" s="721">
        <f t="shared" si="0"/>
        <v>34.393333333333338</v>
      </c>
      <c r="Q16" s="721">
        <f t="shared" si="0"/>
        <v>38.133333333333333</v>
      </c>
      <c r="R16" s="721">
        <f t="shared" ca="1" si="0"/>
        <v>169691.74320540705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507.02698734779062</v>
      </c>
      <c r="D19" s="688">
        <f>transport!C54</f>
        <v>0</v>
      </c>
      <c r="E19" s="688">
        <f>transport!D54</f>
        <v>0</v>
      </c>
      <c r="F19" s="688">
        <f>transport!E54</f>
        <v>0</v>
      </c>
      <c r="G19" s="688">
        <f>transport!F54</f>
        <v>0</v>
      </c>
      <c r="H19" s="688">
        <f>transport!G54</f>
        <v>1317.8524835034516</v>
      </c>
      <c r="I19" s="688">
        <f>transport!H54</f>
        <v>0</v>
      </c>
      <c r="J19" s="688">
        <f>transport!I54</f>
        <v>0</v>
      </c>
      <c r="K19" s="688">
        <f>transport!J54</f>
        <v>0</v>
      </c>
      <c r="L19" s="688">
        <f>transport!K54</f>
        <v>0</v>
      </c>
      <c r="M19" s="688">
        <f>transport!L54</f>
        <v>0</v>
      </c>
      <c r="N19" s="688">
        <f>transport!M54</f>
        <v>57.869076484290026</v>
      </c>
      <c r="O19" s="688">
        <f>transport!N54</f>
        <v>0</v>
      </c>
      <c r="P19" s="688">
        <f>transport!O54</f>
        <v>0</v>
      </c>
      <c r="Q19" s="689">
        <f>transport!P54</f>
        <v>0</v>
      </c>
      <c r="R19" s="691">
        <f>SUM(C19:Q19)</f>
        <v>1882.7485473355323</v>
      </c>
      <c r="S19" s="68"/>
    </row>
    <row r="20" spans="1:19" s="457" customFormat="1">
      <c r="A20" s="803" t="s">
        <v>307</v>
      </c>
      <c r="B20" s="808"/>
      <c r="C20" s="688">
        <f>transport!B14</f>
        <v>1.3220398075927258</v>
      </c>
      <c r="D20" s="688">
        <f>transport!C14</f>
        <v>0</v>
      </c>
      <c r="E20" s="688">
        <f>transport!D14</f>
        <v>3.4056527352927333</v>
      </c>
      <c r="F20" s="688">
        <f>transport!E14</f>
        <v>199.90934687743228</v>
      </c>
      <c r="G20" s="688">
        <f>transport!F14</f>
        <v>0</v>
      </c>
      <c r="H20" s="688">
        <f>transport!G14</f>
        <v>44465.692480303092</v>
      </c>
      <c r="I20" s="688">
        <f>transport!H14</f>
        <v>7616.1187849315211</v>
      </c>
      <c r="J20" s="688">
        <f>transport!I14</f>
        <v>0</v>
      </c>
      <c r="K20" s="688">
        <f>transport!J14</f>
        <v>0</v>
      </c>
      <c r="L20" s="688">
        <f>transport!K14</f>
        <v>0</v>
      </c>
      <c r="M20" s="688">
        <f>transport!L14</f>
        <v>0</v>
      </c>
      <c r="N20" s="688">
        <f>transport!M14</f>
        <v>2328.4589997542348</v>
      </c>
      <c r="O20" s="688">
        <f>transport!N14</f>
        <v>0</v>
      </c>
      <c r="P20" s="688">
        <f>transport!O14</f>
        <v>0</v>
      </c>
      <c r="Q20" s="689">
        <f>transport!P14</f>
        <v>0</v>
      </c>
      <c r="R20" s="691">
        <f>SUM(C20:Q20)</f>
        <v>54614.907304409164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508.34902715538334</v>
      </c>
      <c r="D22" s="806">
        <f t="shared" ref="D22:R22" si="1">SUM(D18:D21)</f>
        <v>0</v>
      </c>
      <c r="E22" s="806">
        <f t="shared" si="1"/>
        <v>3.4056527352927333</v>
      </c>
      <c r="F22" s="806">
        <f t="shared" si="1"/>
        <v>199.90934687743228</v>
      </c>
      <c r="G22" s="806">
        <f t="shared" si="1"/>
        <v>0</v>
      </c>
      <c r="H22" s="806">
        <f t="shared" si="1"/>
        <v>45783.544963806547</v>
      </c>
      <c r="I22" s="806">
        <f t="shared" si="1"/>
        <v>7616.1187849315211</v>
      </c>
      <c r="J22" s="806">
        <f t="shared" si="1"/>
        <v>0</v>
      </c>
      <c r="K22" s="806">
        <f t="shared" si="1"/>
        <v>0</v>
      </c>
      <c r="L22" s="806">
        <f t="shared" si="1"/>
        <v>0</v>
      </c>
      <c r="M22" s="806">
        <f t="shared" si="1"/>
        <v>0</v>
      </c>
      <c r="N22" s="806">
        <f t="shared" si="1"/>
        <v>2386.3280762385248</v>
      </c>
      <c r="O22" s="806">
        <f t="shared" si="1"/>
        <v>0</v>
      </c>
      <c r="P22" s="806">
        <f t="shared" si="1"/>
        <v>0</v>
      </c>
      <c r="Q22" s="806">
        <f t="shared" si="1"/>
        <v>0</v>
      </c>
      <c r="R22" s="806">
        <f t="shared" si="1"/>
        <v>56497.655851744697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184.32244821459201</v>
      </c>
      <c r="D24" s="688">
        <f>+landbouw!C8</f>
        <v>0</v>
      </c>
      <c r="E24" s="688">
        <f>+landbouw!D8</f>
        <v>461.76495324554401</v>
      </c>
      <c r="F24" s="688">
        <f>+landbouw!E8</f>
        <v>1.7364409622729458</v>
      </c>
      <c r="G24" s="688">
        <f>+landbouw!F8</f>
        <v>601.50531977251751</v>
      </c>
      <c r="H24" s="688">
        <f>+landbouw!G8</f>
        <v>0</v>
      </c>
      <c r="I24" s="688">
        <f>+landbouw!H8</f>
        <v>0</v>
      </c>
      <c r="J24" s="688">
        <f>+landbouw!I8</f>
        <v>0</v>
      </c>
      <c r="K24" s="688">
        <f>+landbouw!J8</f>
        <v>22.801583388360928</v>
      </c>
      <c r="L24" s="688">
        <f>+landbouw!K8</f>
        <v>0</v>
      </c>
      <c r="M24" s="688">
        <f>+landbouw!L8</f>
        <v>0</v>
      </c>
      <c r="N24" s="688">
        <f>+landbouw!M8</f>
        <v>0</v>
      </c>
      <c r="O24" s="688">
        <f>+landbouw!N8</f>
        <v>0</v>
      </c>
      <c r="P24" s="688">
        <f>+landbouw!O8</f>
        <v>0</v>
      </c>
      <c r="Q24" s="689">
        <f>+landbouw!P8</f>
        <v>0</v>
      </c>
      <c r="R24" s="691">
        <f>SUM(C24:Q24)</f>
        <v>1272.1307455832875</v>
      </c>
      <c r="S24" s="68"/>
    </row>
    <row r="25" spans="1:19" s="457" customFormat="1" ht="15" thickBot="1">
      <c r="A25" s="825" t="s">
        <v>912</v>
      </c>
      <c r="B25" s="1001"/>
      <c r="C25" s="1002">
        <f>IF(Onbekend_ele_kWh="---",0,Onbekend_ele_kWh)/1000+IF(REST_rest_ele_kWh="---",0,REST_rest_ele_kWh)/1000</f>
        <v>692.89668981745808</v>
      </c>
      <c r="D25" s="1002"/>
      <c r="E25" s="1002">
        <f>IF(onbekend_gas_kWh="---",0,onbekend_gas_kWh)/1000+IF(REST_rest_gas_kWh="---",0,REST_rest_gas_kWh)/1000</f>
        <v>1866.02009306178</v>
      </c>
      <c r="F25" s="1002"/>
      <c r="G25" s="1002"/>
      <c r="H25" s="1002"/>
      <c r="I25" s="1002"/>
      <c r="J25" s="1002"/>
      <c r="K25" s="1002"/>
      <c r="L25" s="1002"/>
      <c r="M25" s="1002"/>
      <c r="N25" s="1002"/>
      <c r="O25" s="1002"/>
      <c r="P25" s="1002"/>
      <c r="Q25" s="1003"/>
      <c r="R25" s="691">
        <f>SUM(C25:Q25)</f>
        <v>2558.9167828792379</v>
      </c>
      <c r="S25" s="68"/>
    </row>
    <row r="26" spans="1:19" s="457" customFormat="1" ht="15.75" thickBot="1">
      <c r="A26" s="694" t="s">
        <v>913</v>
      </c>
      <c r="B26" s="811"/>
      <c r="C26" s="806">
        <f>SUM(C24:C25)</f>
        <v>877.21913803205007</v>
      </c>
      <c r="D26" s="806">
        <f t="shared" ref="D26:R26" si="2">SUM(D24:D25)</f>
        <v>0</v>
      </c>
      <c r="E26" s="806">
        <f t="shared" si="2"/>
        <v>2327.7850463073241</v>
      </c>
      <c r="F26" s="806">
        <f t="shared" si="2"/>
        <v>1.7364409622729458</v>
      </c>
      <c r="G26" s="806">
        <f t="shared" si="2"/>
        <v>601.50531977251751</v>
      </c>
      <c r="H26" s="806">
        <f t="shared" si="2"/>
        <v>0</v>
      </c>
      <c r="I26" s="806">
        <f t="shared" si="2"/>
        <v>0</v>
      </c>
      <c r="J26" s="806">
        <f t="shared" si="2"/>
        <v>0</v>
      </c>
      <c r="K26" s="806">
        <f t="shared" si="2"/>
        <v>22.801583388360928</v>
      </c>
      <c r="L26" s="806">
        <f t="shared" si="2"/>
        <v>0</v>
      </c>
      <c r="M26" s="806">
        <f t="shared" si="2"/>
        <v>0</v>
      </c>
      <c r="N26" s="806">
        <f t="shared" si="2"/>
        <v>0</v>
      </c>
      <c r="O26" s="806">
        <f t="shared" si="2"/>
        <v>0</v>
      </c>
      <c r="P26" s="806">
        <f t="shared" si="2"/>
        <v>0</v>
      </c>
      <c r="Q26" s="806">
        <f t="shared" si="2"/>
        <v>0</v>
      </c>
      <c r="R26" s="806">
        <f t="shared" si="2"/>
        <v>3831.0475284625254</v>
      </c>
      <c r="S26" s="68"/>
    </row>
    <row r="27" spans="1:19" s="457" customFormat="1" ht="17.25" thickTop="1" thickBot="1">
      <c r="A27" s="695" t="s">
        <v>116</v>
      </c>
      <c r="B27" s="798"/>
      <c r="C27" s="696">
        <f ca="1">C22+C16+C26</f>
        <v>66193.936347927243</v>
      </c>
      <c r="D27" s="696">
        <f t="shared" ref="D27:R27" ca="1" si="3">D22+D16+D26</f>
        <v>0</v>
      </c>
      <c r="E27" s="696">
        <f t="shared" ca="1" si="3"/>
        <v>88609.247948044082</v>
      </c>
      <c r="F27" s="696">
        <f t="shared" si="3"/>
        <v>1120.5627512378876</v>
      </c>
      <c r="G27" s="696">
        <f t="shared" ca="1" si="3"/>
        <v>11912.372102697762</v>
      </c>
      <c r="H27" s="696">
        <f t="shared" si="3"/>
        <v>45783.544963806547</v>
      </c>
      <c r="I27" s="696">
        <f t="shared" si="3"/>
        <v>7616.1187849315211</v>
      </c>
      <c r="J27" s="696">
        <f t="shared" si="3"/>
        <v>0</v>
      </c>
      <c r="K27" s="696">
        <f t="shared" si="3"/>
        <v>51.044568228811599</v>
      </c>
      <c r="L27" s="696">
        <f t="shared" si="3"/>
        <v>0</v>
      </c>
      <c r="M27" s="696">
        <f t="shared" ca="1" si="3"/>
        <v>0</v>
      </c>
      <c r="N27" s="696">
        <f t="shared" si="3"/>
        <v>2386.3280762385248</v>
      </c>
      <c r="O27" s="696">
        <f t="shared" ca="1" si="3"/>
        <v>6274.7643758352178</v>
      </c>
      <c r="P27" s="696">
        <f t="shared" si="3"/>
        <v>34.393333333333338</v>
      </c>
      <c r="Q27" s="696">
        <f t="shared" si="3"/>
        <v>38.133333333333333</v>
      </c>
      <c r="R27" s="696">
        <f t="shared" ca="1" si="3"/>
        <v>230020.44658561426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7906.6552800766394</v>
      </c>
      <c r="D40" s="688">
        <f ca="1">tertiair!C20</f>
        <v>0</v>
      </c>
      <c r="E40" s="688">
        <f ca="1">tertiair!D20</f>
        <v>4849.5032943800388</v>
      </c>
      <c r="F40" s="688">
        <f>tertiair!E20</f>
        <v>93.825233036091547</v>
      </c>
      <c r="G40" s="688">
        <f ca="1">tertiair!F20</f>
        <v>1975.1246279411369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14825.108435433907</v>
      </c>
    </row>
    <row r="41" spans="1:18">
      <c r="A41" s="816" t="s">
        <v>225</v>
      </c>
      <c r="B41" s="823"/>
      <c r="C41" s="688">
        <f ca="1">huishoudens!B12</f>
        <v>3189.423531702299</v>
      </c>
      <c r="D41" s="688">
        <f ca="1">huishoudens!C12</f>
        <v>0</v>
      </c>
      <c r="E41" s="688">
        <f>huishoudens!D12</f>
        <v>11027.434384889459</v>
      </c>
      <c r="F41" s="688">
        <f>huishoudens!E12</f>
        <v>96.77467748160484</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14313.632594073362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1840.2771644636807</v>
      </c>
      <c r="D43" s="688">
        <f ca="1">industrie!C22</f>
        <v>0</v>
      </c>
      <c r="E43" s="688">
        <f>industrie!D22</f>
        <v>1551.2298850287971</v>
      </c>
      <c r="F43" s="688">
        <f>industrie!E22</f>
        <v>17.994240173690997</v>
      </c>
      <c r="G43" s="688">
        <f>industrie!F22</f>
        <v>1044.876803099904</v>
      </c>
      <c r="H43" s="688">
        <f>industrie!G22</f>
        <v>0</v>
      </c>
      <c r="I43" s="688">
        <f>industrie!H22</f>
        <v>0</v>
      </c>
      <c r="J43" s="688">
        <f>industrie!I22</f>
        <v>0</v>
      </c>
      <c r="K43" s="688">
        <f>industrie!J22</f>
        <v>9.9980166335195388</v>
      </c>
      <c r="L43" s="688">
        <f>industrie!K22</f>
        <v>0</v>
      </c>
      <c r="M43" s="688">
        <f>industrie!L22</f>
        <v>0</v>
      </c>
      <c r="N43" s="688">
        <f>industrie!M22</f>
        <v>0</v>
      </c>
      <c r="O43" s="688">
        <f>industrie!N22</f>
        <v>0</v>
      </c>
      <c r="P43" s="688">
        <f>industrie!O22</f>
        <v>0</v>
      </c>
      <c r="Q43" s="763">
        <f>industrie!P22</f>
        <v>0</v>
      </c>
      <c r="R43" s="843">
        <f t="shared" ca="1" si="4"/>
        <v>4464.3761093995927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12936.355976242619</v>
      </c>
      <c r="D46" s="721">
        <f t="shared" ref="D46:Q46" ca="1" si="5">SUM(D39:D45)</f>
        <v>0</v>
      </c>
      <c r="E46" s="721">
        <f t="shared" ca="1" si="5"/>
        <v>17428.167564298295</v>
      </c>
      <c r="F46" s="721">
        <f t="shared" si="5"/>
        <v>208.5941506913874</v>
      </c>
      <c r="G46" s="721">
        <f t="shared" ca="1" si="5"/>
        <v>3020.0014310410406</v>
      </c>
      <c r="H46" s="721">
        <f t="shared" si="5"/>
        <v>0</v>
      </c>
      <c r="I46" s="721">
        <f t="shared" si="5"/>
        <v>0</v>
      </c>
      <c r="J46" s="721">
        <f t="shared" si="5"/>
        <v>0</v>
      </c>
      <c r="K46" s="721">
        <f t="shared" si="5"/>
        <v>9.9980166335195388</v>
      </c>
      <c r="L46" s="721">
        <f t="shared" si="5"/>
        <v>0</v>
      </c>
      <c r="M46" s="721">
        <f t="shared" ca="1" si="5"/>
        <v>0</v>
      </c>
      <c r="N46" s="721">
        <f t="shared" si="5"/>
        <v>0</v>
      </c>
      <c r="O46" s="721">
        <f t="shared" ca="1" si="5"/>
        <v>0</v>
      </c>
      <c r="P46" s="721">
        <f t="shared" si="5"/>
        <v>0</v>
      </c>
      <c r="Q46" s="721">
        <f t="shared" si="5"/>
        <v>0</v>
      </c>
      <c r="R46" s="721">
        <f ca="1">SUM(R39:R45)</f>
        <v>33603.117138906862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101.20732525463802</v>
      </c>
      <c r="D49" s="688">
        <f ca="1">transport!C58</f>
        <v>0</v>
      </c>
      <c r="E49" s="688">
        <f>transport!D58</f>
        <v>0</v>
      </c>
      <c r="F49" s="688">
        <f>transport!E58</f>
        <v>0</v>
      </c>
      <c r="G49" s="688">
        <f>transport!F58</f>
        <v>0</v>
      </c>
      <c r="H49" s="688">
        <f>transport!G58</f>
        <v>351.8666130954216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453.07393835005962</v>
      </c>
    </row>
    <row r="50" spans="1:18">
      <c r="A50" s="819" t="s">
        <v>307</v>
      </c>
      <c r="B50" s="829"/>
      <c r="C50" s="1008">
        <f ca="1">transport!B18</f>
        <v>0.26389150113391713</v>
      </c>
      <c r="D50" s="1008">
        <f>transport!C18</f>
        <v>0</v>
      </c>
      <c r="E50" s="1008">
        <f>transport!D18</f>
        <v>0.6879418525291322</v>
      </c>
      <c r="F50" s="1008">
        <f>transport!E18</f>
        <v>45.379421741177133</v>
      </c>
      <c r="G50" s="1008">
        <f>transport!F18</f>
        <v>0</v>
      </c>
      <c r="H50" s="1008">
        <f>transport!G18</f>
        <v>11872.339892240927</v>
      </c>
      <c r="I50" s="1008">
        <f>transport!H18</f>
        <v>1896.4135774479487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13815.084724783716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101.47121675577193</v>
      </c>
      <c r="D52" s="721">
        <f t="shared" ref="D52:Q52" ca="1" si="6">SUM(D48:D51)</f>
        <v>0</v>
      </c>
      <c r="E52" s="721">
        <f t="shared" si="6"/>
        <v>0.6879418525291322</v>
      </c>
      <c r="F52" s="721">
        <f t="shared" si="6"/>
        <v>45.379421741177133</v>
      </c>
      <c r="G52" s="721">
        <f t="shared" si="6"/>
        <v>0</v>
      </c>
      <c r="H52" s="721">
        <f t="shared" si="6"/>
        <v>12224.206505336348</v>
      </c>
      <c r="I52" s="721">
        <f t="shared" si="6"/>
        <v>1896.4135774479487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14268.158663133776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36.792483306986789</v>
      </c>
      <c r="D54" s="1008">
        <f ca="1">+landbouw!C12</f>
        <v>0</v>
      </c>
      <c r="E54" s="1008">
        <f>+landbouw!D12</f>
        <v>93.276520555599902</v>
      </c>
      <c r="F54" s="1008">
        <f>+landbouw!E12</f>
        <v>0.39417209843595868</v>
      </c>
      <c r="G54" s="1008">
        <f>+landbouw!F12</f>
        <v>160.6019203792622</v>
      </c>
      <c r="H54" s="1008">
        <f>+landbouw!G12</f>
        <v>0</v>
      </c>
      <c r="I54" s="1008">
        <f>+landbouw!H12</f>
        <v>0</v>
      </c>
      <c r="J54" s="1008">
        <f>+landbouw!I12</f>
        <v>0</v>
      </c>
      <c r="K54" s="1008">
        <f>+landbouw!J12</f>
        <v>8.0717605194797688</v>
      </c>
      <c r="L54" s="1008">
        <f>+landbouw!K12</f>
        <v>0</v>
      </c>
      <c r="M54" s="1008">
        <f>+landbouw!L12</f>
        <v>0</v>
      </c>
      <c r="N54" s="1008">
        <f>+landbouw!M12</f>
        <v>0</v>
      </c>
      <c r="O54" s="1008">
        <f>+landbouw!N12</f>
        <v>0</v>
      </c>
      <c r="P54" s="1008">
        <f>+landbouw!O12</f>
        <v>0</v>
      </c>
      <c r="Q54" s="1009">
        <f>+landbouw!P12</f>
        <v>0</v>
      </c>
      <c r="R54" s="720">
        <f ca="1">SUM(C54:Q54)</f>
        <v>299.13685685976463</v>
      </c>
    </row>
    <row r="55" spans="1:18" ht="15" thickBot="1">
      <c r="A55" s="819" t="s">
        <v>912</v>
      </c>
      <c r="B55" s="829"/>
      <c r="C55" s="1008">
        <f ca="1">C25*'EF ele_warmte'!B12</f>
        <v>138.30865497128866</v>
      </c>
      <c r="D55" s="1008"/>
      <c r="E55" s="1008">
        <f>E25*EF_CO2_aardgas</f>
        <v>376.93605879847956</v>
      </c>
      <c r="F55" s="1008"/>
      <c r="G55" s="1008"/>
      <c r="H55" s="1008"/>
      <c r="I55" s="1008"/>
      <c r="J55" s="1008"/>
      <c r="K55" s="1008"/>
      <c r="L55" s="1008"/>
      <c r="M55" s="1008"/>
      <c r="N55" s="1008"/>
      <c r="O55" s="1008"/>
      <c r="P55" s="1008"/>
      <c r="Q55" s="1009"/>
      <c r="R55" s="720">
        <f ca="1">SUM(C55:Q55)</f>
        <v>515.24471376976817</v>
      </c>
    </row>
    <row r="56" spans="1:18" ht="15.75" thickBot="1">
      <c r="A56" s="817" t="s">
        <v>913</v>
      </c>
      <c r="B56" s="830"/>
      <c r="C56" s="721">
        <f ca="1">SUM(C54:C55)</f>
        <v>175.10113827827544</v>
      </c>
      <c r="D56" s="721">
        <f t="shared" ref="D56:Q56" ca="1" si="7">SUM(D54:D55)</f>
        <v>0</v>
      </c>
      <c r="E56" s="721">
        <f t="shared" si="7"/>
        <v>470.21257935407948</v>
      </c>
      <c r="F56" s="721">
        <f t="shared" si="7"/>
        <v>0.39417209843595868</v>
      </c>
      <c r="G56" s="721">
        <f t="shared" si="7"/>
        <v>160.6019203792622</v>
      </c>
      <c r="H56" s="721">
        <f t="shared" si="7"/>
        <v>0</v>
      </c>
      <c r="I56" s="721">
        <f t="shared" si="7"/>
        <v>0</v>
      </c>
      <c r="J56" s="721">
        <f t="shared" si="7"/>
        <v>0</v>
      </c>
      <c r="K56" s="721">
        <f t="shared" si="7"/>
        <v>8.0717605194797688</v>
      </c>
      <c r="L56" s="721">
        <f t="shared" si="7"/>
        <v>0</v>
      </c>
      <c r="M56" s="721">
        <f t="shared" si="7"/>
        <v>0</v>
      </c>
      <c r="N56" s="721">
        <f t="shared" si="7"/>
        <v>0</v>
      </c>
      <c r="O56" s="721">
        <f t="shared" si="7"/>
        <v>0</v>
      </c>
      <c r="P56" s="721">
        <f t="shared" si="7"/>
        <v>0</v>
      </c>
      <c r="Q56" s="722">
        <f t="shared" si="7"/>
        <v>0</v>
      </c>
      <c r="R56" s="723">
        <f ca="1">SUM(R54:R55)</f>
        <v>814.3815706295328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13212.928331276667</v>
      </c>
      <c r="D61" s="729">
        <f t="shared" ref="D61:Q61" ca="1" si="8">D46+D52+D56</f>
        <v>0</v>
      </c>
      <c r="E61" s="729">
        <f t="shared" ca="1" si="8"/>
        <v>17899.068085504903</v>
      </c>
      <c r="F61" s="729">
        <f t="shared" si="8"/>
        <v>254.36774453100048</v>
      </c>
      <c r="G61" s="729">
        <f t="shared" ca="1" si="8"/>
        <v>3180.6033514203027</v>
      </c>
      <c r="H61" s="729">
        <f t="shared" si="8"/>
        <v>12224.206505336348</v>
      </c>
      <c r="I61" s="729">
        <f t="shared" si="8"/>
        <v>1896.4135774479487</v>
      </c>
      <c r="J61" s="729">
        <f t="shared" si="8"/>
        <v>0</v>
      </c>
      <c r="K61" s="729">
        <f t="shared" si="8"/>
        <v>18.069777152999308</v>
      </c>
      <c r="L61" s="729">
        <f t="shared" si="8"/>
        <v>0</v>
      </c>
      <c r="M61" s="729">
        <f t="shared" ca="1" si="8"/>
        <v>0</v>
      </c>
      <c r="N61" s="729">
        <f t="shared" si="8"/>
        <v>0</v>
      </c>
      <c r="O61" s="729">
        <f t="shared" ca="1" si="8"/>
        <v>0</v>
      </c>
      <c r="P61" s="729">
        <f t="shared" si="8"/>
        <v>0</v>
      </c>
      <c r="Q61" s="729">
        <f t="shared" si="8"/>
        <v>0</v>
      </c>
      <c r="R61" s="729">
        <f ca="1">R46+R52+R56</f>
        <v>48685.657372670175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0.19960934581420176</v>
      </c>
      <c r="D63" s="773">
        <f t="shared" ca="1" si="9"/>
        <v>0</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555</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5851.9303240509234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6406.9303240509234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555</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5851.9303240509234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6406.9303240509234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15978.327661426458</v>
      </c>
      <c r="C4" s="461">
        <f>huishoudens!C8</f>
        <v>0</v>
      </c>
      <c r="D4" s="461">
        <f>huishoudens!D8</f>
        <v>54591.259331135931</v>
      </c>
      <c r="E4" s="461">
        <f>huishoudens!E8</f>
        <v>426.32016511720195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4405.2044486920868</v>
      </c>
      <c r="O4" s="461">
        <f>huishoudens!O8</f>
        <v>34.393333333333338</v>
      </c>
      <c r="P4" s="462">
        <f>huishoudens!P8</f>
        <v>38.133333333333333</v>
      </c>
      <c r="Q4" s="463">
        <f>SUM(B4:P4)</f>
        <v>75473.638273038334</v>
      </c>
    </row>
    <row r="5" spans="1:17">
      <c r="A5" s="460" t="s">
        <v>156</v>
      </c>
      <c r="B5" s="461">
        <f ca="1">tertiair!B16</f>
        <v>38979.578725109903</v>
      </c>
      <c r="C5" s="461">
        <f ca="1">tertiair!C16</f>
        <v>0</v>
      </c>
      <c r="D5" s="461">
        <f ca="1">tertiair!D16</f>
        <v>24007.44205138633</v>
      </c>
      <c r="E5" s="461">
        <f>tertiair!E16</f>
        <v>413.32701778013893</v>
      </c>
      <c r="F5" s="461">
        <f ca="1">tertiair!F16</f>
        <v>7397.4705166334707</v>
      </c>
      <c r="G5" s="461">
        <f>tertiair!G16</f>
        <v>0</v>
      </c>
      <c r="H5" s="461">
        <f>tertiair!H16</f>
        <v>0</v>
      </c>
      <c r="I5" s="461">
        <f>tertiair!I16</f>
        <v>0</v>
      </c>
      <c r="J5" s="461">
        <f>tertiair!J16</f>
        <v>0</v>
      </c>
      <c r="K5" s="461">
        <f>tertiair!K16</f>
        <v>0</v>
      </c>
      <c r="L5" s="461">
        <f ca="1">tertiair!L16</f>
        <v>0</v>
      </c>
      <c r="M5" s="461">
        <f>tertiair!M16</f>
        <v>0</v>
      </c>
      <c r="N5" s="461">
        <f ca="1">tertiair!N16</f>
        <v>1336.8507862533979</v>
      </c>
      <c r="O5" s="461">
        <f>tertiair!O16</f>
        <v>0</v>
      </c>
      <c r="P5" s="462">
        <f>tertiair!P16</f>
        <v>0</v>
      </c>
      <c r="Q5" s="460">
        <f t="shared" ref="Q5:Q14" ca="1" si="0">SUM(B5:P5)</f>
        <v>72134.669097163249</v>
      </c>
    </row>
    <row r="6" spans="1:17">
      <c r="A6" s="460" t="s">
        <v>194</v>
      </c>
      <c r="B6" s="461">
        <f>'openbare verlichting'!B8</f>
        <v>631.06799999999998</v>
      </c>
      <c r="C6" s="461"/>
      <c r="D6" s="461"/>
      <c r="E6" s="461"/>
      <c r="F6" s="461"/>
      <c r="G6" s="461"/>
      <c r="H6" s="461"/>
      <c r="I6" s="461"/>
      <c r="J6" s="461"/>
      <c r="K6" s="461"/>
      <c r="L6" s="461"/>
      <c r="M6" s="461"/>
      <c r="N6" s="461"/>
      <c r="O6" s="461"/>
      <c r="P6" s="462"/>
      <c r="Q6" s="460">
        <f t="shared" si="0"/>
        <v>631.06799999999998</v>
      </c>
    </row>
    <row r="7" spans="1:17">
      <c r="A7" s="460" t="s">
        <v>112</v>
      </c>
      <c r="B7" s="461">
        <f>landbouw!B8</f>
        <v>184.32244821459201</v>
      </c>
      <c r="C7" s="461">
        <f>landbouw!C8</f>
        <v>0</v>
      </c>
      <c r="D7" s="461">
        <f>landbouw!D8</f>
        <v>461.76495324554401</v>
      </c>
      <c r="E7" s="461">
        <f>landbouw!E8</f>
        <v>1.7364409622729458</v>
      </c>
      <c r="F7" s="461">
        <f>landbouw!F8</f>
        <v>601.50531977251751</v>
      </c>
      <c r="G7" s="461">
        <f>landbouw!G8</f>
        <v>0</v>
      </c>
      <c r="H7" s="461">
        <f>landbouw!H8</f>
        <v>0</v>
      </c>
      <c r="I7" s="461">
        <f>landbouw!I8</f>
        <v>0</v>
      </c>
      <c r="J7" s="461">
        <f>landbouw!J8</f>
        <v>22.801583388360928</v>
      </c>
      <c r="K7" s="461">
        <f>landbouw!K8</f>
        <v>0</v>
      </c>
      <c r="L7" s="461">
        <f>landbouw!L8</f>
        <v>0</v>
      </c>
      <c r="M7" s="461">
        <f>landbouw!M8</f>
        <v>0</v>
      </c>
      <c r="N7" s="461">
        <f>landbouw!N8</f>
        <v>0</v>
      </c>
      <c r="O7" s="461">
        <f>landbouw!O8</f>
        <v>0</v>
      </c>
      <c r="P7" s="462">
        <f>landbouw!P8</f>
        <v>0</v>
      </c>
      <c r="Q7" s="460">
        <f t="shared" si="0"/>
        <v>1272.1307455832875</v>
      </c>
    </row>
    <row r="8" spans="1:17">
      <c r="A8" s="460" t="s">
        <v>685</v>
      </c>
      <c r="B8" s="461">
        <f>industrie!B18</f>
        <v>9219.3937962034506</v>
      </c>
      <c r="C8" s="461">
        <f>industrie!C18</f>
        <v>0</v>
      </c>
      <c r="D8" s="461">
        <f>industrie!D18</f>
        <v>7679.3558664791926</v>
      </c>
      <c r="E8" s="461">
        <f>industrie!E18</f>
        <v>79.269780500841392</v>
      </c>
      <c r="F8" s="461">
        <f>industrie!F18</f>
        <v>3913.3962662917747</v>
      </c>
      <c r="G8" s="461">
        <f>industrie!G18</f>
        <v>0</v>
      </c>
      <c r="H8" s="461">
        <f>industrie!H18</f>
        <v>0</v>
      </c>
      <c r="I8" s="461">
        <f>industrie!I18</f>
        <v>0</v>
      </c>
      <c r="J8" s="461">
        <f>industrie!J18</f>
        <v>28.242984840450674</v>
      </c>
      <c r="K8" s="461">
        <f>industrie!K18</f>
        <v>0</v>
      </c>
      <c r="L8" s="461">
        <f>industrie!L18</f>
        <v>0</v>
      </c>
      <c r="M8" s="461">
        <f>industrie!M18</f>
        <v>0</v>
      </c>
      <c r="N8" s="461">
        <f>industrie!N18</f>
        <v>532.70914088973336</v>
      </c>
      <c r="O8" s="461">
        <f>industrie!O18</f>
        <v>0</v>
      </c>
      <c r="P8" s="462">
        <f>industrie!P18</f>
        <v>0</v>
      </c>
      <c r="Q8" s="460">
        <f t="shared" si="0"/>
        <v>21452.367835205441</v>
      </c>
    </row>
    <row r="9" spans="1:17" s="466" customFormat="1">
      <c r="A9" s="464" t="s">
        <v>579</v>
      </c>
      <c r="B9" s="465">
        <f>transport!B14</f>
        <v>1.3220398075927258</v>
      </c>
      <c r="C9" s="465">
        <f>transport!C14</f>
        <v>0</v>
      </c>
      <c r="D9" s="465">
        <f>transport!D14</f>
        <v>3.4056527352927333</v>
      </c>
      <c r="E9" s="465">
        <f>transport!E14</f>
        <v>199.90934687743228</v>
      </c>
      <c r="F9" s="465">
        <f>transport!F14</f>
        <v>0</v>
      </c>
      <c r="G9" s="465">
        <f>transport!G14</f>
        <v>44465.692480303092</v>
      </c>
      <c r="H9" s="465">
        <f>transport!H14</f>
        <v>7616.1187849315211</v>
      </c>
      <c r="I9" s="465">
        <f>transport!I14</f>
        <v>0</v>
      </c>
      <c r="J9" s="465">
        <f>transport!J14</f>
        <v>0</v>
      </c>
      <c r="K9" s="465">
        <f>transport!K14</f>
        <v>0</v>
      </c>
      <c r="L9" s="465">
        <f>transport!L14</f>
        <v>0</v>
      </c>
      <c r="M9" s="465">
        <f>transport!M14</f>
        <v>2328.4589997542348</v>
      </c>
      <c r="N9" s="465">
        <f>transport!N14</f>
        <v>0</v>
      </c>
      <c r="O9" s="465">
        <f>transport!O14</f>
        <v>0</v>
      </c>
      <c r="P9" s="465">
        <f>transport!P14</f>
        <v>0</v>
      </c>
      <c r="Q9" s="464">
        <f>SUM(B9:P9)</f>
        <v>54614.907304409164</v>
      </c>
    </row>
    <row r="10" spans="1:17">
      <c r="A10" s="460" t="s">
        <v>569</v>
      </c>
      <c r="B10" s="461">
        <f>transport!B54</f>
        <v>507.02698734779062</v>
      </c>
      <c r="C10" s="461">
        <f>transport!C54</f>
        <v>0</v>
      </c>
      <c r="D10" s="461">
        <f>transport!D54</f>
        <v>0</v>
      </c>
      <c r="E10" s="461">
        <f>transport!E54</f>
        <v>0</v>
      </c>
      <c r="F10" s="461">
        <f>transport!F54</f>
        <v>0</v>
      </c>
      <c r="G10" s="461">
        <f>transport!G54</f>
        <v>1317.8524835034516</v>
      </c>
      <c r="H10" s="461">
        <f>transport!H54</f>
        <v>0</v>
      </c>
      <c r="I10" s="461">
        <f>transport!I54</f>
        <v>0</v>
      </c>
      <c r="J10" s="461">
        <f>transport!J54</f>
        <v>0</v>
      </c>
      <c r="K10" s="461">
        <f>transport!K54</f>
        <v>0</v>
      </c>
      <c r="L10" s="461">
        <f>transport!L54</f>
        <v>0</v>
      </c>
      <c r="M10" s="461">
        <f>transport!M54</f>
        <v>57.869076484290026</v>
      </c>
      <c r="N10" s="461">
        <f>transport!N54</f>
        <v>0</v>
      </c>
      <c r="O10" s="461">
        <f>transport!O54</f>
        <v>0</v>
      </c>
      <c r="P10" s="462">
        <f>transport!P54</f>
        <v>0</v>
      </c>
      <c r="Q10" s="460">
        <f t="shared" si="0"/>
        <v>1882.7485473355323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692.89668981745808</v>
      </c>
      <c r="C14" s="468"/>
      <c r="D14" s="468">
        <f>'SEAP template'!E25</f>
        <v>1866.02009306178</v>
      </c>
      <c r="E14" s="468"/>
      <c r="F14" s="468"/>
      <c r="G14" s="468"/>
      <c r="H14" s="468"/>
      <c r="I14" s="468"/>
      <c r="J14" s="468"/>
      <c r="K14" s="468"/>
      <c r="L14" s="468"/>
      <c r="M14" s="468"/>
      <c r="N14" s="468"/>
      <c r="O14" s="468"/>
      <c r="P14" s="469"/>
      <c r="Q14" s="460">
        <f t="shared" si="0"/>
        <v>2558.9167828792379</v>
      </c>
    </row>
    <row r="15" spans="1:17" s="473" customFormat="1">
      <c r="A15" s="470" t="s">
        <v>573</v>
      </c>
      <c r="B15" s="471">
        <f ca="1">SUM(B4:B14)</f>
        <v>66193.936347927243</v>
      </c>
      <c r="C15" s="471">
        <f t="shared" ref="C15:Q15" ca="1" si="1">SUM(C4:C14)</f>
        <v>0</v>
      </c>
      <c r="D15" s="471">
        <f t="shared" ca="1" si="1"/>
        <v>88609.247948044082</v>
      </c>
      <c r="E15" s="471">
        <f t="shared" si="1"/>
        <v>1120.5627512378874</v>
      </c>
      <c r="F15" s="471">
        <f t="shared" ca="1" si="1"/>
        <v>11912.372102697762</v>
      </c>
      <c r="G15" s="471">
        <f t="shared" si="1"/>
        <v>45783.544963806547</v>
      </c>
      <c r="H15" s="471">
        <f t="shared" si="1"/>
        <v>7616.1187849315211</v>
      </c>
      <c r="I15" s="471">
        <f t="shared" si="1"/>
        <v>0</v>
      </c>
      <c r="J15" s="471">
        <f t="shared" si="1"/>
        <v>51.044568228811599</v>
      </c>
      <c r="K15" s="471">
        <f t="shared" si="1"/>
        <v>0</v>
      </c>
      <c r="L15" s="471">
        <f t="shared" ca="1" si="1"/>
        <v>0</v>
      </c>
      <c r="M15" s="471">
        <f t="shared" si="1"/>
        <v>2386.3280762385248</v>
      </c>
      <c r="N15" s="471">
        <f t="shared" ca="1" si="1"/>
        <v>6274.7643758352178</v>
      </c>
      <c r="O15" s="471">
        <f t="shared" si="1"/>
        <v>34.393333333333338</v>
      </c>
      <c r="P15" s="471">
        <f t="shared" si="1"/>
        <v>38.133333333333333</v>
      </c>
      <c r="Q15" s="471">
        <f t="shared" ca="1" si="1"/>
        <v>230020.44658561426</v>
      </c>
    </row>
    <row r="17" spans="1:17">
      <c r="A17" s="474" t="s">
        <v>574</v>
      </c>
      <c r="B17" s="778">
        <f ca="1">huishoudens!B10</f>
        <v>0.19960934581420173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3189.423531702299</v>
      </c>
      <c r="C22" s="461">
        <f t="shared" ref="C22:C32" ca="1" si="3">C4*$C$17</f>
        <v>0</v>
      </c>
      <c r="D22" s="461">
        <f t="shared" ref="D22:D32" si="4">D4*$D$17</f>
        <v>11027.434384889459</v>
      </c>
      <c r="E22" s="461">
        <f t="shared" ref="E22:E32" si="5">E4*$E$17</f>
        <v>96.77467748160484</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14313.632594073362</v>
      </c>
    </row>
    <row r="23" spans="1:17">
      <c r="A23" s="460" t="s">
        <v>156</v>
      </c>
      <c r="B23" s="461">
        <f t="shared" ca="1" si="2"/>
        <v>7780.6882094323628</v>
      </c>
      <c r="C23" s="461">
        <f t="shared" ca="1" si="3"/>
        <v>0</v>
      </c>
      <c r="D23" s="461">
        <f t="shared" ca="1" si="4"/>
        <v>4849.5032943800388</v>
      </c>
      <c r="E23" s="461">
        <f t="shared" si="5"/>
        <v>93.825233036091547</v>
      </c>
      <c r="F23" s="461">
        <f t="shared" ca="1" si="6"/>
        <v>1975.1246279411369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14699.141364789632</v>
      </c>
    </row>
    <row r="24" spans="1:17">
      <c r="A24" s="460" t="s">
        <v>194</v>
      </c>
      <c r="B24" s="461">
        <f t="shared" ca="1" si="2"/>
        <v>125.96707064427665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125.96707064427665</v>
      </c>
    </row>
    <row r="25" spans="1:17">
      <c r="A25" s="460" t="s">
        <v>112</v>
      </c>
      <c r="B25" s="461">
        <f t="shared" ca="1" si="2"/>
        <v>36.792483306986789</v>
      </c>
      <c r="C25" s="461">
        <f t="shared" ca="1" si="3"/>
        <v>0</v>
      </c>
      <c r="D25" s="461">
        <f t="shared" si="4"/>
        <v>93.276520555599902</v>
      </c>
      <c r="E25" s="461">
        <f t="shared" si="5"/>
        <v>0.39417209843595868</v>
      </c>
      <c r="F25" s="461">
        <f t="shared" si="6"/>
        <v>160.6019203792622</v>
      </c>
      <c r="G25" s="461">
        <f t="shared" si="7"/>
        <v>0</v>
      </c>
      <c r="H25" s="461">
        <f t="shared" si="8"/>
        <v>0</v>
      </c>
      <c r="I25" s="461">
        <f t="shared" si="9"/>
        <v>0</v>
      </c>
      <c r="J25" s="461">
        <f t="shared" si="10"/>
        <v>8.0717605194797688</v>
      </c>
      <c r="K25" s="461">
        <f t="shared" si="11"/>
        <v>0</v>
      </c>
      <c r="L25" s="461">
        <f t="shared" si="12"/>
        <v>0</v>
      </c>
      <c r="M25" s="461">
        <f t="shared" si="13"/>
        <v>0</v>
      </c>
      <c r="N25" s="461">
        <f t="shared" si="14"/>
        <v>0</v>
      </c>
      <c r="O25" s="461">
        <f t="shared" si="15"/>
        <v>0</v>
      </c>
      <c r="P25" s="462">
        <f t="shared" si="16"/>
        <v>0</v>
      </c>
      <c r="Q25" s="460">
        <f t="shared" ca="1" si="17"/>
        <v>299.13685685976463</v>
      </c>
    </row>
    <row r="26" spans="1:17">
      <c r="A26" s="460" t="s">
        <v>685</v>
      </c>
      <c r="B26" s="461">
        <f t="shared" ca="1" si="2"/>
        <v>1840.2771644636807</v>
      </c>
      <c r="C26" s="461">
        <f t="shared" ca="1" si="3"/>
        <v>0</v>
      </c>
      <c r="D26" s="461">
        <f t="shared" si="4"/>
        <v>1551.2298850287971</v>
      </c>
      <c r="E26" s="461">
        <f t="shared" si="5"/>
        <v>17.994240173690997</v>
      </c>
      <c r="F26" s="461">
        <f t="shared" si="6"/>
        <v>1044.876803099904</v>
      </c>
      <c r="G26" s="461">
        <f t="shared" si="7"/>
        <v>0</v>
      </c>
      <c r="H26" s="461">
        <f t="shared" si="8"/>
        <v>0</v>
      </c>
      <c r="I26" s="461">
        <f t="shared" si="9"/>
        <v>0</v>
      </c>
      <c r="J26" s="461">
        <f t="shared" si="10"/>
        <v>9.9980166335195388</v>
      </c>
      <c r="K26" s="461">
        <f t="shared" si="11"/>
        <v>0</v>
      </c>
      <c r="L26" s="461">
        <f t="shared" si="12"/>
        <v>0</v>
      </c>
      <c r="M26" s="461">
        <f t="shared" si="13"/>
        <v>0</v>
      </c>
      <c r="N26" s="461">
        <f t="shared" si="14"/>
        <v>0</v>
      </c>
      <c r="O26" s="461">
        <f t="shared" si="15"/>
        <v>0</v>
      </c>
      <c r="P26" s="462">
        <f t="shared" si="16"/>
        <v>0</v>
      </c>
      <c r="Q26" s="460">
        <f t="shared" ca="1" si="17"/>
        <v>4464.3761093995927</v>
      </c>
    </row>
    <row r="27" spans="1:17" s="466" customFormat="1">
      <c r="A27" s="464" t="s">
        <v>579</v>
      </c>
      <c r="B27" s="772">
        <f t="shared" ca="1" si="2"/>
        <v>0.26389150113391713</v>
      </c>
      <c r="C27" s="465">
        <f t="shared" ca="1" si="3"/>
        <v>0</v>
      </c>
      <c r="D27" s="465">
        <f t="shared" si="4"/>
        <v>0.6879418525291322</v>
      </c>
      <c r="E27" s="465">
        <f t="shared" si="5"/>
        <v>45.379421741177133</v>
      </c>
      <c r="F27" s="465">
        <f t="shared" si="6"/>
        <v>0</v>
      </c>
      <c r="G27" s="465">
        <f t="shared" si="7"/>
        <v>11872.339892240927</v>
      </c>
      <c r="H27" s="465">
        <f t="shared" si="8"/>
        <v>1896.4135774479487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13815.084724783716</v>
      </c>
    </row>
    <row r="28" spans="1:17">
      <c r="A28" s="460" t="s">
        <v>569</v>
      </c>
      <c r="B28" s="461">
        <f t="shared" ca="1" si="2"/>
        <v>101.20732525463802</v>
      </c>
      <c r="C28" s="461">
        <f t="shared" ca="1" si="3"/>
        <v>0</v>
      </c>
      <c r="D28" s="461">
        <f t="shared" si="4"/>
        <v>0</v>
      </c>
      <c r="E28" s="461">
        <f t="shared" si="5"/>
        <v>0</v>
      </c>
      <c r="F28" s="461">
        <f t="shared" si="6"/>
        <v>0</v>
      </c>
      <c r="G28" s="461">
        <f t="shared" si="7"/>
        <v>351.8666130954216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453.07393835005962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138.30865497128866</v>
      </c>
      <c r="C32" s="461">
        <f t="shared" ca="1" si="3"/>
        <v>0</v>
      </c>
      <c r="D32" s="461">
        <f t="shared" si="4"/>
        <v>376.93605879847956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515.24471376976817</v>
      </c>
    </row>
    <row r="33" spans="1:17" s="473" customFormat="1">
      <c r="A33" s="470" t="s">
        <v>573</v>
      </c>
      <c r="B33" s="471">
        <f ca="1">SUM(B22:B32)</f>
        <v>13212.928331276666</v>
      </c>
      <c r="C33" s="471">
        <f t="shared" ref="C33:Q33" ca="1" si="18">SUM(C22:C32)</f>
        <v>0</v>
      </c>
      <c r="D33" s="471">
        <f t="shared" ca="1" si="18"/>
        <v>17899.068085504903</v>
      </c>
      <c r="E33" s="471">
        <f t="shared" si="18"/>
        <v>254.36774453100048</v>
      </c>
      <c r="F33" s="471">
        <f t="shared" ca="1" si="18"/>
        <v>3180.6033514203032</v>
      </c>
      <c r="G33" s="471">
        <f t="shared" si="18"/>
        <v>12224.206505336348</v>
      </c>
      <c r="H33" s="471">
        <f t="shared" si="18"/>
        <v>1896.4135774479487</v>
      </c>
      <c r="I33" s="471">
        <f t="shared" si="18"/>
        <v>0</v>
      </c>
      <c r="J33" s="471">
        <f t="shared" si="18"/>
        <v>18.069777152999308</v>
      </c>
      <c r="K33" s="471">
        <f t="shared" si="18"/>
        <v>0</v>
      </c>
      <c r="L33" s="471">
        <f t="shared" ca="1" si="18"/>
        <v>0</v>
      </c>
      <c r="M33" s="471">
        <f t="shared" si="18"/>
        <v>0</v>
      </c>
      <c r="N33" s="471">
        <f t="shared" ca="1" si="18"/>
        <v>0</v>
      </c>
      <c r="O33" s="471">
        <f t="shared" si="18"/>
        <v>0</v>
      </c>
      <c r="P33" s="471">
        <f t="shared" si="18"/>
        <v>0</v>
      </c>
      <c r="Q33" s="471">
        <f t="shared" ca="1" si="18"/>
        <v>48685.657372670175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555</v>
      </c>
      <c r="C5" s="1037"/>
      <c r="D5" s="1037"/>
      <c r="E5" s="1037"/>
      <c r="F5" s="1037"/>
      <c r="G5" s="1037"/>
      <c r="H5" s="1037"/>
      <c r="I5" s="1037"/>
      <c r="J5" s="1037"/>
      <c r="K5" s="1037"/>
      <c r="L5" s="1037"/>
      <c r="M5" s="1037"/>
      <c r="N5" s="1037"/>
      <c r="O5" s="1037"/>
      <c r="P5" s="1038">
        <f>'SEAP template'!Q73</f>
        <v>0</v>
      </c>
    </row>
    <row r="6" spans="1:16">
      <c r="A6" s="1039" t="s">
        <v>251</v>
      </c>
      <c r="B6" s="1037">
        <f>'SEAP template'!B74</f>
        <v>5851.9303240509234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6406.9303240509234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0.19960934581420173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0.19960934581420173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2019-08-12T07:52:31Z</dcterms:modified>
</cp:coreProperties>
</file>