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<sst xmlns="http://schemas.openxmlformats.org/spreadsheetml/2006/main" count="2558" uniqueCount="976">
  <si>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</si>
  <si>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</si>
  <si>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</si>
  <si>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</si>
  <si>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</si>
  <si>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</si>
  <si>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</si>
  <si>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</si>
  <si>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</si>
  <si>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</si>
  <si>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</si>
  <si>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</si>
  <si>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</si>
  <si>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</si>
  <si>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</si>
  <si>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</si>
  <si>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</si>
  <si>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</si>
  <si>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</si>
  <si>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</si>
  <si>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</si>
  <si>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</si>
  <si>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</si>
  <si>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</si>
  <si>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</si>
  <si>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</si>
  <si>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</si>
  <si>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</si>
  <si>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</si>
  <si>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</si>
  <si>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</si>
  <si>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</si>
  <si>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</si>
  <si>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</si>
  <si>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</si>
  <si>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</si>
  <si>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</si>
  <si>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</si>
  <si>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</si>
  <si>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</si>
  <si>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</si>
  <si>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</si>
  <si>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</si>
  <si>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</si>
  <si>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</si>
  <si>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</si>
  <si>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</si>
  <si>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</si>
  <si>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</si>
  <si>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</si>
  <si>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</si>
  <si>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</si>
  <si>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</si>
  <si>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</si>
  <si>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</si>
  <si>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</si>
  <si>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</si>
  <si>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</si>
  <si>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</si>
  <si>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</si>
  <si>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</si>
  <si>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</si>
  <si>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</si>
  <si>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</si>
  <si>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</si>
  <si>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</si>
  <si>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</si>
  <si>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</si>
  <si>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</si>
  <si>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</si>
  <si>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</si>
  <si>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</si>
  <si>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</si>
  <si>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</si>
  <si>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</si>
  <si>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</si>
  <si>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</si>
  <si>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</si>
  <si>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</si>
  <si>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</si>
  <si>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</si>
  <si>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</si>
  <si>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</si>
  <si>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</si>
  <si>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</si>
  <si>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</si>
  <si>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</si>
  <si>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</si>
  <si>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</si>
  <si>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</si>
  <si>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</si>
  <si>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</si>
  <si>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</si>
  <si>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</si>
  <si>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</si>
  <si>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</si>
  <si>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</si>
  <si>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</si>
  <si>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</si>
  <si>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</si>
  <si>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</si>
  <si>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</si>
  <si>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</si>
  <si>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</si>
  <si>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</si>
  <si>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</si>
  <si>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</si>
  <si>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</si>
  <si>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</si>
  <si>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</si>
  <si>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</si>
  <si>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</si>
  <si>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</si>
  <si>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</si>
  <si>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</si>
  <si>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</si>
  <si>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</si>
  <si>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</si>
  <si>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</si>
  <si>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</si>
  <si>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</si>
  <si>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</si>
  <si>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</si>
  <si>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</si>
  <si>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</si>
  <si>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</si>
  <si>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</si>
  <si>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</si>
  <si>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</si>
  <si>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</si>
  <si>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</si>
  <si>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</si>
  <si>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</si>
  <si>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</si>
  <si>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</si>
  <si>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</si>
  <si>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</si>
  <si>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</si>
  <si>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</si>
  <si>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</si>
  <si>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</si>
  <si>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</si>
  <si>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</si>
  <si>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</si>
  <si>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</si>
  <si>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</si>
  <si>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</si>
  <si>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</si>
  <si>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</si>
  <si>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</si>
  <si>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</si>
  <si>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</si>
  <si>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</si>
  <si>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</si>
  <si>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</si>
  <si>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</si>
  <si>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</si>
  <si>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</si>
  <si>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</si>
  <si>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</si>
  <si>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</si>
  <si>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</si>
  <si>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</si>
  <si>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</si>
  <si>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</si>
  <si>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</si>
  <si>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</si>
  <si>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</si>
  <si>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</si>
  <si>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</si>
  <si>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</si>
  <si>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</si>
  <si>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</si>
  <si>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</si>
  <si>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</si>
  <si>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</si>
  <si>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</si>
  <si>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</si>
  <si>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</si>
  <si>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</si>
  <si>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</si>
  <si>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</si>
  <si>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</si>
  <si>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</si>
  <si>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</si>
  <si>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</si>
  <si>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</si>
  <si>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</si>
  <si>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</si>
  <si>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</si>
  <si>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</si>
  <si>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</si>
  <si>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</si>
  <si>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</si>
  <si>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</si>
  <si>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</si>
  <si>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</si>
  <si>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</si>
  <si>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</si>
  <si>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</si>
  <si>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</si>
  <si>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</si>
  <si>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</si>
  <si>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</si>
  <si>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</si>
  <si>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</si>
  <si>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</si>
  <si>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</si>
  <si>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</si>
  <si>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</si>
  <si>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</si>
  <si>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</si>
  <si>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</si>
  <si>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</si>
  <si>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</si>
  <si>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</si>
  <si>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</si>
  <si>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</si>
  <si>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</si>
  <si>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</si>
  <si>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</si>
  <si>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</si>
  <si>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</si>
  <si>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</si>
  <si>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</si>
  <si>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</si>
  <si>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</si>
  <si>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</si>
  <si>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</si>
  <si>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</si>
  <si>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</si>
  <si>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</si>
  <si>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</si>
  <si>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</si>
  <si>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</si>
  <si>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</si>
  <si>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</si>
  <si>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</si>
  <si>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</si>
  <si>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</si>
  <si>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</si>
  <si>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</si>
  <si>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</si>
  <si>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</si>
  <si>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</si>
  <si>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</si>
  <si>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</si>
  <si>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</si>
  <si>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</si>
  <si>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</si>
  <si>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</si>
  <si>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</si>
  <si>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</si>
  <si>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</si>
  <si>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</si>
  <si>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</si>
  <si>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</si>
  <si>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</si>
  <si>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</si>
  <si>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</si>
  <si>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</si>
  <si>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</si>
  <si>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</si>
  <si>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</si>
  <si>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</si>
  <si>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</si>
  <si>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</si>
  <si>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</si>
  <si>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</si>
  <si>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</si>
  <si>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</si>
  <si>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</si>
  <si>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</si>
  <si>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</si>
  <si>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</si>
  <si>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</si>
  <si>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</si>
  <si>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</si>
  <si>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</si>
  <si>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</si>
  <si>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</si>
  <si>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</si>
  <si>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</si>
  <si>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</si>
  <si>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</si>
  <si>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</si>
  <si>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</si>
  <si>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</si>
  <si>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</si>
  <si>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</si>
  <si>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</si>
  <si>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</si>
  <si>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</si>
  <si>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</si>
  <si>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</si>
  <si>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</si>
  <si>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</si>
  <si>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</si>
  <si>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</si>
  <si>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</si>
  <si>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</si>
  <si>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</si>
  <si>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</si>
  <si>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</si>
  <si>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</si>
  <si>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</si>
  <si>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</si>
  <si>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</si>
  <si>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</si>
  <si>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</si>
  <si>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</si>
  <si>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</si>
  <si>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</si>
  <si>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</si>
  <si>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</si>
  <si>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</si>
  <si>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</si>
  <si>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</si>
  <si>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</si>
  <si>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</si>
  <si>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</si>
  <si>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</si>
  <si>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</si>
  <si>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</si>
  <si>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</si>
  <si>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</si>
  <si>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</si>
  <si>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</si>
  <si>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</si>
  <si>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</si>
  <si>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</si>
  <si>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</si>
  <si>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</si>
  <si>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</si>
  <si>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</si>
  <si>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</si>
  <si>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</si>
  <si>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</si>
  <si>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</si>
  <si>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</si>
  <si>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</si>
  <si>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</si>
  <si>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</si>
  <si>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</si>
  <si>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</si>
  <si>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</si>
  <si>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</si>
  <si>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</si>
  <si>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</si>
  <si>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</si>
  <si>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</si>
  <si>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</si>
  <si>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</si>
  <si>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</si>
  <si>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</si>
  <si>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</si>
  <si>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</si>
  <si>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</si>
  <si>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</si>
  <si>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</si>
  <si>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</si>
  <si>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</si>
  <si>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</si>
  <si>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</si>
  <si>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</si>
  <si>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</si>
  <si>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</si>
  <si>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</si>
  <si>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</si>
  <si>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</si>
  <si>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</si>
  <si>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</si>
  <si>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</si>
  <si>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</si>
  <si>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</si>
  <si>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</si>
  <si>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</si>
  <si>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</si>
  <si>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</si>
  <si>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</si>
  <si>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</si>
  <si>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</si>
  <si>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</si>
  <si>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</si>
  <si>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</si>
  <si>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</si>
  <si>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</si>
  <si>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</si>
  <si>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</si>
  <si>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</si>
  <si>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</si>
  <si>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</si>
  <si>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</si>
  <si>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</si>
  <si>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</si>
  <si>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</si>
  <si>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</si>
  <si>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</si>
  <si>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</si>
  <si>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</si>
  <si>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</si>
  <si>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</si>
  <si>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</si>
  <si>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</si>
  <si>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</si>
  <si>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</si>
  <si>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</si>
  <si>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</si>
  <si>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</si>
  <si>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</si>
  <si>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</si>
  <si>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</si>
  <si>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</si>
  <si>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</si>
  <si>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</si>
  <si>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</si>
  <si>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</si>
  <si>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</si>
  <si>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</si>
  <si>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</si>
  <si>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</si>
  <si>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</si>
  <si>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</si>
  <si>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</si>
  <si>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</si>
  <si>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</si>
  <si>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</si>
  <si>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</si>
  <si>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</si>
  <si>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</si>
  <si>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</si>
  <si>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</si>
  <si>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</si>
  <si>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</si>
  <si>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</si>
  <si>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</si>
  <si>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</si>
  <si>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</si>
  <si>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</si>
  <si>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</si>
  <si>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</si>
  <si>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</si>
  <si>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</si>
  <si>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</si>
  <si>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</si>
  <si>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</si>
  <si>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</si>
  <si>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</si>
  <si>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</si>
  <si>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</si>
  <si>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</si>
  <si>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</si>
  <si>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</si>
  <si>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</si>
  <si>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</si>
  <si>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</si>
  <si>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</si>
  <si>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</si>
  <si>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</si>
  <si>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</si>
  <si>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</si>
  <si>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</si>
  <si>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</si>
  <si>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</si>
  <si>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</si>
  <si>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</si>
  <si>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</si>
  <si>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</si>
  <si>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</si>
  <si>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</si>
  <si>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</si>
  <si>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</si>
  <si>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</si>
  <si>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</si>
  <si>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</si>
  <si>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</si>
  <si>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</si>
  <si>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</si>
  <si>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</si>
  <si>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</si>
  <si>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</si>
  <si>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</si>
  <si>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</si>
  <si>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</si>
  <si>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</si>
  <si>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</si>
  <si>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</si>
  <si>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</si>
  <si>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</si>
  <si>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</si>
  <si>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</si>
  <si>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</si>
  <si>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</si>
  <si>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</si>
  <si>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</si>
  <si>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</si>
  <si>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</si>
  <si>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</si>
  <si>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</si>
  <si>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</si>
  <si>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</si>
  <si>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</si>
  <si>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</si>
  <si>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</si>
  <si>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</si>
  <si>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</si>
  <si>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</si>
  <si>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</si>
  <si>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</si>
  <si>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</si>
  <si>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</si>
  <si>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</si>
  <si>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</si>
  <si>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</si>
  <si>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</si>
  <si>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</si>
  <si>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</si>
  <si>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</si>
  <si>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</si>
  <si>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</si>
  <si>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</si>
  <si>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</si>
  <si>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</si>
  <si>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</si>
  <si>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</si>
  <si>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</si>
  <si>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</si>
  <si>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</si>
  <si>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</si>
  <si>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</si>
  <si>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</si>
  <si>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</si>
  <si>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</si>
  <si>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</si>
  <si>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</si>
  <si>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</si>
  <si>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</si>
  <si>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</si>
  <si>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</si>
  <si>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</si>
  <si>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</si>
  <si>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</si>
  <si>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</si>
  <si>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</si>
  <si>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</si>
  <si>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</si>
  <si>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</si>
  <si>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</si>
  <si>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</si>
  <si>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</si>
  <si>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</si>
  <si>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</si>
  <si>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</si>
  <si>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</si>
  <si>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</si>
  <si>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</si>
  <si>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</si>
  <si>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</si>
  <si>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</si>
  <si>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</si>
  <si>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</si>
  <si>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</si>
  <si>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</si>
  <si>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</si>
  <si>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</si>
  <si>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</si>
  <si>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</si>
  <si>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</si>
  <si>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</si>
  <si>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</si>
  <si>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</si>
  <si>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</si>
  <si>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</si>
  <si>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</si>
  <si>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</si>
  <si>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</si>
  <si>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</si>
  <si>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</si>
  <si>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</si>
  <si>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</si>
  <si>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</si>
  <si>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</si>
  <si>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</si>
  <si>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</si>
  <si>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</si>
  <si>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</si>
  <si>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</si>
  <si>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</si>
  <si>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</si>
  <si>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</si>
  <si>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</si>
  <si>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</si>
  <si>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</si>
  <si>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</si>
  <si>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</si>
  <si>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</si>
  <si>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</si>
  <si>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</si>
  <si>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</si>
  <si>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</si>
  <si>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</si>
  <si>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</si>
  <si>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</si>
  <si>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</si>
  <si>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</si>
  <si>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</si>
  <si>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</si>
  <si>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</si>
  <si>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</si>
  <si>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</si>
  <si>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</si>
  <si>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</si>
  <si>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</si>
  <si>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</si>
  <si>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</si>
  <si>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</si>
  <si>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</si>
  <si>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</si>
  <si>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</si>
  <si>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</si>
  <si>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</si>
  <si>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</si>
  <si>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</si>
  <si>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</si>
  <si>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</si>
  <si>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</si>
  <si>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</si>
  <si>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</si>
  <si>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</si>
  <si>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</si>
  <si>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</si>
  <si>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</si>
  <si>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</si>
  <si>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</si>
  <si>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</si>
  <si>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</si>
  <si>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</si>
  <si>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</si>
  <si>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</si>
  <si>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</si>
  <si>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</si>
  <si>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</si>
  <si>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</si>
  <si>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</si>
  <si>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</si>
  <si>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</si>
  <si>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</si>
  <si>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</si>
  <si>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</si>
  <si>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</si>
  <si>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</si>
  <si>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</si>
  <si>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</si>
  <si>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</si>
  <si>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</si>
  <si>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</si>
  <si>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</si>
  <si>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</si>
  <si>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</si>
  <si>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</si>
  <si>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</si>
  <si>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</si>
  <si>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</si>
  <si>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</si>
  <si>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</si>
  <si>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</si>
  <si>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</si>
  <si>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</si>
  <si>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</si>
  <si>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</si>
  <si>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</si>
  <si>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</si>
  <si>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</si>
  <si>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</si>
  <si>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</si>
  <si>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</si>
  <si>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</si>
  <si>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</si>
  <si>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</si>
  <si>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</si>
  <si>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</si>
  <si>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</si>
  <si>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</si>
  <si>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</si>
  <si>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</si>
  <si>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</si>
  <si>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</si>
  <si>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</si>
  <si>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</si>
  <si>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</si>
  <si>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</si>
  <si>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</si>
  <si>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</si>
  <si>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</si>
  <si>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</si>
  <si>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</si>
  <si>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</si>
  <si>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</si>
  <si>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</si>
  <si>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</si>
  <si>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</si>
  <si>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</si>
  <si>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</si>
  <si>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</si>
  <si>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</si>
  <si>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</si>
  <si>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</si>
  <si>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</si>
  <si>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</si>
  <si>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</si>
  <si>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</si>
  <si>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</si>
  <si>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</si>
  <si>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</si>
  <si>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</si>
  <si>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</si>
  <si>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</si>
  <si>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</si>
  <si>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</si>
  <si>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</si>
  <si>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</si>
  <si>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</si>
  <si>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</si>
  <si>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</si>
  <si>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</si>
  <si>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</si>
  <si>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</si>
  <si>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</si>
  <si>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</si>
  <si>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</si>
  <si>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</si>
  <si>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</si>
  <si>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</si>
  <si>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</si>
  <si>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</si>
  <si>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</si>
  <si>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</si>
  <si>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</si>
  <si>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</si>
  <si>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</si>
  <si>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</si>
  <si>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</si>
  <si>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</si>
  <si>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</si>
  <si>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</si>
  <si>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</si>
  <si>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</si>
  <si>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</si>
  <si>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</si>
  <si>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</si>
  <si>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</si>
  <si>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</si>
  <si>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</si>
  <si>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</si>
  <si>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</si>
  <si>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</si>
  <si>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</si>
  <si>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</si>
  <si>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</si>
  <si>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</si>
  <si>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</si>
  <si>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</si>
  <si>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</si>
  <si>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</si>
  <si>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</si>
  <si>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</si>
  <si>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</si>
  <si>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</si>
  <si>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</si>
  <si>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</si>
  <si>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</si>
  <si>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</si>
  <si>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</si>
  <si>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</si>
  <si>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</si>
  <si>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</si>
  <si>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</si>
  <si>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</si>
  <si>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</si>
  <si>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</si>
  <si>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</si>
  <si>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</si>
  <si>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</si>
  <si>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</si>
  <si>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</si>
  <si>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</si>
  <si>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</si>
  <si>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</si>
  <si>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</si>
  <si>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</si>
  <si>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</si>
  <si>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</si>
  <si>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</si>
  <si>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</si>
  <si>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</si>
  <si>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</si>
  <si>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</si>
  <si>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</si>
  <si>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</si>
  <si>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</si>
  <si>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</si>
  <si>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</si>
  <si>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</si>
  <si>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</si>
  <si>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</si>
  <si>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</si>
  <si>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</si>
  <si>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</si>
  <si>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</si>
  <si>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</si>
  <si>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</si>
  <si>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</si>
  <si>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</si>
  <si>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</si>
  <si>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</si>
  <si>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</si>
  <si>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</si>
  <si>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</si>
  <si>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</si>
  <si>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</si>
  <si>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</si>
  <si>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</si>
  <si>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</si>
  <si>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</si>
  <si>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</si>
  <si>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</si>
  <si>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</si>
  <si>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</si>
  <si>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</si>
  <si>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</si>
  <si>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</si>
  <si>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</si>
  <si>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</si>
  <si>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</si>
  <si>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</si>
  <si>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</si>
  <si>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</si>
  <si>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</si>
  <si>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</si>
  <si>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</si>
  <si>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</si>
  <si>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</si>
  <si>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</si>
  <si>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</si>
  <si>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</si>
  <si>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</si>
  <si>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</si>
  <si>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</si>
  <si>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</si>
  <si>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</si>
  <si>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</si>
  <si>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</si>
  <si>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</si>
  <si>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</si>
  <si>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</si>
  <si>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</si>
  <si>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</si>
  <si>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</si>
  <si>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</si>
  <si>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</si>
  <si>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</si>
  <si>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</si>
  <si>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</si>
  <si>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</si>
  <si>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</si>
  <si>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</si>
  <si>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</si>
  <si>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</si>
  <si>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</si>
  <si>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</si>
  <si>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</si>
  <si>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</si>
  <si>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</si>
  <si>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</si>
  <si>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</si>
  <si>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</si>
  <si>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</si>
  <si>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</si>
  <si>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</si>
  <si>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</si>
  <si>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</si>
  <si>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</si>
  <si>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</si>
  <si>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</si>
  <si>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</si>
  <si>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</si>
  <si>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</si>
  <si>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</si>
  <si>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</si>
  <si>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</si>
  <si>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</si>
  <si>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</si>
  <si>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</si>
  <si>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</si>
  <si>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</si>
  <si>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</si>
  <si>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</si>
  <si>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</si>
  <si>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</si>
  <si>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</si>
  <si>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</si>
  <si>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</si>
  <si>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</si>
  <si>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</si>
  <si>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</si>
  <si>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</si>
  <si>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</si>
  <si>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</si>
  <si>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</si>
  <si>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</si>
  <si>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</si>
  <si>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</si>
  <si>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</si>
  <si>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</si>
  <si>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</si>
  <si>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</si>
  <si>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</si>
  <si>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</si>
  <si>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</si>
  <si>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</si>
  <si>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</si>
  <si>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</si>
  <si>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</si>
  <si>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</si>
  <si>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</si>
  <si>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</si>
  <si>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</si>
  <si>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</si>
  <si>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</si>
  <si>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</si>
  <si>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</si>
  <si>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</si>
  <si>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</si>
  <si>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</si>
  <si>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</si>
  <si>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</si>
  <si>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</si>
  <si>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</si>
  <si>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</si>
  <si>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</si>
  <si>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</si>
  <si>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</si>
  <si>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11035</t>
  </si>
  <si>
    <t>RANST</t>
  </si>
  <si>
    <t>Paarden&amp;pony's 200 - 600 kg</t>
  </si>
  <si>
    <t>Paarden&amp;pony's &lt; 200 kg</t>
  </si>
  <si>
    <t>op basis van VEA (maart 2018) en Inventaris Hernieuwbare Energiebronnen (juni 2018)</t>
  </si>
  <si>
    <t>VEA (juni 2018)</t>
  </si>
  <si>
    <t>Groeikracht Abelebaan NV</t>
  </si>
  <si>
    <t>Abelebaan 66, 2520 Broechem</t>
  </si>
  <si>
    <t>WKK-0165 Groeikracht Abelebaan</t>
  </si>
  <si>
    <t>interne verbrandingsmotor</t>
  </si>
  <si>
    <t>WKK interne verbrandinsgmotor (gas)</t>
  </si>
  <si>
    <t>IVEKA</t>
  </si>
  <si>
    <t>Verdonck-Van Dessel bvba</t>
  </si>
  <si>
    <t>Achterlo 17 , 2520 Broechem</t>
  </si>
  <si>
    <t>WKK-0191 Verdonck-Van Dessel</t>
  </si>
  <si>
    <t>Cummins Cogeneration Belgium bvba</t>
  </si>
  <si>
    <t>Interleuvenlaan 62 , 3001 Heverlee</t>
  </si>
  <si>
    <t>WKK-0194 Adriplant</t>
  </si>
  <si>
    <t>Klaverstraat 4 , 2520 Ranst</t>
  </si>
  <si>
    <t>Almo Energie bvba</t>
  </si>
  <si>
    <t>Bistweg 37 , 2520 Broechem</t>
  </si>
  <si>
    <t>WKK-0232 Almo Energie</t>
  </si>
  <si>
    <t>Johan Bossaerts</t>
  </si>
  <si>
    <t>Laarstraat 35 , 2520 Ranst</t>
  </si>
  <si>
    <t>WKK-0268 Johan Bossaerts</t>
  </si>
  <si>
    <t>Biofors bvba in faling</t>
  </si>
  <si>
    <t>Ginnegemveld 2 , 2520 Ranst</t>
  </si>
  <si>
    <t>WKK-0315 Biofors</t>
  </si>
  <si>
    <t>Rafael Bossaerts</t>
  </si>
  <si>
    <t>Moorstraat 21 , 2520 Broechem</t>
  </si>
  <si>
    <t>WKK-0273 Raf Bossaerts</t>
  </si>
  <si>
    <t>Groeikracht Broechem NV</t>
  </si>
  <si>
    <t>Bistweg 37, 2520 Broechem</t>
  </si>
  <si>
    <t>WKK-0040a Groeikracht Broechem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</si>
</sst>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11035</v>
      </c>
      <c r="B6" s="397"/>
      <c r="C6" s="398"/>
    </row>
    <row r="7" spans="1:7" s="395" customFormat="1" ht="15.75" customHeight="1">
      <c r="A7" s="399" t="str">
        <f>txtMunicipality</f>
        <v>RANST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0.20433134013212079</v>
      </c>
      <c r="C17" s="510">
        <f ca="1">'EF ele_warmte'!B22</f>
        <v>0.20423071109919316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0.20433134013212079</v>
      </c>
      <c r="C29" s="511">
        <f ca="1">'EF ele_warmte'!B22</f>
        <v>0.20423071109919316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11035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7314</v>
      </c>
      <c r="C9" s="338">
        <v>7647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1395</v>
      </c>
    </row>
    <row r="15" spans="1:6">
      <c r="A15" s="1286" t="s">
        <v>184</v>
      </c>
      <c r="B15" s="335">
        <v>355</v>
      </c>
    </row>
    <row r="16" spans="1:6">
      <c r="A16" s="1286" t="s">
        <v>6</v>
      </c>
      <c r="B16" s="335">
        <v>220</v>
      </c>
    </row>
    <row r="17" spans="1:6">
      <c r="A17" s="1286" t="s">
        <v>7</v>
      </c>
      <c r="B17" s="335">
        <v>233</v>
      </c>
    </row>
    <row r="18" spans="1:6">
      <c r="A18" s="1286" t="s">
        <v>8</v>
      </c>
      <c r="B18" s="335">
        <v>391</v>
      </c>
    </row>
    <row r="19" spans="1:6">
      <c r="A19" s="1286" t="s">
        <v>9</v>
      </c>
      <c r="B19" s="335">
        <v>361</v>
      </c>
    </row>
    <row r="20" spans="1:6">
      <c r="A20" s="1286" t="s">
        <v>10</v>
      </c>
      <c r="B20" s="335">
        <v>245</v>
      </c>
    </row>
    <row r="21" spans="1:6">
      <c r="A21" s="1286" t="s">
        <v>11</v>
      </c>
      <c r="B21" s="335">
        <v>838</v>
      </c>
    </row>
    <row r="22" spans="1:6">
      <c r="A22" s="1286" t="s">
        <v>12</v>
      </c>
      <c r="B22" s="335">
        <v>3872</v>
      </c>
    </row>
    <row r="23" spans="1:6">
      <c r="A23" s="1286" t="s">
        <v>13</v>
      </c>
      <c r="B23" s="335">
        <v>51</v>
      </c>
    </row>
    <row r="24" spans="1:6">
      <c r="A24" s="1286" t="s">
        <v>14</v>
      </c>
      <c r="B24" s="335">
        <v>2</v>
      </c>
    </row>
    <row r="25" spans="1:6">
      <c r="A25" s="1286" t="s">
        <v>15</v>
      </c>
      <c r="B25" s="335">
        <v>214</v>
      </c>
    </row>
    <row r="26" spans="1:6">
      <c r="A26" s="1286" t="s">
        <v>16</v>
      </c>
      <c r="B26" s="335">
        <v>189</v>
      </c>
    </row>
    <row r="27" spans="1:6">
      <c r="A27" s="1286" t="s">
        <v>17</v>
      </c>
      <c r="B27" s="335">
        <v>5</v>
      </c>
    </row>
    <row r="28" spans="1:6" s="341" customFormat="1">
      <c r="A28" s="1287" t="s">
        <v>18</v>
      </c>
      <c r="B28" s="1287">
        <v>30876</v>
      </c>
    </row>
    <row r="29" spans="1:6">
      <c r="A29" s="1287" t="s">
        <v>944</v>
      </c>
      <c r="B29" s="1287">
        <v>202</v>
      </c>
      <c r="C29" s="341"/>
      <c r="D29" s="341"/>
      <c r="E29" s="341"/>
      <c r="F29" s="341"/>
    </row>
    <row r="30" spans="1:6">
      <c r="A30" s="1282" t="s">
        <v>945</v>
      </c>
      <c r="B30" s="1282">
        <v>29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67620.101876515502</v>
      </c>
    </row>
    <row r="36" spans="1:6">
      <c r="A36" s="1286" t="s">
        <v>25</v>
      </c>
      <c r="B36" s="1286" t="s">
        <v>27</v>
      </c>
      <c r="C36" s="335">
        <v>4</v>
      </c>
      <c r="D36" s="335">
        <v>28694099.674133301</v>
      </c>
      <c r="E36" s="335">
        <v>0</v>
      </c>
      <c r="F36" s="335">
        <v>0</v>
      </c>
    </row>
    <row r="37" spans="1:6">
      <c r="A37" s="1286" t="s">
        <v>25</v>
      </c>
      <c r="B37" s="1286" t="s">
        <v>28</v>
      </c>
      <c r="C37" s="335">
        <v>0</v>
      </c>
      <c r="D37" s="335">
        <v>0</v>
      </c>
      <c r="E37" s="335">
        <v>0</v>
      </c>
      <c r="F37" s="335">
        <v>0</v>
      </c>
    </row>
    <row r="38" spans="1:6">
      <c r="A38" s="1286" t="s">
        <v>25</v>
      </c>
      <c r="B38" s="1286" t="s">
        <v>29</v>
      </c>
      <c r="C38" s="335">
        <v>2</v>
      </c>
      <c r="D38" s="335">
        <v>42565834.128700003</v>
      </c>
      <c r="E38" s="335">
        <v>6</v>
      </c>
      <c r="F38" s="335">
        <v>366773.21873331798</v>
      </c>
    </row>
    <row r="39" spans="1:6">
      <c r="A39" s="1286" t="s">
        <v>30</v>
      </c>
      <c r="B39" s="1286" t="s">
        <v>31</v>
      </c>
      <c r="C39" s="335">
        <v>5329</v>
      </c>
      <c r="D39" s="335">
        <v>108864124.201565</v>
      </c>
      <c r="E39" s="335">
        <v>7161</v>
      </c>
      <c r="F39" s="335">
        <v>35043501.780529901</v>
      </c>
    </row>
    <row r="40" spans="1:6">
      <c r="A40" s="1286" t="s">
        <v>30</v>
      </c>
      <c r="B40" s="1286" t="s">
        <v>29</v>
      </c>
      <c r="C40" s="335">
        <v>0</v>
      </c>
      <c r="D40" s="335">
        <v>0</v>
      </c>
      <c r="E40" s="335">
        <v>0</v>
      </c>
      <c r="F40" s="335">
        <v>0</v>
      </c>
    </row>
    <row r="41" spans="1:6">
      <c r="A41" s="1286" t="s">
        <v>32</v>
      </c>
      <c r="B41" s="1286" t="s">
        <v>33</v>
      </c>
      <c r="C41" s="335">
        <v>44</v>
      </c>
      <c r="D41" s="335">
        <v>1165089.9761793599</v>
      </c>
      <c r="E41" s="335">
        <v>147</v>
      </c>
      <c r="F41" s="335">
        <v>1204028.31101888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80773.323851972993</v>
      </c>
      <c r="E44" s="335">
        <v>22</v>
      </c>
      <c r="F44" s="335">
        <v>184503.09548013</v>
      </c>
    </row>
    <row r="45" spans="1:6">
      <c r="A45" s="1286" t="s">
        <v>32</v>
      </c>
      <c r="B45" s="1286" t="s">
        <v>37</v>
      </c>
      <c r="C45" s="335">
        <v>0</v>
      </c>
      <c r="D45" s="335">
        <v>0</v>
      </c>
      <c r="E45" s="335">
        <v>3</v>
      </c>
      <c r="F45" s="335">
        <v>49870.731985056002</v>
      </c>
    </row>
    <row r="46" spans="1:6">
      <c r="A46" s="1286" t="s">
        <v>32</v>
      </c>
      <c r="B46" s="1286" t="s">
        <v>38</v>
      </c>
      <c r="C46" s="335">
        <v>0</v>
      </c>
      <c r="D46" s="335">
        <v>0</v>
      </c>
      <c r="E46" s="335">
        <v>0</v>
      </c>
      <c r="F46" s="335">
        <v>0</v>
      </c>
    </row>
    <row r="47" spans="1:6">
      <c r="A47" s="1286" t="s">
        <v>32</v>
      </c>
      <c r="B47" s="1286" t="s">
        <v>39</v>
      </c>
      <c r="C47" s="335">
        <v>0</v>
      </c>
      <c r="D47" s="335">
        <v>0</v>
      </c>
      <c r="E47" s="335">
        <v>3</v>
      </c>
      <c r="F47" s="335">
        <v>431069.36575279903</v>
      </c>
    </row>
    <row r="48" spans="1:6">
      <c r="A48" s="1286" t="s">
        <v>32</v>
      </c>
      <c r="B48" s="1286" t="s">
        <v>29</v>
      </c>
      <c r="C48" s="335">
        <v>44</v>
      </c>
      <c r="D48" s="335">
        <v>99003964.460471898</v>
      </c>
      <c r="E48" s="335">
        <v>46</v>
      </c>
      <c r="F48" s="335">
        <v>31139178.444239099</v>
      </c>
    </row>
    <row r="49" spans="1:6">
      <c r="A49" s="1286" t="s">
        <v>32</v>
      </c>
      <c r="B49" s="1286" t="s">
        <v>40</v>
      </c>
      <c r="C49" s="335">
        <v>0</v>
      </c>
      <c r="D49" s="335">
        <v>0</v>
      </c>
      <c r="E49" s="335">
        <v>0</v>
      </c>
      <c r="F49" s="335">
        <v>0</v>
      </c>
    </row>
    <row r="50" spans="1:6">
      <c r="A50" s="1286" t="s">
        <v>32</v>
      </c>
      <c r="B50" s="1286" t="s">
        <v>41</v>
      </c>
      <c r="C50" s="335">
        <v>9</v>
      </c>
      <c r="D50" s="335">
        <v>731302.38221965695</v>
      </c>
      <c r="E50" s="335">
        <v>9</v>
      </c>
      <c r="F50" s="335">
        <v>413167.14528438699</v>
      </c>
    </row>
    <row r="51" spans="1:6">
      <c r="A51" s="1286" t="s">
        <v>42</v>
      </c>
      <c r="B51" s="1286" t="s">
        <v>43</v>
      </c>
      <c r="C51" s="335">
        <v>19</v>
      </c>
      <c r="D51" s="335">
        <v>40131962.2533383</v>
      </c>
      <c r="E51" s="335">
        <v>101</v>
      </c>
      <c r="F51" s="335">
        <v>1759053.3497228001</v>
      </c>
    </row>
    <row r="52" spans="1:6">
      <c r="A52" s="1286" t="s">
        <v>42</v>
      </c>
      <c r="B52" s="1286" t="s">
        <v>29</v>
      </c>
      <c r="C52" s="335">
        <v>4</v>
      </c>
      <c r="D52" s="335">
        <v>1692564.3049850699</v>
      </c>
      <c r="E52" s="335">
        <v>2</v>
      </c>
      <c r="F52" s="335">
        <v>54468.380004223203</v>
      </c>
    </row>
    <row r="53" spans="1:6">
      <c r="A53" s="1286" t="s">
        <v>44</v>
      </c>
      <c r="B53" s="1286" t="s">
        <v>45</v>
      </c>
      <c r="C53" s="335">
        <v>109</v>
      </c>
      <c r="D53" s="335">
        <v>2616432.0859478</v>
      </c>
      <c r="E53" s="335">
        <v>204</v>
      </c>
      <c r="F53" s="335">
        <v>1125504.5195873899</v>
      </c>
    </row>
    <row r="54" spans="1:6">
      <c r="A54" s="1286" t="s">
        <v>46</v>
      </c>
      <c r="B54" s="1286" t="s">
        <v>47</v>
      </c>
      <c r="C54" s="335">
        <v>0</v>
      </c>
      <c r="D54" s="335">
        <v>0</v>
      </c>
      <c r="E54" s="335">
        <v>1</v>
      </c>
      <c r="F54" s="335">
        <v>1402675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24</v>
      </c>
      <c r="D57" s="335">
        <v>728873.69269241102</v>
      </c>
      <c r="E57" s="335">
        <v>117</v>
      </c>
      <c r="F57" s="335">
        <v>14450385.533550199</v>
      </c>
    </row>
    <row r="58" spans="1:6">
      <c r="A58" s="1286" t="s">
        <v>49</v>
      </c>
      <c r="B58" s="1286" t="s">
        <v>51</v>
      </c>
      <c r="C58" s="335">
        <v>14</v>
      </c>
      <c r="D58" s="335">
        <v>6138433.61129326</v>
      </c>
      <c r="E58" s="335">
        <v>18</v>
      </c>
      <c r="F58" s="335">
        <v>1714478.0879764501</v>
      </c>
    </row>
    <row r="59" spans="1:6">
      <c r="A59" s="1286" t="s">
        <v>49</v>
      </c>
      <c r="B59" s="1286" t="s">
        <v>52</v>
      </c>
      <c r="C59" s="335">
        <v>81</v>
      </c>
      <c r="D59" s="335">
        <v>3707586.5297440998</v>
      </c>
      <c r="E59" s="335">
        <v>168</v>
      </c>
      <c r="F59" s="335">
        <v>6781079.83395606</v>
      </c>
    </row>
    <row r="60" spans="1:6">
      <c r="A60" s="1286" t="s">
        <v>49</v>
      </c>
      <c r="B60" s="1286" t="s">
        <v>53</v>
      </c>
      <c r="C60" s="335">
        <v>41</v>
      </c>
      <c r="D60" s="335">
        <v>3489878.6076513599</v>
      </c>
      <c r="E60" s="335">
        <v>51</v>
      </c>
      <c r="F60" s="335">
        <v>1048399.4764009099</v>
      </c>
    </row>
    <row r="61" spans="1:6">
      <c r="A61" s="1286" t="s">
        <v>49</v>
      </c>
      <c r="B61" s="1286" t="s">
        <v>54</v>
      </c>
      <c r="C61" s="335">
        <v>144</v>
      </c>
      <c r="D61" s="335">
        <v>7517977.5717950296</v>
      </c>
      <c r="E61" s="335">
        <v>253</v>
      </c>
      <c r="F61" s="335">
        <v>4883975.0645234697</v>
      </c>
    </row>
    <row r="62" spans="1:6">
      <c r="A62" s="1286" t="s">
        <v>49</v>
      </c>
      <c r="B62" s="1286" t="s">
        <v>55</v>
      </c>
      <c r="C62" s="335">
        <v>5</v>
      </c>
      <c r="D62" s="335">
        <v>690829.95266375504</v>
      </c>
      <c r="E62" s="335">
        <v>10</v>
      </c>
      <c r="F62" s="335">
        <v>132993.844713928</v>
      </c>
    </row>
    <row r="63" spans="1:6">
      <c r="A63" s="1286" t="s">
        <v>49</v>
      </c>
      <c r="B63" s="1286" t="s">
        <v>29</v>
      </c>
      <c r="C63" s="335">
        <v>98</v>
      </c>
      <c r="D63" s="335">
        <v>24683029.116048399</v>
      </c>
      <c r="E63" s="335">
        <v>115</v>
      </c>
      <c r="F63" s="335">
        <v>2466370.1223046398</v>
      </c>
    </row>
    <row r="64" spans="1:6">
      <c r="A64" s="1286" t="s">
        <v>56</v>
      </c>
      <c r="B64" s="1286" t="s">
        <v>57</v>
      </c>
      <c r="C64" s="335">
        <v>0</v>
      </c>
      <c r="D64" s="335">
        <v>0</v>
      </c>
      <c r="E64" s="335">
        <v>0</v>
      </c>
      <c r="F64" s="335">
        <v>0</v>
      </c>
    </row>
    <row r="65" spans="1:6">
      <c r="A65" s="1286" t="s">
        <v>56</v>
      </c>
      <c r="B65" s="1286" t="s">
        <v>29</v>
      </c>
      <c r="C65" s="335">
        <v>6</v>
      </c>
      <c r="D65" s="335">
        <v>245532.76217412701</v>
      </c>
      <c r="E65" s="335">
        <v>5</v>
      </c>
      <c r="F65" s="335">
        <v>27509.062499220301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160227.611762849</v>
      </c>
      <c r="E68" s="335">
        <v>21</v>
      </c>
      <c r="F68" s="335">
        <v>259840.69011194099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52770813</v>
      </c>
      <c r="E73" s="335">
        <v>91096804.975939333</v>
      </c>
    </row>
    <row r="74" spans="1:6">
      <c r="A74" s="1286" t="s">
        <v>64</v>
      </c>
      <c r="B74" s="1286" t="s">
        <v>772</v>
      </c>
      <c r="C74" s="1297" t="s">
        <v>766</v>
      </c>
      <c r="D74" s="335">
        <v>4732973.9318795567</v>
      </c>
      <c r="E74" s="335">
        <v>7885033.5328513226</v>
      </c>
    </row>
    <row r="75" spans="1:6">
      <c r="A75" s="1286" t="s">
        <v>65</v>
      </c>
      <c r="B75" s="1286" t="s">
        <v>771</v>
      </c>
      <c r="C75" s="1297" t="s">
        <v>767</v>
      </c>
      <c r="D75" s="335">
        <v>5618966</v>
      </c>
      <c r="E75" s="335">
        <v>9335679.369380651</v>
      </c>
    </row>
    <row r="76" spans="1:6">
      <c r="A76" s="1286" t="s">
        <v>65</v>
      </c>
      <c r="B76" s="1286" t="s">
        <v>772</v>
      </c>
      <c r="C76" s="1297" t="s">
        <v>768</v>
      </c>
      <c r="D76" s="335">
        <v>23451.7</v>
      </c>
      <c r="E76" s="335">
        <v>35266.699639233833</v>
      </c>
    </row>
    <row r="77" spans="1:6">
      <c r="A77" s="1286" t="s">
        <v>66</v>
      </c>
      <c r="B77" s="1286" t="s">
        <v>771</v>
      </c>
      <c r="C77" s="1297" t="s">
        <v>769</v>
      </c>
      <c r="D77" s="335">
        <v>243737951</v>
      </c>
      <c r="E77" s="335">
        <v>259368676.24453667</v>
      </c>
    </row>
    <row r="78" spans="1:6">
      <c r="A78" s="1282" t="s">
        <v>66</v>
      </c>
      <c r="B78" s="1282" t="s">
        <v>772</v>
      </c>
      <c r="C78" s="1282" t="s">
        <v>770</v>
      </c>
      <c r="D78" s="1282">
        <v>53642081</v>
      </c>
      <c r="E78" s="1282">
        <v>59762132.29136391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1022444.1362408858</v>
      </c>
      <c r="C83" s="335">
        <v>962469.06027598644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2971.2113643138237</v>
      </c>
    </row>
    <row r="92" spans="1:6">
      <c r="A92" s="1282" t="s">
        <v>69</v>
      </c>
      <c r="B92" s="338">
        <v>999.2487326579826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3910</v>
      </c>
    </row>
    <row r="98" spans="1:6">
      <c r="A98" s="1286" t="s">
        <v>72</v>
      </c>
      <c r="B98" s="335">
        <v>3</v>
      </c>
    </row>
    <row r="99" spans="1:6">
      <c r="A99" s="1286" t="s">
        <v>73</v>
      </c>
      <c r="B99" s="335">
        <v>58</v>
      </c>
    </row>
    <row r="100" spans="1:6">
      <c r="A100" s="1286" t="s">
        <v>74</v>
      </c>
      <c r="B100" s="335">
        <v>755</v>
      </c>
    </row>
    <row r="101" spans="1:6">
      <c r="A101" s="1286" t="s">
        <v>75</v>
      </c>
      <c r="B101" s="335">
        <v>168</v>
      </c>
    </row>
    <row r="102" spans="1:6">
      <c r="A102" s="1286" t="s">
        <v>76</v>
      </c>
      <c r="B102" s="335">
        <v>70</v>
      </c>
    </row>
    <row r="103" spans="1:6">
      <c r="A103" s="1286" t="s">
        <v>77</v>
      </c>
      <c r="B103" s="335">
        <v>164</v>
      </c>
    </row>
    <row r="104" spans="1:6">
      <c r="A104" s="1286" t="s">
        <v>78</v>
      </c>
      <c r="B104" s="335">
        <v>1316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69</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107262.27022744479</v>
      </c>
      <c r="C3" s="44" t="s">
        <v>170</v>
      </c>
      <c r="D3" s="44"/>
      <c r="E3" s="157"/>
      <c r="F3" s="44"/>
      <c r="G3" s="44"/>
      <c r="H3" s="44"/>
      <c r="I3" s="44"/>
      <c r="J3" s="44"/>
      <c r="K3" s="97"/>
    </row>
    <row r="4" spans="1:11">
      <c r="A4" s="365" t="s">
        <v>171</v>
      </c>
      <c r="B4" s="50">
        <f>IF(ISERROR('SEAP template'!B78+'SEAP template'!C78),0,'SEAP template'!B78+'SEAP template'!C78)</f>
        <v>58262.960096971801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11088.195882352944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0.20433134013212079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15840.279831932779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77560.71428571429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0.20423071109919316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1402.675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1402.675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0.20433134013212079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286.61046251982253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35043.501780529899</v>
      </c>
      <c r="C5" s="18">
        <f>IF(ISERROR('Eigen informatie GS &amp; warmtenet'!B57),0,'Eigen informatie GS &amp; warmtenet'!B57)</f>
        <v>0</v>
      </c>
      <c r="D5" s="31">
        <f>(SUM(HH_hh_gas_kWh,HH_rest_gas_kWh)/1000)*0.902</f>
        <v>98195.440029811623</v>
      </c>
      <c r="E5" s="18">
        <f>B46*B57</f>
        <v>2527.4325106907522</v>
      </c>
      <c r="F5" s="18">
        <f>B51*B62</f>
        <v>0</v>
      </c>
      <c r="G5" s="19"/>
      <c r="H5" s="18"/>
      <c r="I5" s="18"/>
      <c r="J5" s="18">
        <f>B50*B61+C50*C61</f>
        <v>697.4101159553727</v>
      </c>
      <c r="K5" s="18"/>
      <c r="L5" s="18"/>
      <c r="M5" s="18"/>
      <c r="N5" s="18">
        <f>B48*B59+C48*C59</f>
        <v>23774.735294314458</v>
      </c>
      <c r="O5" s="18">
        <f>B69*B70*B71</f>
        <v>121.94000000000001</v>
      </c>
      <c r="P5" s="18">
        <f>B77*B78*B79/1000-B77*B78*B79/1000/B80</f>
        <v>438.5333333333333</v>
      </c>
    </row>
    <row r="6" spans="1:16">
      <c r="A6" s="17" t="s">
        <v>639</v>
      </c>
      <c r="B6" s="780">
        <f>kWh_PV_kleiner_dan_10kW</f>
        <v>2971.2113643138237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38014.713144843721</v>
      </c>
      <c r="C8" s="22">
        <f>C5</f>
        <v>0</v>
      </c>
      <c r="D8" s="22">
        <f>D5</f>
        <v>98195.440029811623</v>
      </c>
      <c r="E8" s="22">
        <f>E5</f>
        <v>2527.4325106907522</v>
      </c>
      <c r="F8" s="22">
        <f>F5</f>
        <v>0</v>
      </c>
      <c r="G8" s="22"/>
      <c r="H8" s="22"/>
      <c r="I8" s="22"/>
      <c r="J8" s="22">
        <f>J5</f>
        <v>697.4101159553727</v>
      </c>
      <c r="K8" s="22"/>
      <c r="L8" s="22">
        <f>L5</f>
        <v>0</v>
      </c>
      <c r="M8" s="22">
        <f>M5</f>
        <v>0</v>
      </c>
      <c r="N8" s="22">
        <f>N5</f>
        <v>23774.735294314458</v>
      </c>
      <c r="O8" s="22">
        <f>O5</f>
        <v>121.94000000000001</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0.20433134013212079</v>
      </c>
      <c r="C10" s="26">
        <f ca="1">'EF ele_warmte'!B22</f>
        <v>0.20423071109919316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7767.5972816240655</v>
      </c>
      <c r="C12" s="24">
        <f ca="1">C10*C8</f>
        <v>0</v>
      </c>
      <c r="D12" s="24">
        <f>D8*D10</f>
        <v>19835.478886021949</v>
      </c>
      <c r="E12" s="24">
        <f>E10*E8</f>
        <v>573.72717992680077</v>
      </c>
      <c r="F12" s="24">
        <f>F10*F8</f>
        <v>0</v>
      </c>
      <c r="G12" s="24"/>
      <c r="H12" s="24"/>
      <c r="I12" s="24"/>
      <c r="J12" s="24">
        <f>J10*J8</f>
        <v>246.88318104820192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3910</v>
      </c>
      <c r="C18" s="169" t="s">
        <v>111</v>
      </c>
      <c r="D18" s="231"/>
      <c r="E18" s="16"/>
    </row>
    <row r="19" spans="1:7">
      <c r="A19" s="174" t="s">
        <v>72</v>
      </c>
      <c r="B19" s="38">
        <f>aantalw2001_ander</f>
        <v>3</v>
      </c>
      <c r="C19" s="169" t="s">
        <v>111</v>
      </c>
      <c r="D19" s="232"/>
      <c r="E19" s="16"/>
    </row>
    <row r="20" spans="1:7">
      <c r="A20" s="174" t="s">
        <v>73</v>
      </c>
      <c r="B20" s="38">
        <f>aantalw2001_propaan</f>
        <v>58</v>
      </c>
      <c r="C20" s="170">
        <f>IF(ISERROR(B20/SUM($B$20,$B$21,$B$22)*100),0,B20/SUM($B$20,$B$21,$B$22)*100)</f>
        <v>5.9123343527013255</v>
      </c>
      <c r="D20" s="232"/>
      <c r="E20" s="16"/>
    </row>
    <row r="21" spans="1:7">
      <c r="A21" s="174" t="s">
        <v>74</v>
      </c>
      <c r="B21" s="38">
        <f>aantalw2001_elektriciteit</f>
        <v>755</v>
      </c>
      <c r="C21" s="170">
        <f>IF(ISERROR(B21/SUM($B$20,$B$21,$B$22)*100),0,B21/SUM($B$20,$B$21,$B$22)*100)</f>
        <v>76.962283384301728</v>
      </c>
      <c r="D21" s="232"/>
      <c r="E21" s="16"/>
    </row>
    <row r="22" spans="1:7">
      <c r="A22" s="174" t="s">
        <v>75</v>
      </c>
      <c r="B22" s="38">
        <f>aantalw2001_hout</f>
        <v>168</v>
      </c>
      <c r="C22" s="170">
        <f>IF(ISERROR(B22/SUM($B$20,$B$21,$B$22)*100),0,B22/SUM($B$20,$B$21,$B$22)*100)</f>
        <v>17.12538226299694</v>
      </c>
      <c r="D22" s="232"/>
      <c r="E22" s="16"/>
    </row>
    <row r="23" spans="1:7">
      <c r="A23" s="174" t="s">
        <v>76</v>
      </c>
      <c r="B23" s="38">
        <f>aantalw2001_niet_gespec</f>
        <v>70</v>
      </c>
      <c r="C23" s="169" t="s">
        <v>111</v>
      </c>
      <c r="D23" s="231"/>
      <c r="E23" s="16"/>
    </row>
    <row r="24" spans="1:7">
      <c r="A24" s="174" t="s">
        <v>77</v>
      </c>
      <c r="B24" s="38">
        <f>aantalw2001_steenkool</f>
        <v>164</v>
      </c>
      <c r="C24" s="169" t="s">
        <v>111</v>
      </c>
      <c r="D24" s="232"/>
      <c r="E24" s="16"/>
    </row>
    <row r="25" spans="1:7">
      <c r="A25" s="174" t="s">
        <v>78</v>
      </c>
      <c r="B25" s="38">
        <f>aantalw2001_stookolie</f>
        <v>1316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7314</v>
      </c>
      <c r="C28" s="37"/>
      <c r="D28" s="231"/>
    </row>
    <row r="29" spans="1:7" s="16" customFormat="1">
      <c r="A29" s="233" t="s">
        <v>666</v>
      </c>
      <c r="B29" s="38">
        <f>SUM(HH_hh_gas_aantal,HH_rest_gas_aantal)</f>
        <v>5329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5329</v>
      </c>
      <c r="C32" s="170">
        <f>IF(ISERROR(B32/SUM($B$32,$B$34,$B$35,$B$36,$B$38,$B$39)*100),0,B32/SUM($B$32,$B$34,$B$35,$B$36,$B$38,$B$39)*100)</f>
        <v>73.09011109587162</v>
      </c>
      <c r="D32" s="236"/>
      <c r="G32" s="16"/>
    </row>
    <row r="33" spans="1:7">
      <c r="A33" s="174" t="s">
        <v>72</v>
      </c>
      <c r="B33" s="35" t="s">
        <v>111</v>
      </c>
      <c r="C33" s="170"/>
      <c r="D33" s="236"/>
      <c r="G33" s="16"/>
    </row>
    <row r="34" spans="1:7">
      <c r="A34" s="174" t="s">
        <v>73</v>
      </c>
      <c r="B34" s="34">
        <f>IF((($B$28-$B$32-$B$39-$B$77-$B$38)*C20/100)&lt;0,0,($B$28-$B$32-$B$39-$B$77-$B$38)*C20/100)</f>
        <v>114.69337410805301</v>
      </c>
      <c r="C34" s="170">
        <f>IF(ISERROR(B34/SUM($B$32,$B$34,$B$35,$B$36,$B$38,$B$39)*100),0,B34/SUM($B$32,$B$34,$B$35,$B$36,$B$38,$B$39)*100)</f>
        <v>1.5730815266500207</v>
      </c>
      <c r="D34" s="236"/>
      <c r="G34" s="16"/>
    </row>
    <row r="35" spans="1:7">
      <c r="A35" s="174" t="s">
        <v>74</v>
      </c>
      <c r="B35" s="34">
        <f>IF((($B$28-$B$32-$B$39-$B$77-$B$38)*C21/100)&lt;0,0,($B$28-$B$32-$B$39-$B$77-$B$38)*C21/100)</f>
        <v>1492.9913353720692</v>
      </c>
      <c r="C35" s="170">
        <f>IF(ISERROR(B35/SUM($B$32,$B$34,$B$35,$B$36,$B$38,$B$39)*100),0,B35/SUM($B$32,$B$34,$B$35,$B$36,$B$38,$B$39)*100)</f>
        <v>20.477181941737339</v>
      </c>
      <c r="D35" s="236"/>
      <c r="G35" s="16"/>
    </row>
    <row r="36" spans="1:7">
      <c r="A36" s="174" t="s">
        <v>75</v>
      </c>
      <c r="B36" s="34">
        <f>IF((($B$28-$B$32-$B$39-$B$77-$B$38)*C22/100)&lt;0,0,($B$28-$B$32-$B$39-$B$77-$B$38)*C22/100)</f>
        <v>332.21529051987767</v>
      </c>
      <c r="C36" s="170">
        <f>IF(ISERROR(B36/SUM($B$32,$B$34,$B$35,$B$36,$B$38,$B$39)*100),0,B36/SUM($B$32,$B$34,$B$35,$B$36,$B$38,$B$39)*100)</f>
        <v>4.5565120082276458</v>
      </c>
      <c r="D36" s="236"/>
      <c r="G36" s="16"/>
    </row>
    <row r="37" spans="1:7">
      <c r="A37" s="174" t="s">
        <v>76</v>
      </c>
      <c r="B37" s="35" t="s">
        <v>111</v>
      </c>
      <c r="C37" s="170"/>
      <c r="D37" s="176"/>
      <c r="G37" s="16"/>
    </row>
    <row r="38" spans="1:7">
      <c r="A38" s="174" t="s">
        <v>77</v>
      </c>
      <c r="B38" s="34">
        <f>IF((B24-(B29-B18)*0.1)&lt;0,0,B24-(B29-B18)*0.1)</f>
        <v>22.099999999999994</v>
      </c>
      <c r="C38" s="170">
        <f>IF(ISERROR(B38/SUM($B$32,$B$34,$B$35,$B$36,$B$38,$B$39)*100),0,B38/SUM($B$32,$B$34,$B$35,$B$36,$B$38,$B$39)*100)</f>
        <v>0.30311342751337256</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5329</v>
      </c>
      <c r="C44" s="35" t="s">
        <v>111</v>
      </c>
      <c r="D44" s="177"/>
    </row>
    <row r="45" spans="1:7">
      <c r="A45" s="174" t="s">
        <v>72</v>
      </c>
      <c r="B45" s="34" t="str">
        <f t="shared" si="0"/>
        <v>-</v>
      </c>
      <c r="C45" s="35" t="s">
        <v>111</v>
      </c>
      <c r="D45" s="177"/>
    </row>
    <row r="46" spans="1:7">
      <c r="A46" s="174" t="s">
        <v>73</v>
      </c>
      <c r="B46" s="34">
        <f t="shared" si="0"/>
        <v>114.69337410805301</v>
      </c>
      <c r="C46" s="35" t="s">
        <v>111</v>
      </c>
      <c r="D46" s="177"/>
    </row>
    <row r="47" spans="1:7">
      <c r="A47" s="174" t="s">
        <v>74</v>
      </c>
      <c r="B47" s="34">
        <f t="shared" si="0"/>
        <v>1492.9913353720692</v>
      </c>
      <c r="C47" s="35" t="s">
        <v>111</v>
      </c>
      <c r="D47" s="177"/>
    </row>
    <row r="48" spans="1:7">
      <c r="A48" s="174" t="s">
        <v>75</v>
      </c>
      <c r="B48" s="34">
        <f t="shared" si="0"/>
        <v>332.21529051987767</v>
      </c>
      <c r="C48" s="34">
        <f>B48*10</f>
        <v>3322.1529051987768</v>
      </c>
      <c r="D48" s="237"/>
    </row>
    <row r="49" spans="1:6">
      <c r="A49" s="174" t="s">
        <v>76</v>
      </c>
      <c r="B49" s="34" t="str">
        <f t="shared" si="0"/>
        <v>-</v>
      </c>
      <c r="C49" s="35" t="s">
        <v>111</v>
      </c>
      <c r="D49" s="237"/>
    </row>
    <row r="50" spans="1:6">
      <c r="A50" s="174" t="s">
        <v>77</v>
      </c>
      <c r="B50" s="34">
        <f t="shared" si="0"/>
        <v>22.099999999999994</v>
      </c>
      <c r="C50" s="34">
        <f>B50*2</f>
        <v>44.199999999999989</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31477.681963425657</v>
      </c>
      <c r="C5" s="18">
        <f>IF(ISERROR('Eigen informatie GS &amp; warmtenet'!B58),0,'Eigen informatie GS &amp; warmtenet'!B58)</f>
        <v>0</v>
      </c>
      <c r="D5" s="31">
        <f>SUM(D6:D12)</f>
        <v>42354.861391863262</v>
      </c>
      <c r="E5" s="18">
        <f>SUM(E6:E12)</f>
        <v>240.2468005799434</v>
      </c>
      <c r="F5" s="18">
        <f>SUM(F6:F12)</f>
        <v>7560.0812117473433</v>
      </c>
      <c r="G5" s="19"/>
      <c r="H5" s="18"/>
      <c r="I5" s="18"/>
      <c r="J5" s="18">
        <f>SUM(J6:J12)</f>
        <v>0</v>
      </c>
      <c r="K5" s="18"/>
      <c r="L5" s="18"/>
      <c r="M5" s="18"/>
      <c r="N5" s="18">
        <f>SUM(N6:N12)</f>
        <v>8548.2190405058263</v>
      </c>
      <c r="O5" s="18">
        <f>B38*B39*B40</f>
        <v>0</v>
      </c>
      <c r="P5" s="18">
        <f>B46*B47*B48/1000-B46*B47*B48/1000/B49</f>
        <v>0</v>
      </c>
      <c r="R5" s="33"/>
    </row>
    <row r="6" spans="1:18">
      <c r="A6" s="33" t="s">
        <v>54</v>
      </c>
      <c r="B6" s="38">
        <f>B26</f>
        <v>4883.9750645234699</v>
      </c>
      <c r="C6" s="34"/>
      <c r="D6" s="38">
        <f>IF(ISERROR(TER_kantoor_gas_kWh/1000),0,TER_kantoor_gas_kWh/1000)*0.902</f>
        <v>6781.2157697591174</v>
      </c>
      <c r="E6" s="34">
        <f>$C$26*'E Balans VL '!I12/100/3.6*1000000</f>
        <v>8.0155929446756122</v>
      </c>
      <c r="F6" s="34">
        <f>$C$26*('E Balans VL '!L12+'E Balans VL '!N12)/100/3.6*1000000</f>
        <v>575.70574641438463</v>
      </c>
      <c r="G6" s="35"/>
      <c r="H6" s="34"/>
      <c r="I6" s="34"/>
      <c r="J6" s="34">
        <f>$C$26*('E Balans VL '!D12+'E Balans VL '!E12)/100/3.6*1000000</f>
        <v>0</v>
      </c>
      <c r="K6" s="34"/>
      <c r="L6" s="34"/>
      <c r="M6" s="34"/>
      <c r="N6" s="34">
        <f>$C$26*'E Balans VL '!Y12/100/3.6*1000000</f>
        <v>0.98678403427164718</v>
      </c>
      <c r="O6" s="34"/>
      <c r="P6" s="34"/>
      <c r="R6" s="33"/>
    </row>
    <row r="7" spans="1:18">
      <c r="A7" s="33" t="s">
        <v>53</v>
      </c>
      <c r="B7" s="38">
        <f t="shared" ref="B7:B12" si="0">B27</f>
        <v>1048.3994764009099</v>
      </c>
      <c r="C7" s="34"/>
      <c r="D7" s="38">
        <f>IF(ISERROR(TER_horeca_gas_kWh/1000),0,TER_horeca_gas_kWh/1000)*0.902</f>
        <v>3147.8705041015264</v>
      </c>
      <c r="E7" s="34">
        <f>$C$27*'E Balans VL '!I9/100/3.6*1000000</f>
        <v>54.404346444253491</v>
      </c>
      <c r="F7" s="34">
        <f>$C$27*('E Balans VL '!L9+'E Balans VL '!N9)/100/3.6*1000000</f>
        <v>239.24552123711803</v>
      </c>
      <c r="G7" s="35"/>
      <c r="H7" s="34"/>
      <c r="I7" s="34"/>
      <c r="J7" s="34">
        <f>$C$27*('E Balans VL '!D9+'E Balans VL '!E9)/100/3.6*1000000</f>
        <v>0</v>
      </c>
      <c r="K7" s="34"/>
      <c r="L7" s="34"/>
      <c r="M7" s="34"/>
      <c r="N7" s="34">
        <f>$C$27*'E Balans VL '!Y9/100/3.6*1000000</f>
        <v>0.11071050425791526</v>
      </c>
      <c r="O7" s="34"/>
      <c r="P7" s="34"/>
      <c r="R7" s="33"/>
    </row>
    <row r="8" spans="1:18">
      <c r="A8" s="6" t="s">
        <v>52</v>
      </c>
      <c r="B8" s="38">
        <f t="shared" si="0"/>
        <v>6781.0798339560597</v>
      </c>
      <c r="C8" s="34"/>
      <c r="D8" s="38">
        <f>IF(ISERROR(TER_handel_gas_kWh/1000),0,TER_handel_gas_kWh/1000)*0.902</f>
        <v>3344.2430498291778</v>
      </c>
      <c r="E8" s="34">
        <f>$C$28*'E Balans VL '!I13/100/3.6*1000000</f>
        <v>36.516948189812581</v>
      </c>
      <c r="F8" s="34">
        <f>$C$28*('E Balans VL '!L13+'E Balans VL '!N13)/100/3.6*1000000</f>
        <v>1382.8636936864534</v>
      </c>
      <c r="G8" s="35"/>
      <c r="H8" s="34"/>
      <c r="I8" s="34"/>
      <c r="J8" s="34">
        <f>$C$28*('E Balans VL '!D13+'E Balans VL '!E13)/100/3.6*1000000</f>
        <v>0</v>
      </c>
      <c r="K8" s="34"/>
      <c r="L8" s="34"/>
      <c r="M8" s="34"/>
      <c r="N8" s="34">
        <f>$C$28*'E Balans VL '!Y13/100/3.6*1000000</f>
        <v>33.718729028600492</v>
      </c>
      <c r="O8" s="34"/>
      <c r="P8" s="34"/>
      <c r="R8" s="33"/>
    </row>
    <row r="9" spans="1:18">
      <c r="A9" s="33" t="s">
        <v>51</v>
      </c>
      <c r="B9" s="38">
        <f t="shared" si="0"/>
        <v>1714.4780879764501</v>
      </c>
      <c r="C9" s="34"/>
      <c r="D9" s="38">
        <f>IF(ISERROR(TER_gezond_gas_kWh/1000),0,TER_gezond_gas_kWh/1000)*0.902</f>
        <v>5536.8671173865205</v>
      </c>
      <c r="E9" s="34">
        <f>$C$29*'E Balans VL '!I10/100/3.6*1000000</f>
        <v>1.6990672821487884</v>
      </c>
      <c r="F9" s="34">
        <f>$C$29*('E Balans VL '!L10+'E Balans VL '!N10)/100/3.6*1000000</f>
        <v>594.87447859282952</v>
      </c>
      <c r="G9" s="35"/>
      <c r="H9" s="34"/>
      <c r="I9" s="34"/>
      <c r="J9" s="34">
        <f>$C$29*('E Balans VL '!D10+'E Balans VL '!E10)/100/3.6*1000000</f>
        <v>0</v>
      </c>
      <c r="K9" s="34"/>
      <c r="L9" s="34"/>
      <c r="M9" s="34"/>
      <c r="N9" s="34">
        <f>$C$29*'E Balans VL '!Y10/100/3.6*1000000</f>
        <v>14.773509159568381</v>
      </c>
      <c r="O9" s="34"/>
      <c r="P9" s="34"/>
      <c r="R9" s="33"/>
    </row>
    <row r="10" spans="1:18">
      <c r="A10" s="33" t="s">
        <v>50</v>
      </c>
      <c r="B10" s="38">
        <f t="shared" si="0"/>
        <v>14450.385533550199</v>
      </c>
      <c r="C10" s="34"/>
      <c r="D10" s="38">
        <f>IF(ISERROR(TER_ander_gas_kWh/1000),0,TER_ander_gas_kWh/1000)*0.902</f>
        <v>657.44407080855478</v>
      </c>
      <c r="E10" s="34">
        <f>$C$30*'E Balans VL '!I14/100/3.6*1000000</f>
        <v>118.21859579624403</v>
      </c>
      <c r="F10" s="34">
        <f>$C$30*('E Balans VL '!L14+'E Balans VL '!N14)/100/3.6*1000000</f>
        <v>4224.7044304496994</v>
      </c>
      <c r="G10" s="35"/>
      <c r="H10" s="34"/>
      <c r="I10" s="34"/>
      <c r="J10" s="34">
        <f>$C$30*('E Balans VL '!D14+'E Balans VL '!E14)/100/3.6*1000000</f>
        <v>0</v>
      </c>
      <c r="K10" s="34"/>
      <c r="L10" s="34"/>
      <c r="M10" s="34"/>
      <c r="N10" s="34">
        <f>$C$30*'E Balans VL '!Y14/100/3.6*1000000</f>
        <v>8335.9764020707371</v>
      </c>
      <c r="O10" s="34"/>
      <c r="P10" s="34"/>
      <c r="R10" s="33"/>
    </row>
    <row r="11" spans="1:18">
      <c r="A11" s="33" t="s">
        <v>55</v>
      </c>
      <c r="B11" s="38">
        <f t="shared" si="0"/>
        <v>132.99384471392801</v>
      </c>
      <c r="C11" s="34"/>
      <c r="D11" s="38">
        <f>IF(ISERROR(TER_onderwijs_gas_kWh/1000),0,TER_onderwijs_gas_kWh/1000)*0.902</f>
        <v>623.12861730270708</v>
      </c>
      <c r="E11" s="34">
        <f>$C$31*'E Balans VL '!I11/100/3.6*1000000</f>
        <v>8.1971794314230129E-2</v>
      </c>
      <c r="F11" s="34">
        <f>$C$31*('E Balans VL '!L11+'E Balans VL '!N11)/100/3.6*1000000</f>
        <v>51.41757415774061</v>
      </c>
      <c r="G11" s="35"/>
      <c r="H11" s="34"/>
      <c r="I11" s="34"/>
      <c r="J11" s="34">
        <f>$C$31*('E Balans VL '!D11+'E Balans VL '!E11)/100/3.6*1000000</f>
        <v>0</v>
      </c>
      <c r="K11" s="34"/>
      <c r="L11" s="34"/>
      <c r="M11" s="34"/>
      <c r="N11" s="34">
        <f>$C$31*'E Balans VL '!Y11/100/3.6*1000000</f>
        <v>0.43260047688200115</v>
      </c>
      <c r="O11" s="34"/>
      <c r="P11" s="34"/>
      <c r="R11" s="33"/>
    </row>
    <row r="12" spans="1:18">
      <c r="A12" s="33" t="s">
        <v>260</v>
      </c>
      <c r="B12" s="38">
        <f t="shared" si="0"/>
        <v>2466.3701223046396</v>
      </c>
      <c r="C12" s="34"/>
      <c r="D12" s="38">
        <f>IF(ISERROR(TER_rest_gas_kWh/1000),0,TER_rest_gas_kWh/1000)*0.902</f>
        <v>22264.092262675655</v>
      </c>
      <c r="E12" s="34">
        <f>$C$32*'E Balans VL '!I8/100/3.6*1000000</f>
        <v>21.310278128494669</v>
      </c>
      <c r="F12" s="34">
        <f>$C$32*('E Balans VL '!L8+'E Balans VL '!N8)/100/3.6*1000000</f>
        <v>491.26976720911711</v>
      </c>
      <c r="G12" s="35"/>
      <c r="H12" s="34"/>
      <c r="I12" s="34"/>
      <c r="J12" s="34">
        <f>$C$32*('E Balans VL '!D8+'E Balans VL '!E8)/100/3.6*1000000</f>
        <v>0</v>
      </c>
      <c r="K12" s="34"/>
      <c r="L12" s="34"/>
      <c r="M12" s="34"/>
      <c r="N12" s="34">
        <f>$C$32*'E Balans VL '!Y8/100/3.6*1000000</f>
        <v>162.22030523150829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31477.681963425657</v>
      </c>
      <c r="C16" s="22">
        <f t="shared" ca="1" si="1"/>
        <v>0</v>
      </c>
      <c r="D16" s="22">
        <f t="shared" ca="1" si="1"/>
        <v>42354.861391863262</v>
      </c>
      <c r="E16" s="22">
        <f t="shared" si="1"/>
        <v>240.2468005799434</v>
      </c>
      <c r="F16" s="22">
        <f t="shared" ca="1" si="1"/>
        <v>7560.0812117473433</v>
      </c>
      <c r="G16" s="22">
        <f t="shared" si="1"/>
        <v>0</v>
      </c>
      <c r="H16" s="22">
        <f t="shared" si="1"/>
        <v>0</v>
      </c>
      <c r="I16" s="22">
        <f t="shared" si="1"/>
        <v>0</v>
      </c>
      <c r="J16" s="22">
        <f t="shared" si="1"/>
        <v>0</v>
      </c>
      <c r="K16" s="22">
        <f t="shared" si="1"/>
        <v>0</v>
      </c>
      <c r="L16" s="22">
        <f t="shared" ca="1" si="1"/>
        <v>0</v>
      </c>
      <c r="M16" s="22">
        <f t="shared" si="1"/>
        <v>0</v>
      </c>
      <c r="N16" s="22">
        <f t="shared" ca="1" si="1"/>
        <v>8548.2190405058263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0.20433134013212079</v>
      </c>
      <c r="C18" s="26">
        <f ca="1">'EF ele_warmte'!B22</f>
        <v>0.20423071109919316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6431.8769398394516</v>
      </c>
      <c r="C20" s="24">
        <f t="shared" ref="C20:P20" ca="1" si="2">C16*C18</f>
        <v>0</v>
      </c>
      <c r="D20" s="24">
        <f t="shared" ca="1" si="2"/>
        <v>8555.6820011563796</v>
      </c>
      <c r="E20" s="24">
        <f t="shared" si="2"/>
        <v>54.536023731647155</v>
      </c>
      <c r="F20" s="24">
        <f t="shared" ca="1" si="2"/>
        <v>2018.5416835365409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4883.9750645234699</v>
      </c>
      <c r="C26" s="40">
        <f>IF(ISERROR(B26*3.6/1000000/'E Balans VL '!Z12*100),0,B26*3.6/1000000/'E Balans VL '!Z12*100)</f>
        <v>0.10378096767098832</v>
      </c>
      <c r="D26" s="240" t="s">
        <v>707</v>
      </c>
      <c r="F26" s="6"/>
    </row>
    <row r="27" spans="1:18">
      <c r="A27" s="234" t="s">
        <v>53</v>
      </c>
      <c r="B27" s="34">
        <f>IF(ISERROR(TER_horeca_ele_kWh/1000),0,TER_horeca_ele_kWh/1000)</f>
        <v>1048.3994764009099</v>
      </c>
      <c r="C27" s="40">
        <f>IF(ISERROR(B27*3.6/1000000/'E Balans VL '!Z9*100),0,B27*3.6/1000000/'E Balans VL '!Z9*100)</f>
        <v>8.2517146030744296E-2</v>
      </c>
      <c r="D27" s="240" t="s">
        <v>707</v>
      </c>
      <c r="F27" s="6"/>
    </row>
    <row r="28" spans="1:18">
      <c r="A28" s="174" t="s">
        <v>52</v>
      </c>
      <c r="B28" s="34">
        <f>IF(ISERROR(TER_handel_ele_kWh/1000),0,TER_handel_ele_kWh/1000)</f>
        <v>6781.0798339560597</v>
      </c>
      <c r="C28" s="40">
        <f>IF(ISERROR(B28*3.6/1000000/'E Balans VL '!Z13*100),0,B28*3.6/1000000/'E Balans VL '!Z13*100)</f>
        <v>0.18994167523976094</v>
      </c>
      <c r="D28" s="240" t="s">
        <v>707</v>
      </c>
      <c r="F28" s="6"/>
    </row>
    <row r="29" spans="1:18">
      <c r="A29" s="234" t="s">
        <v>51</v>
      </c>
      <c r="B29" s="34">
        <f>IF(ISERROR(TER_gezond_ele_kWh/1000),0,TER_gezond_ele_kWh/1000)</f>
        <v>1714.4780879764501</v>
      </c>
      <c r="C29" s="40">
        <f>IF(ISERROR(B29*3.6/1000000/'E Balans VL '!Z10*100),0,B29*3.6/1000000/'E Balans VL '!Z10*100)</f>
        <v>0.21933359118159373</v>
      </c>
      <c r="D29" s="240" t="s">
        <v>707</v>
      </c>
      <c r="F29" s="6"/>
    </row>
    <row r="30" spans="1:18">
      <c r="A30" s="234" t="s">
        <v>50</v>
      </c>
      <c r="B30" s="34">
        <f>IF(ISERROR(TER_ander_ele_kWh/1000),0,TER_ander_ele_kWh/1000)</f>
        <v>14450.385533550199</v>
      </c>
      <c r="C30" s="40">
        <f>IF(ISERROR(B30*3.6/1000000/'E Balans VL '!Z14*100),0,B30*3.6/1000000/'E Balans VL '!Z14*100)</f>
        <v>1.0807670768340172</v>
      </c>
      <c r="D30" s="240" t="s">
        <v>707</v>
      </c>
      <c r="F30" s="6"/>
    </row>
    <row r="31" spans="1:18">
      <c r="A31" s="234" t="s">
        <v>55</v>
      </c>
      <c r="B31" s="34">
        <f>IF(ISERROR(TER_onderwijs_ele_kWh/1000),0,TER_onderwijs_ele_kWh/1000)</f>
        <v>132.99384471392801</v>
      </c>
      <c r="C31" s="40">
        <f>IF(ISERROR(B31*3.6/1000000/'E Balans VL '!Z11*100),0,B31*3.6/1000000/'E Balans VL '!Z11*100)</f>
        <v>2.8081822582408385E-2</v>
      </c>
      <c r="D31" s="240" t="s">
        <v>707</v>
      </c>
    </row>
    <row r="32" spans="1:18">
      <c r="A32" s="234" t="s">
        <v>260</v>
      </c>
      <c r="B32" s="34">
        <f>IF(ISERROR(TER_rest_ele_kWh/1000),0,TER_rest_ele_kWh/1000)</f>
        <v>2466.3701223046396</v>
      </c>
      <c r="C32" s="40">
        <f>IF(ISERROR(B32*3.6/1000000/'E Balans VL '!Z8*100),0,B32*3.6/1000000/'E Balans VL '!Z8*100)</f>
        <v>2.0317789515775741E-2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33421.81709376035</v>
      </c>
      <c r="C5" s="18">
        <f>IF(ISERROR('Eigen informatie GS &amp; warmtenet'!B59),0,'Eigen informatie GS &amp; warmtenet'!B59)</f>
        <v>0</v>
      </c>
      <c r="D5" s="31">
        <f>SUM(D6:D15)</f>
        <v>91084.979388736043</v>
      </c>
      <c r="E5" s="18">
        <f>SUM(E6:E15)</f>
        <v>308.45640716464595</v>
      </c>
      <c r="F5" s="18">
        <f>SUM(F6:F15)</f>
        <v>7245.0282345089408</v>
      </c>
      <c r="G5" s="19"/>
      <c r="H5" s="18"/>
      <c r="I5" s="18"/>
      <c r="J5" s="18">
        <f>SUM(J6:J15)</f>
        <v>160.06223433361058</v>
      </c>
      <c r="K5" s="18"/>
      <c r="L5" s="18"/>
      <c r="M5" s="18"/>
      <c r="N5" s="18">
        <f>SUM(N6:N15)</f>
        <v>1212.4881723620597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184.50309548012999</v>
      </c>
      <c r="C8" s="34"/>
      <c r="D8" s="38">
        <f>IF( ISERROR(IND_metaal_Gas_kWH/1000),0,IND_metaal_Gas_kWH/1000)*0.902</f>
        <v>72.857538114479638</v>
      </c>
      <c r="E8" s="34">
        <f>C30*'E Balans VL '!I18/100/3.6*1000000</f>
        <v>1.6802364408003068</v>
      </c>
      <c r="F8" s="34">
        <f>C30*'E Balans VL '!L18/100/3.6*1000000+C30*'E Balans VL '!N18/100/3.6*1000000</f>
        <v>24.334557153256725</v>
      </c>
      <c r="G8" s="35"/>
      <c r="H8" s="34"/>
      <c r="I8" s="34"/>
      <c r="J8" s="41">
        <f>C30*'E Balans VL '!D18/100/3.6*1000000+C30*'E Balans VL '!E18/100/3.6*1000000</f>
        <v>3.0255828770258835</v>
      </c>
      <c r="K8" s="34"/>
      <c r="L8" s="34"/>
      <c r="M8" s="34"/>
      <c r="N8" s="34">
        <f>C30*'E Balans VL '!Y18/100/3.6*1000000</f>
        <v>0.63406384549853967</v>
      </c>
      <c r="O8" s="34"/>
      <c r="P8" s="34"/>
      <c r="R8" s="33"/>
    </row>
    <row r="9" spans="1:18">
      <c r="A9" s="6" t="s">
        <v>33</v>
      </c>
      <c r="B9" s="38">
        <f t="shared" si="0"/>
        <v>1204.02831101888</v>
      </c>
      <c r="C9" s="34"/>
      <c r="D9" s="38">
        <f>IF( ISERROR(IND_andere_gas_kWh/1000),0,IND_andere_gas_kWh/1000)*0.902</f>
        <v>1050.9111585137825</v>
      </c>
      <c r="E9" s="34">
        <f>C31*'E Balans VL '!I19/100/3.6*1000000</f>
        <v>6.9594635648378969</v>
      </c>
      <c r="F9" s="34">
        <f>C31*'E Balans VL '!L19/100/3.6*1000000+C31*'E Balans VL '!N19/100/3.6*1000000</f>
        <v>957.86245696525111</v>
      </c>
      <c r="G9" s="35"/>
      <c r="H9" s="34"/>
      <c r="I9" s="34"/>
      <c r="J9" s="41">
        <f>C31*'E Balans VL '!D19/100/3.6*1000000+C31*'E Balans VL '!E19/100/3.6*1000000</f>
        <v>0.11388770425470879</v>
      </c>
      <c r="K9" s="34"/>
      <c r="L9" s="34"/>
      <c r="M9" s="34"/>
      <c r="N9" s="34">
        <f>C31*'E Balans VL '!Y19/100/3.6*1000000</f>
        <v>91.223365490049076</v>
      </c>
      <c r="O9" s="34"/>
      <c r="P9" s="34"/>
      <c r="R9" s="33"/>
    </row>
    <row r="10" spans="1:18">
      <c r="A10" s="6" t="s">
        <v>41</v>
      </c>
      <c r="B10" s="38">
        <f t="shared" si="0"/>
        <v>413.167145284387</v>
      </c>
      <c r="C10" s="34"/>
      <c r="D10" s="38">
        <f>IF( ISERROR(IND_voed_gas_kWh/1000),0,IND_voed_gas_kWh/1000)*0.902</f>
        <v>659.63474876213058</v>
      </c>
      <c r="E10" s="34">
        <f>C32*'E Balans VL '!I20/100/3.6*1000000</f>
        <v>4.0625139459158541</v>
      </c>
      <c r="F10" s="34">
        <f>C32*'E Balans VL '!L20/100/3.6*1000000+C32*'E Balans VL '!N20/100/3.6*1000000</f>
        <v>45.887604407652852</v>
      </c>
      <c r="G10" s="35"/>
      <c r="H10" s="34"/>
      <c r="I10" s="34"/>
      <c r="J10" s="41">
        <f>C32*'E Balans VL '!D20/100/3.6*1000000+C32*'E Balans VL '!E20/100/3.6*1000000</f>
        <v>1.6284792861634139E-3</v>
      </c>
      <c r="K10" s="34"/>
      <c r="L10" s="34"/>
      <c r="M10" s="34"/>
      <c r="N10" s="34">
        <f>C32*'E Balans VL '!Y20/100/3.6*1000000</f>
        <v>6.1180335500932896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49.870731985056004</v>
      </c>
      <c r="C12" s="34"/>
      <c r="D12" s="38">
        <f>IF( ISERROR(IND_min_gas_kWh/1000),0,IND_min_gas_kWh/1000)*0.902</f>
        <v>0</v>
      </c>
      <c r="E12" s="34">
        <f>C34*'E Balans VL '!I22/100/3.6*1000000</f>
        <v>1.2643118005432672</v>
      </c>
      <c r="F12" s="34">
        <f>C34*'E Balans VL '!L22/100/3.6*1000000+C34*'E Balans VL '!N22/100/3.6*1000000</f>
        <v>13.799405369203496</v>
      </c>
      <c r="G12" s="35"/>
      <c r="H12" s="34"/>
      <c r="I12" s="34"/>
      <c r="J12" s="41">
        <f>C34*'E Balans VL '!D22/100/3.6*1000000+C34*'E Balans VL '!E22/100/3.6*1000000</f>
        <v>0.32935633559917399</v>
      </c>
      <c r="K12" s="34"/>
      <c r="L12" s="34"/>
      <c r="M12" s="34"/>
      <c r="N12" s="34">
        <f>C34*'E Balans VL '!Y22/100/3.6*1000000</f>
        <v>0</v>
      </c>
      <c r="O12" s="34"/>
      <c r="P12" s="34"/>
      <c r="R12" s="33"/>
    </row>
    <row r="13" spans="1:18">
      <c r="A13" s="6" t="s">
        <v>39</v>
      </c>
      <c r="B13" s="38">
        <f t="shared" si="0"/>
        <v>431.069365752799</v>
      </c>
      <c r="C13" s="34"/>
      <c r="D13" s="38">
        <f>IF( ISERROR(IND_papier_gas_kWh/1000),0,IND_papier_gas_kWh/1000)*0.902</f>
        <v>0</v>
      </c>
      <c r="E13" s="34">
        <f>C35*'E Balans VL '!I23/100/3.6*1000000</f>
        <v>14.682847607712201</v>
      </c>
      <c r="F13" s="34">
        <f>C35*'E Balans VL '!L23/100/3.6*1000000+C35*'E Balans VL '!N23/100/3.6*1000000</f>
        <v>71.202542242121936</v>
      </c>
      <c r="G13" s="35"/>
      <c r="H13" s="34"/>
      <c r="I13" s="34"/>
      <c r="J13" s="41">
        <f>C35*'E Balans VL '!D23/100/3.6*1000000+C35*'E Balans VL '!E23/100/3.6*1000000</f>
        <v>0</v>
      </c>
      <c r="K13" s="34"/>
      <c r="L13" s="34"/>
      <c r="M13" s="34"/>
      <c r="N13" s="34">
        <f>C35*'E Balans VL '!Y23/100/3.6*1000000</f>
        <v>158.62196621280214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31139.1784442391</v>
      </c>
      <c r="C15" s="34"/>
      <c r="D15" s="38">
        <f>IF( ISERROR(IND_rest_gas_kWh/1000),0,IND_rest_gas_kWh/1000)*0.902</f>
        <v>89301.575943345655</v>
      </c>
      <c r="E15" s="34">
        <f>C37*'E Balans VL '!I15/100/3.6*1000000</f>
        <v>279.80703380483641</v>
      </c>
      <c r="F15" s="34">
        <f>C37*'E Balans VL '!L15/100/3.6*1000000+C37*'E Balans VL '!N15/100/3.6*1000000</f>
        <v>6131.9416683714544</v>
      </c>
      <c r="G15" s="35"/>
      <c r="H15" s="34"/>
      <c r="I15" s="34"/>
      <c r="J15" s="41">
        <f>C37*'E Balans VL '!D15/100/3.6*1000000+C37*'E Balans VL '!E15/100/3.6*1000000</f>
        <v>156.59177893744464</v>
      </c>
      <c r="K15" s="34"/>
      <c r="L15" s="34"/>
      <c r="M15" s="34"/>
      <c r="N15" s="34">
        <f>C37*'E Balans VL '!Y15/100/3.6*1000000</f>
        <v>955.89074326361663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33421.81709376035</v>
      </c>
      <c r="C18" s="22">
        <f>C5+C16</f>
        <v>0</v>
      </c>
      <c r="D18" s="22">
        <f>MAX((D5+D16),0)</f>
        <v>91084.979388736043</v>
      </c>
      <c r="E18" s="22">
        <f>MAX((E5+E16),0)</f>
        <v>308.45640716464595</v>
      </c>
      <c r="F18" s="22">
        <f>MAX((F5+F16),0)</f>
        <v>7245.0282345089408</v>
      </c>
      <c r="G18" s="22"/>
      <c r="H18" s="22"/>
      <c r="I18" s="22"/>
      <c r="J18" s="22">
        <f>MAX((J5+J16),0)</f>
        <v>160.06223433361058</v>
      </c>
      <c r="K18" s="22"/>
      <c r="L18" s="22">
        <f>MAX((L5+L16),0)</f>
        <v>0</v>
      </c>
      <c r="M18" s="22"/>
      <c r="N18" s="22">
        <f>MAX((N5+N16),0)</f>
        <v>1212.4881723620597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0.20433134013212079</v>
      </c>
      <c r="C20" s="26">
        <f ca="1">'EF ele_warmte'!B22</f>
        <v>0.20423071109919316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6829.1246764186744</v>
      </c>
      <c r="C22" s="24">
        <f ca="1">C18*C20</f>
        <v>0</v>
      </c>
      <c r="D22" s="24">
        <f>D18*D20</f>
        <v>18399.16583652468</v>
      </c>
      <c r="E22" s="24">
        <f>E18*E20</f>
        <v>70.019604426374627</v>
      </c>
      <c r="F22" s="24">
        <f>F18*F20</f>
        <v>1934.4225386138874</v>
      </c>
      <c r="G22" s="24"/>
      <c r="H22" s="24"/>
      <c r="I22" s="24"/>
      <c r="J22" s="24">
        <f>J18*J20</f>
        <v>56.662030954098142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184.50309548012999</v>
      </c>
      <c r="C30" s="40">
        <f>IF(ISERROR(B30*3.6/1000000/'E Balans VL '!Z18*100),0,B30*3.6/1000000/'E Balans VL '!Z18*100)</f>
        <v>1.0266363501855112E-2</v>
      </c>
      <c r="D30" s="240" t="s">
        <v>707</v>
      </c>
    </row>
    <row r="31" spans="1:18">
      <c r="A31" s="6" t="s">
        <v>33</v>
      </c>
      <c r="B31" s="38">
        <f>IF( ISERROR(IND_ander_ele_kWh/1000),0,IND_ander_ele_kWh/1000)</f>
        <v>1204.02831101888</v>
      </c>
      <c r="C31" s="40">
        <f>IF(ISERROR(B31*3.6/1000000/'E Balans VL '!Z19*100),0,B31*3.6/1000000/'E Balans VL '!Z19*100)</f>
        <v>5.5972114036443914E-2</v>
      </c>
      <c r="D31" s="240" t="s">
        <v>707</v>
      </c>
    </row>
    <row r="32" spans="1:18">
      <c r="A32" s="174" t="s">
        <v>41</v>
      </c>
      <c r="B32" s="38">
        <f>IF( ISERROR(IND_voed_ele_kWh/1000),0,IND_voed_ele_kWh/1000)</f>
        <v>413.167145284387</v>
      </c>
      <c r="C32" s="40">
        <f>IF(ISERROR(B32*3.6/1000000/'E Balans VL '!Z20*100),0,B32*3.6/1000000/'E Balans VL '!Z20*100)</f>
        <v>1.4604624159414855E-2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49.870731985056004</v>
      </c>
      <c r="C34" s="40">
        <f>IF(ISERROR(B34*3.6/1000000/'E Balans VL '!Z22*100),0,B34*3.6/1000000/'E Balans VL '!Z22*100)</f>
        <v>1.00226108218651E-2</v>
      </c>
      <c r="D34" s="240" t="s">
        <v>707</v>
      </c>
    </row>
    <row r="35" spans="1:5">
      <c r="A35" s="174" t="s">
        <v>39</v>
      </c>
      <c r="B35" s="38">
        <f>IF( ISERROR(IND_papier_ele_kWh/1000),0,IND_papier_ele_kWh/1000)</f>
        <v>431.069365752799</v>
      </c>
      <c r="C35" s="40">
        <f>IF(ISERROR(B35*3.6/1000000/'E Balans VL '!Z22*100),0,B35*3.6/1000000/'E Balans VL '!Z22*100)</f>
        <v>8.6632786770869288E-2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31139.1784442391</v>
      </c>
      <c r="C37" s="40">
        <f>IF(ISERROR(B37*3.6/1000000/'E Balans VL '!Z15*100),0,B37*3.6/1000000/'E Balans VL '!Z15*100)</f>
        <v>0.23514679677638367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1813.5217297270233</v>
      </c>
      <c r="C5" s="18">
        <f>'Eigen informatie GS &amp; warmtenet'!B60</f>
        <v>0</v>
      </c>
      <c r="D5" s="31">
        <f>IF(ISERROR(SUM(LB_lb_gas_kWh,LB_rest_gas_kWh)/1000),0,SUM(LB_lb_gas_kWh,LB_rest_gas_kWh)/1000)*0.902</f>
        <v>37725.722955607678</v>
      </c>
      <c r="E5" s="18">
        <f>B17*'E Balans VL '!I25/3.6*1000000/100</f>
        <v>17.084589793446504</v>
      </c>
      <c r="F5" s="18">
        <f>B17*('E Balans VL '!L25/3.6*1000000+'E Balans VL '!N25/3.6*1000000)/100</f>
        <v>5918.1232591045027</v>
      </c>
      <c r="G5" s="19"/>
      <c r="H5" s="18"/>
      <c r="I5" s="18"/>
      <c r="J5" s="18">
        <f>('E Balans VL '!D25+'E Balans VL '!E25)/3.6*1000000*landbouw!B17/100</f>
        <v>224.34145893523174</v>
      </c>
      <c r="K5" s="18"/>
      <c r="L5" s="18">
        <f>L6*(-1)</f>
        <v>0</v>
      </c>
      <c r="M5" s="18"/>
      <c r="N5" s="18">
        <f>N6*(-1)</f>
        <v>21812.142857142859</v>
      </c>
      <c r="O5" s="18"/>
      <c r="P5" s="18"/>
      <c r="R5" s="33"/>
    </row>
    <row r="6" spans="1:18">
      <c r="A6" s="17" t="s">
        <v>502</v>
      </c>
      <c r="B6" s="18" t="s">
        <v>211</v>
      </c>
      <c r="C6" s="18">
        <f>'lokale energieproductie'!O92+'lokale energieproductie'!O61</f>
        <v>77560.71428571429</v>
      </c>
      <c r="D6" s="312">
        <f>('lokale energieproductie'!P61+'lokale energieproductie'!P92)*(-1)</f>
        <v>-133309.28571428574</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-21812.142857142859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1813.5217297270233</v>
      </c>
      <c r="C8" s="22">
        <f>C5+C6</f>
        <v>77560.71428571429</v>
      </c>
      <c r="D8" s="22">
        <f>MAX((D5+D6),0)</f>
        <v>0</v>
      </c>
      <c r="E8" s="22">
        <f>MAX((E5+E6),0)</f>
        <v>17.084589793446504</v>
      </c>
      <c r="F8" s="22">
        <f>MAX((F5+F6),0)</f>
        <v>5918.1232591045027</v>
      </c>
      <c r="G8" s="22"/>
      <c r="H8" s="22"/>
      <c r="I8" s="22"/>
      <c r="J8" s="22">
        <f>MAX((J5+J6),0)</f>
        <v>224.34145893523174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0.20433134013212079</v>
      </c>
      <c r="C10" s="32">
        <f ca="1">'EF ele_warmte'!B22</f>
        <v>0.20423071109919316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370.5593253938444</v>
      </c>
      <c r="C12" s="24">
        <f ca="1">C8*C10</f>
        <v>15840.279831932779</v>
      </c>
      <c r="D12" s="24">
        <f>D8*D10</f>
        <v>0</v>
      </c>
      <c r="E12" s="24">
        <f>E8*E10</f>
        <v>3.8782018831123568</v>
      </c>
      <c r="F12" s="24">
        <f>F8*F10</f>
        <v>1580.1389101809023</v>
      </c>
      <c r="G12" s="24"/>
      <c r="H12" s="24"/>
      <c r="I12" s="24"/>
      <c r="J12" s="24">
        <f>J8*J10</f>
        <v>79.416876463072029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0.24552186305417356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108.67240436719115</v>
      </c>
      <c r="C26" s="250">
        <f>B26*'GWP N2O_CH4'!B5</f>
        <v>2282.120491711014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39.133339689699199</v>
      </c>
      <c r="C27" s="250">
        <f>B27*'GWP N2O_CH4'!B5</f>
        <v>821.80013348368311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1.8702715264876004</v>
      </c>
      <c r="C28" s="250">
        <f>B28*'GWP N2O_CH4'!B4</f>
        <v>579.78417321115614</v>
      </c>
      <c r="D28" s="51"/>
    </row>
    <row r="29" spans="1:4">
      <c r="A29" s="42" t="s">
        <v>277</v>
      </c>
      <c r="B29" s="250">
        <f>B34*'ha_N2O bodem landbouw'!B4</f>
        <v>7.6939339715259507</v>
      </c>
      <c r="C29" s="250">
        <f>B29*'GWP N2O_CH4'!B4</f>
        <v>2385.1195311730448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2.0771199652175466E-3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2.2884393962378846E-5</v>
      </c>
      <c r="C5" s="447" t="s">
        <v>211</v>
      </c>
      <c r="D5" s="432">
        <f>SUM(D6:D11)</f>
        <v>5.828437105213658E-5</v>
      </c>
      <c r="E5" s="432">
        <f>SUM(E6:E11)</f>
        <v>4.1405807720338843E-3</v>
      </c>
      <c r="F5" s="445" t="s">
        <v>211</v>
      </c>
      <c r="G5" s="432">
        <f>SUM(G6:G11)</f>
        <v>1.0815165479784694</v>
      </c>
      <c r="H5" s="432">
        <f>SUM(H6:H11)</f>
        <v>0.13684714527149172</v>
      </c>
      <c r="I5" s="447" t="s">
        <v>211</v>
      </c>
      <c r="J5" s="447" t="s">
        <v>211</v>
      </c>
      <c r="K5" s="447" t="s">
        <v>211</v>
      </c>
      <c r="L5" s="447" t="s">
        <v>211</v>
      </c>
      <c r="M5" s="432">
        <f>SUM(M6:M11)</f>
        <v>5.4420396479574223E-2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3.9970779061128319E-6</v>
      </c>
      <c r="C6" s="433"/>
      <c r="D6" s="433">
        <f>vkm_2011_GW_PW*SUMIFS(TableVerdeelsleutelVkm[CNG],TableVerdeelsleutelVkm[Voertuigtype],"Lichte voertuigen")*SUMIFS(TableECFTransport[EnergieConsumptieFactor (PJ per km)],TableECFTransport[Index],CONCATENATE($A6,"_CNG_CNG"))</f>
        <v>9.7609311862167103E-6</v>
      </c>
      <c r="E6" s="435">
        <f>vkm_2011_GW_PW*SUMIFS(TableVerdeelsleutelVkm[LPG],TableVerdeelsleutelVkm[Voertuigtype],"Lichte voertuigen")*SUMIFS(TableECFTransport[EnergieConsumptieFactor (PJ per km)],TableECFTransport[Index],CONCATENATE($A6,"_LPG_LPG"))</f>
        <v>5.7857755758310972E-4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8.3640192032075497E-2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2.191969139340183E-2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4.7271659802415643E-3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4.4005016601129696E-2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1.7754308587162801E-5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1.9604098745235237E-3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4.2560354061248204E-7</v>
      </c>
      <c r="C8" s="433"/>
      <c r="D8" s="435">
        <f>vkm_2011_NGW_PW*SUMIFS(TableVerdeelsleutelVkm[CNG],TableVerdeelsleutelVkm[Voertuigtype],"Lichte voertuigen")*SUMIFS(TableECFTransport[EnergieConsumptieFactor (PJ per km)],TableECFTransport[Index],CONCATENATE($A8,"_CNG_CNG"))</f>
        <v>1.8647363504736175E-6</v>
      </c>
      <c r="E8" s="435">
        <f>vkm_2011_NGW_PW*SUMIFS(TableVerdeelsleutelVkm[LPG],TableVerdeelsleutelVkm[Voertuigtype],"Lichte voertuigen")*SUMIFS(TableECFTransport[EnergieConsumptieFactor (PJ per km)],TableECFTransport[Index],CONCATENATE($A8,"_LPG_LPG"))</f>
        <v>1.0140196540607911E-4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1.3847992206453918E-2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4.0099916748397883E-3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8.000775735078385E-4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3.0229229890649126E-4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1.0619278405504121E-7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1.3466307080995668E-5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1.8461712515653532E-5</v>
      </c>
      <c r="C10" s="433"/>
      <c r="D10" s="435">
        <f>vkm_2011_SW_PW*SUMIFS(TableVerdeelsleutelVkm[CNG],TableVerdeelsleutelVkm[Voertuigtype],"Lichte voertuigen")*SUMIFS(TableECFTransport[EnergieConsumptieFactor (PJ per km)],TableECFTransport[Index],CONCATENATE($A10,"_CNG_CNG"))</f>
        <v>4.6658703515446249E-5</v>
      </c>
      <c r="E10" s="435">
        <f>vkm_2011_SW_PW*SUMIFS(TableVerdeelsleutelVkm[LPG],TableVerdeelsleutelVkm[Voertuigtype],"Lichte voertuigen")*SUMIFS(TableECFTransport[EnergieConsumptieFactor (PJ per km)],TableECFTransport[Index],CONCATENATE($A10,"_LPG_LPG"))</f>
        <v>3.4606012490446952E-3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0.45591485930327957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0.11069250778513873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2.5365316276593726E-2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0.48380619553662418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2.0709391674015492E-4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2.1553960467626573E-2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6.3567761006607908</v>
      </c>
      <c r="C14" s="22"/>
      <c r="D14" s="22">
        <f t="shared" ref="D14:M14" si="0">((D5)*10^9/3600)+D12</f>
        <v>16.190103070037939</v>
      </c>
      <c r="E14" s="22">
        <f t="shared" si="0"/>
        <v>1150.1613255649679</v>
      </c>
      <c r="F14" s="22"/>
      <c r="G14" s="22">
        <f t="shared" si="0"/>
        <v>300421.26332735259</v>
      </c>
      <c r="H14" s="22">
        <f t="shared" si="0"/>
        <v>38013.095908747702</v>
      </c>
      <c r="I14" s="22"/>
      <c r="J14" s="22"/>
      <c r="K14" s="22"/>
      <c r="L14" s="22"/>
      <c r="M14" s="22">
        <f t="shared" si="0"/>
        <v>15116.776799881729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0.20433134013212079</v>
      </c>
      <c r="C16" s="57">
        <f ca="1">'EF ele_warmte'!B22</f>
        <v>0.20423071109919316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1.2988885795678566</v>
      </c>
      <c r="C18" s="24"/>
      <c r="D18" s="24">
        <f t="shared" ref="D18:M18" si="1">D14*D16</f>
        <v>3.270400820147664</v>
      </c>
      <c r="E18" s="24">
        <f t="shared" si="1"/>
        <v>261.08662090324771</v>
      </c>
      <c r="F18" s="24"/>
      <c r="G18" s="24">
        <f t="shared" si="1"/>
        <v>80212.477308403148</v>
      </c>
      <c r="H18" s="24">
        <f t="shared" si="1"/>
        <v>9465.2608812781782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1.3401449707942584E-2</v>
      </c>
      <c r="H50" s="323">
        <f t="shared" si="2"/>
        <v>0</v>
      </c>
      <c r="I50" s="323">
        <f t="shared" si="2"/>
        <v>0</v>
      </c>
      <c r="J50" s="323">
        <f t="shared" si="2"/>
        <v>0</v>
      </c>
      <c r="K50" s="323">
        <f t="shared" si="2"/>
        <v>0</v>
      </c>
      <c r="L50" s="323">
        <f t="shared" si="2"/>
        <v>0</v>
      </c>
      <c r="M50" s="323">
        <f t="shared" si="2"/>
        <v>5.8847976374987372E-4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1.3401449707942584E-2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5.8847976374987372E-4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3722.6249188729403</v>
      </c>
      <c r="H54" s="22">
        <f t="shared" si="3"/>
        <v>0</v>
      </c>
      <c r="I54" s="22">
        <f t="shared" si="3"/>
        <v>0</v>
      </c>
      <c r="J54" s="22">
        <f t="shared" si="3"/>
        <v>0</v>
      </c>
      <c r="K54" s="22">
        <f t="shared" si="3"/>
        <v>0</v>
      </c>
      <c r="L54" s="22">
        <f t="shared" si="3"/>
        <v>0</v>
      </c>
      <c r="M54" s="22">
        <f t="shared" si="3"/>
        <v>163.46660104163161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0.20433134013212079</v>
      </c>
      <c r="C56" s="57">
        <f ca="1">'EF ele_warmte'!B22</f>
        <v>0.20423071109919316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993.94085333907515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32880.356963425656</v>
      </c>
      <c r="D10" s="688">
        <f ca="1">tertiair!C16</f>
        <v>0</v>
      </c>
      <c r="E10" s="688">
        <f ca="1">tertiair!D16</f>
        <v>42354.861391863262</v>
      </c>
      <c r="F10" s="688">
        <f>tertiair!E16</f>
        <v>240.2468005799434</v>
      </c>
      <c r="G10" s="688">
        <f ca="1">tertiair!F16</f>
        <v>7560.0812117473433</v>
      </c>
      <c r="H10" s="688">
        <f>tertiair!G16</f>
        <v>0</v>
      </c>
      <c r="I10" s="688">
        <f>tertiair!H16</f>
        <v>0</v>
      </c>
      <c r="J10" s="688">
        <f>tertiair!I16</f>
        <v>0</v>
      </c>
      <c r="K10" s="688">
        <f>tertiair!J16</f>
        <v>0</v>
      </c>
      <c r="L10" s="688">
        <f>tertiair!K16</f>
        <v>0</v>
      </c>
      <c r="M10" s="688">
        <f ca="1">tertiair!L16</f>
        <v>0</v>
      </c>
      <c r="N10" s="688">
        <f>tertiair!M16</f>
        <v>0</v>
      </c>
      <c r="O10" s="688">
        <f ca="1">tertiair!N16</f>
        <v>8548.2190405058263</v>
      </c>
      <c r="P10" s="688">
        <f>tertiair!O16</f>
        <v>0</v>
      </c>
      <c r="Q10" s="689">
        <f>tertiair!P16</f>
        <v>0</v>
      </c>
      <c r="R10" s="691">
        <f ca="1">SUM(C10:Q10)</f>
        <v>91583.765408122024</v>
      </c>
      <c r="S10" s="68"/>
    </row>
    <row r="11" spans="1:19" s="457" customFormat="1">
      <c r="A11" s="803" t="s">
        <v>225</v>
      </c>
      <c r="B11" s="808"/>
      <c r="C11" s="688">
        <f>huishoudens!B8</f>
        <v>38014.713144843721</v>
      </c>
      <c r="D11" s="688">
        <f>huishoudens!C8</f>
        <v>0</v>
      </c>
      <c r="E11" s="688">
        <f>huishoudens!D8</f>
        <v>98195.440029811623</v>
      </c>
      <c r="F11" s="688">
        <f>huishoudens!E8</f>
        <v>2527.4325106907522</v>
      </c>
      <c r="G11" s="688">
        <f>huishoudens!F8</f>
        <v>0</v>
      </c>
      <c r="H11" s="688">
        <f>huishoudens!G8</f>
        <v>0</v>
      </c>
      <c r="I11" s="688">
        <f>huishoudens!H8</f>
        <v>0</v>
      </c>
      <c r="J11" s="688">
        <f>huishoudens!I8</f>
        <v>0</v>
      </c>
      <c r="K11" s="688">
        <f>huishoudens!J8</f>
        <v>697.4101159553727</v>
      </c>
      <c r="L11" s="688">
        <f>huishoudens!K8</f>
        <v>0</v>
      </c>
      <c r="M11" s="688">
        <f>huishoudens!L8</f>
        <v>0</v>
      </c>
      <c r="N11" s="688">
        <f>huishoudens!M8</f>
        <v>0</v>
      </c>
      <c r="O11" s="688">
        <f>huishoudens!N8</f>
        <v>23774.735294314458</v>
      </c>
      <c r="P11" s="688">
        <f>huishoudens!O8</f>
        <v>121.94000000000001</v>
      </c>
      <c r="Q11" s="689">
        <f>huishoudens!P8</f>
        <v>438.5333333333333</v>
      </c>
      <c r="R11" s="691">
        <f>SUM(C11:Q11)</f>
        <v>163770.20442894925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33421.81709376035</v>
      </c>
      <c r="D13" s="688">
        <f>industrie!C18</f>
        <v>0</v>
      </c>
      <c r="E13" s="688">
        <f>industrie!D18</f>
        <v>91084.979388736043</v>
      </c>
      <c r="F13" s="688">
        <f>industrie!E18</f>
        <v>308.45640716464595</v>
      </c>
      <c r="G13" s="688">
        <f>industrie!F18</f>
        <v>7245.0282345089408</v>
      </c>
      <c r="H13" s="688">
        <f>industrie!G18</f>
        <v>0</v>
      </c>
      <c r="I13" s="688">
        <f>industrie!H18</f>
        <v>0</v>
      </c>
      <c r="J13" s="688">
        <f>industrie!I18</f>
        <v>0</v>
      </c>
      <c r="K13" s="688">
        <f>industrie!J18</f>
        <v>160.06223433361058</v>
      </c>
      <c r="L13" s="688">
        <f>industrie!K18</f>
        <v>0</v>
      </c>
      <c r="M13" s="688">
        <f>industrie!L18</f>
        <v>0</v>
      </c>
      <c r="N13" s="688">
        <f>industrie!M18</f>
        <v>0</v>
      </c>
      <c r="O13" s="688">
        <f>industrie!N18</f>
        <v>1212.4881723620597</v>
      </c>
      <c r="P13" s="688">
        <f>industrie!O18</f>
        <v>0</v>
      </c>
      <c r="Q13" s="689">
        <f>industrie!P18</f>
        <v>0</v>
      </c>
      <c r="R13" s="691">
        <f>SUM(C13:Q13)</f>
        <v>133432.83153086566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104316.88720202973</v>
      </c>
      <c r="D16" s="721">
        <f t="shared" ref="D16:R16" ca="1" si="0">SUM(D9:D15)</f>
        <v>0</v>
      </c>
      <c r="E16" s="721">
        <f t="shared" ca="1" si="0"/>
        <v>231635.28081041094</v>
      </c>
      <c r="F16" s="721">
        <f t="shared" si="0"/>
        <v>3076.1357184353415</v>
      </c>
      <c r="G16" s="721">
        <f t="shared" ca="1" si="0"/>
        <v>14805.109446256283</v>
      </c>
      <c r="H16" s="721">
        <f t="shared" si="0"/>
        <v>0</v>
      </c>
      <c r="I16" s="721">
        <f t="shared" si="0"/>
        <v>0</v>
      </c>
      <c r="J16" s="721">
        <f t="shared" si="0"/>
        <v>0</v>
      </c>
      <c r="K16" s="721">
        <f t="shared" si="0"/>
        <v>857.47235028898331</v>
      </c>
      <c r="L16" s="721">
        <f t="shared" si="0"/>
        <v>0</v>
      </c>
      <c r="M16" s="721">
        <f t="shared" ca="1" si="0"/>
        <v>0</v>
      </c>
      <c r="N16" s="721">
        <f t="shared" si="0"/>
        <v>0</v>
      </c>
      <c r="O16" s="721">
        <f t="shared" ca="1" si="0"/>
        <v>33535.442507182343</v>
      </c>
      <c r="P16" s="721">
        <f t="shared" si="0"/>
        <v>121.94000000000001</v>
      </c>
      <c r="Q16" s="721">
        <f t="shared" si="0"/>
        <v>438.5333333333333</v>
      </c>
      <c r="R16" s="721">
        <f t="shared" ca="1" si="0"/>
        <v>388786.80136793689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3722.6249188729403</v>
      </c>
      <c r="I19" s="688">
        <f>transport!H54</f>
        <v>0</v>
      </c>
      <c r="J19" s="688">
        <f>transport!I54</f>
        <v>0</v>
      </c>
      <c r="K19" s="688">
        <f>transport!J54</f>
        <v>0</v>
      </c>
      <c r="L19" s="688">
        <f>transport!K54</f>
        <v>0</v>
      </c>
      <c r="M19" s="688">
        <f>transport!L54</f>
        <v>0</v>
      </c>
      <c r="N19" s="688">
        <f>transport!M54</f>
        <v>163.46660104163161</v>
      </c>
      <c r="O19" s="688">
        <f>transport!N54</f>
        <v>0</v>
      </c>
      <c r="P19" s="688">
        <f>transport!O54</f>
        <v>0</v>
      </c>
      <c r="Q19" s="689">
        <f>transport!P54</f>
        <v>0</v>
      </c>
      <c r="R19" s="691">
        <f>SUM(C19:Q19)</f>
        <v>3886.091519914572</v>
      </c>
      <c r="S19" s="68"/>
    </row>
    <row r="20" spans="1:19" s="457" customFormat="1">
      <c r="A20" s="803" t="s">
        <v>307</v>
      </c>
      <c r="B20" s="808"/>
      <c r="C20" s="688">
        <f>transport!B14</f>
        <v>6.3567761006607908</v>
      </c>
      <c r="D20" s="688">
        <f>transport!C14</f>
        <v>0</v>
      </c>
      <c r="E20" s="688">
        <f>transport!D14</f>
        <v>16.190103070037939</v>
      </c>
      <c r="F20" s="688">
        <f>transport!E14</f>
        <v>1150.1613255649679</v>
      </c>
      <c r="G20" s="688">
        <f>transport!F14</f>
        <v>0</v>
      </c>
      <c r="H20" s="688">
        <f>transport!G14</f>
        <v>300421.26332735259</v>
      </c>
      <c r="I20" s="688">
        <f>transport!H14</f>
        <v>38013.095908747702</v>
      </c>
      <c r="J20" s="688">
        <f>transport!I14</f>
        <v>0</v>
      </c>
      <c r="K20" s="688">
        <f>transport!J14</f>
        <v>0</v>
      </c>
      <c r="L20" s="688">
        <f>transport!K14</f>
        <v>0</v>
      </c>
      <c r="M20" s="688">
        <f>transport!L14</f>
        <v>0</v>
      </c>
      <c r="N20" s="688">
        <f>transport!M14</f>
        <v>15116.776799881729</v>
      </c>
      <c r="O20" s="688">
        <f>transport!N14</f>
        <v>0</v>
      </c>
      <c r="P20" s="688">
        <f>transport!O14</f>
        <v>0</v>
      </c>
      <c r="Q20" s="689">
        <f>transport!P14</f>
        <v>0</v>
      </c>
      <c r="R20" s="691">
        <f>SUM(C20:Q20)</f>
        <v>354723.84424071765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6.3567761006607908</v>
      </c>
      <c r="D22" s="806">
        <f t="shared" ref="D22:R22" si="1">SUM(D18:D21)</f>
        <v>0</v>
      </c>
      <c r="E22" s="806">
        <f t="shared" si="1"/>
        <v>16.190103070037939</v>
      </c>
      <c r="F22" s="806">
        <f t="shared" si="1"/>
        <v>1150.1613255649679</v>
      </c>
      <c r="G22" s="806">
        <f t="shared" si="1"/>
        <v>0</v>
      </c>
      <c r="H22" s="806">
        <f t="shared" si="1"/>
        <v>304143.88824622554</v>
      </c>
      <c r="I22" s="806">
        <f t="shared" si="1"/>
        <v>38013.095908747702</v>
      </c>
      <c r="J22" s="806">
        <f t="shared" si="1"/>
        <v>0</v>
      </c>
      <c r="K22" s="806">
        <f t="shared" si="1"/>
        <v>0</v>
      </c>
      <c r="L22" s="806">
        <f t="shared" si="1"/>
        <v>0</v>
      </c>
      <c r="M22" s="806">
        <f t="shared" si="1"/>
        <v>0</v>
      </c>
      <c r="N22" s="806">
        <f t="shared" si="1"/>
        <v>15280.24340092336</v>
      </c>
      <c r="O22" s="806">
        <f t="shared" si="1"/>
        <v>0</v>
      </c>
      <c r="P22" s="806">
        <f t="shared" si="1"/>
        <v>0</v>
      </c>
      <c r="Q22" s="806">
        <f t="shared" si="1"/>
        <v>0</v>
      </c>
      <c r="R22" s="806">
        <f t="shared" si="1"/>
        <v>358609.93576063222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1813.5217297270233</v>
      </c>
      <c r="D24" s="688">
        <f>+landbouw!C8</f>
        <v>77560.71428571429</v>
      </c>
      <c r="E24" s="688">
        <f>+landbouw!D8</f>
        <v>0</v>
      </c>
      <c r="F24" s="688">
        <f>+landbouw!E8</f>
        <v>17.084589793446504</v>
      </c>
      <c r="G24" s="688">
        <f>+landbouw!F8</f>
        <v>5918.1232591045027</v>
      </c>
      <c r="H24" s="688">
        <f>+landbouw!G8</f>
        <v>0</v>
      </c>
      <c r="I24" s="688">
        <f>+landbouw!H8</f>
        <v>0</v>
      </c>
      <c r="J24" s="688">
        <f>+landbouw!I8</f>
        <v>0</v>
      </c>
      <c r="K24" s="688">
        <f>+landbouw!J8</f>
        <v>224.34145893523174</v>
      </c>
      <c r="L24" s="688">
        <f>+landbouw!K8</f>
        <v>0</v>
      </c>
      <c r="M24" s="688">
        <f>+landbouw!L8</f>
        <v>0</v>
      </c>
      <c r="N24" s="688">
        <f>+landbouw!M8</f>
        <v>0</v>
      </c>
      <c r="O24" s="688">
        <f>+landbouw!N8</f>
        <v>0</v>
      </c>
      <c r="P24" s="688">
        <f>+landbouw!O8</f>
        <v>0</v>
      </c>
      <c r="Q24" s="689">
        <f>+landbouw!P8</f>
        <v>0</v>
      </c>
      <c r="R24" s="691">
        <f>SUM(C24:Q24)</f>
        <v>85533.785323274496</v>
      </c>
      <c r="S24" s="68"/>
    </row>
    <row r="25" spans="1:19" s="457" customFormat="1" ht="15" thickBot="1">
      <c r="A25" s="825" t="s">
        <v>912</v>
      </c>
      <c r="B25" s="1001"/>
      <c r="C25" s="1002">
        <f>IF(Onbekend_ele_kWh="---",0,Onbekend_ele_kWh)/1000+IF(REST_rest_ele_kWh="---",0,REST_rest_ele_kWh)/1000</f>
        <v>1125.50451958739</v>
      </c>
      <c r="D25" s="1002"/>
      <c r="E25" s="1002">
        <f>IF(onbekend_gas_kWh="---",0,onbekend_gas_kWh)/1000+IF(REST_rest_gas_kWh="---",0,REST_rest_gas_kWh)/1000</f>
        <v>2616.4320859477998</v>
      </c>
      <c r="F25" s="1002"/>
      <c r="G25" s="1002"/>
      <c r="H25" s="1002"/>
      <c r="I25" s="1002"/>
      <c r="J25" s="1002"/>
      <c r="K25" s="1002"/>
      <c r="L25" s="1002"/>
      <c r="M25" s="1002"/>
      <c r="N25" s="1002"/>
      <c r="O25" s="1002"/>
      <c r="P25" s="1002"/>
      <c r="Q25" s="1003"/>
      <c r="R25" s="691">
        <f>SUM(C25:Q25)</f>
        <v>3741.9366055351898</v>
      </c>
      <c r="S25" s="68"/>
    </row>
    <row r="26" spans="1:19" s="457" customFormat="1" ht="15.75" thickBot="1">
      <c r="A26" s="694" t="s">
        <v>913</v>
      </c>
      <c r="B26" s="811"/>
      <c r="C26" s="806">
        <f>SUM(C24:C25)</f>
        <v>2939.0262493144132</v>
      </c>
      <c r="D26" s="806">
        <f t="shared" ref="D26:R26" si="2">SUM(D24:D25)</f>
        <v>77560.71428571429</v>
      </c>
      <c r="E26" s="806">
        <f t="shared" si="2"/>
        <v>2616.4320859477998</v>
      </c>
      <c r="F26" s="806">
        <f t="shared" si="2"/>
        <v>17.084589793446504</v>
      </c>
      <c r="G26" s="806">
        <f t="shared" si="2"/>
        <v>5918.1232591045027</v>
      </c>
      <c r="H26" s="806">
        <f t="shared" si="2"/>
        <v>0</v>
      </c>
      <c r="I26" s="806">
        <f t="shared" si="2"/>
        <v>0</v>
      </c>
      <c r="J26" s="806">
        <f t="shared" si="2"/>
        <v>0</v>
      </c>
      <c r="K26" s="806">
        <f t="shared" si="2"/>
        <v>224.34145893523174</v>
      </c>
      <c r="L26" s="806">
        <f t="shared" si="2"/>
        <v>0</v>
      </c>
      <c r="M26" s="806">
        <f t="shared" si="2"/>
        <v>0</v>
      </c>
      <c r="N26" s="806">
        <f t="shared" si="2"/>
        <v>0</v>
      </c>
      <c r="O26" s="806">
        <f t="shared" si="2"/>
        <v>0</v>
      </c>
      <c r="P26" s="806">
        <f t="shared" si="2"/>
        <v>0</v>
      </c>
      <c r="Q26" s="806">
        <f t="shared" si="2"/>
        <v>0</v>
      </c>
      <c r="R26" s="806">
        <f t="shared" si="2"/>
        <v>89275.721928809682</v>
      </c>
      <c r="S26" s="68"/>
    </row>
    <row r="27" spans="1:19" s="457" customFormat="1" ht="17.25" thickTop="1" thickBot="1">
      <c r="A27" s="695" t="s">
        <v>116</v>
      </c>
      <c r="B27" s="798"/>
      <c r="C27" s="696">
        <f ca="1">C22+C16+C26</f>
        <v>107262.27022744479</v>
      </c>
      <c r="D27" s="696">
        <f t="shared" ref="D27:R27" ca="1" si="3">D22+D16+D26</f>
        <v>77560.71428571429</v>
      </c>
      <c r="E27" s="696">
        <f t="shared" ca="1" si="3"/>
        <v>234267.90299942877</v>
      </c>
      <c r="F27" s="696">
        <f t="shared" si="3"/>
        <v>4243.381633793756</v>
      </c>
      <c r="G27" s="696">
        <f t="shared" ca="1" si="3"/>
        <v>20723.232705360788</v>
      </c>
      <c r="H27" s="696">
        <f t="shared" si="3"/>
        <v>304143.88824622554</v>
      </c>
      <c r="I27" s="696">
        <f t="shared" si="3"/>
        <v>38013.095908747702</v>
      </c>
      <c r="J27" s="696">
        <f t="shared" si="3"/>
        <v>0</v>
      </c>
      <c r="K27" s="696">
        <f t="shared" si="3"/>
        <v>1081.813809224215</v>
      </c>
      <c r="L27" s="696">
        <f t="shared" si="3"/>
        <v>0</v>
      </c>
      <c r="M27" s="696">
        <f t="shared" ca="1" si="3"/>
        <v>0</v>
      </c>
      <c r="N27" s="696">
        <f t="shared" si="3"/>
        <v>15280.24340092336</v>
      </c>
      <c r="O27" s="696">
        <f t="shared" ca="1" si="3"/>
        <v>33535.442507182343</v>
      </c>
      <c r="P27" s="696">
        <f t="shared" si="3"/>
        <v>121.94000000000001</v>
      </c>
      <c r="Q27" s="696">
        <f t="shared" si="3"/>
        <v>438.5333333333333</v>
      </c>
      <c r="R27" s="696">
        <f t="shared" ca="1" si="3"/>
        <v>836672.4590573787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6718.4874023592738</v>
      </c>
      <c r="D40" s="688">
        <f ca="1">tertiair!C20</f>
        <v>0</v>
      </c>
      <c r="E40" s="688">
        <f ca="1">tertiair!D20</f>
        <v>8555.6820011563796</v>
      </c>
      <c r="F40" s="688">
        <f>tertiair!E20</f>
        <v>54.536023731647155</v>
      </c>
      <c r="G40" s="688">
        <f ca="1">tertiair!F20</f>
        <v>2018.5416835365409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17347.247110783843</v>
      </c>
    </row>
    <row r="41" spans="1:18">
      <c r="A41" s="816" t="s">
        <v>225</v>
      </c>
      <c r="B41" s="823"/>
      <c r="C41" s="688">
        <f ca="1">huishoudens!B12</f>
        <v>7767.5972816240655</v>
      </c>
      <c r="D41" s="688">
        <f ca="1">huishoudens!C12</f>
        <v>0</v>
      </c>
      <c r="E41" s="688">
        <f>huishoudens!D12</f>
        <v>19835.478886021949</v>
      </c>
      <c r="F41" s="688">
        <f>huishoudens!E12</f>
        <v>573.72717992680077</v>
      </c>
      <c r="G41" s="688">
        <f>huishoudens!F12</f>
        <v>0</v>
      </c>
      <c r="H41" s="688">
        <f>huishoudens!G12</f>
        <v>0</v>
      </c>
      <c r="I41" s="688">
        <f>huishoudens!H12</f>
        <v>0</v>
      </c>
      <c r="J41" s="688">
        <f>huishoudens!I12</f>
        <v>0</v>
      </c>
      <c r="K41" s="688">
        <f>huishoudens!J12</f>
        <v>246.88318104820192</v>
      </c>
      <c r="L41" s="688">
        <f>huishoudens!K12</f>
        <v>0</v>
      </c>
      <c r="M41" s="688">
        <f>huishoudens!L12</f>
        <v>0</v>
      </c>
      <c r="N41" s="688">
        <f>huishoudens!M12</f>
        <v>0</v>
      </c>
      <c r="O41" s="688">
        <f>huishoudens!N12</f>
        <v>0</v>
      </c>
      <c r="P41" s="688">
        <f>huishoudens!O12</f>
        <v>0</v>
      </c>
      <c r="Q41" s="763">
        <f>huishoudens!P12</f>
        <v>0</v>
      </c>
      <c r="R41" s="844">
        <f t="shared" ca="1" si="4"/>
        <v>28423.686528621016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6829.1246764186744</v>
      </c>
      <c r="D43" s="688">
        <f ca="1">industrie!C22</f>
        <v>0</v>
      </c>
      <c r="E43" s="688">
        <f>industrie!D22</f>
        <v>18399.16583652468</v>
      </c>
      <c r="F43" s="688">
        <f>industrie!E22</f>
        <v>70.019604426374627</v>
      </c>
      <c r="G43" s="688">
        <f>industrie!F22</f>
        <v>1934.4225386138874</v>
      </c>
      <c r="H43" s="688">
        <f>industrie!G22</f>
        <v>0</v>
      </c>
      <c r="I43" s="688">
        <f>industrie!H22</f>
        <v>0</v>
      </c>
      <c r="J43" s="688">
        <f>industrie!I22</f>
        <v>0</v>
      </c>
      <c r="K43" s="688">
        <f>industrie!J22</f>
        <v>56.662030954098142</v>
      </c>
      <c r="L43" s="688">
        <f>industrie!K22</f>
        <v>0</v>
      </c>
      <c r="M43" s="688">
        <f>industrie!L22</f>
        <v>0</v>
      </c>
      <c r="N43" s="688">
        <f>industrie!M22</f>
        <v>0</v>
      </c>
      <c r="O43" s="688">
        <f>industrie!N22</f>
        <v>0</v>
      </c>
      <c r="P43" s="688">
        <f>industrie!O22</f>
        <v>0</v>
      </c>
      <c r="Q43" s="763">
        <f>industrie!P22</f>
        <v>0</v>
      </c>
      <c r="R43" s="843">
        <f t="shared" ca="1" si="4"/>
        <v>27289.394686937718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21315.209360402012</v>
      </c>
      <c r="D46" s="721">
        <f t="shared" ref="D46:Q46" ca="1" si="5">SUM(D39:D45)</f>
        <v>0</v>
      </c>
      <c r="E46" s="721">
        <f t="shared" ca="1" si="5"/>
        <v>46790.326723703009</v>
      </c>
      <c r="F46" s="721">
        <f t="shared" si="5"/>
        <v>698.28280808482248</v>
      </c>
      <c r="G46" s="721">
        <f t="shared" ca="1" si="5"/>
        <v>3952.9642221504282</v>
      </c>
      <c r="H46" s="721">
        <f t="shared" si="5"/>
        <v>0</v>
      </c>
      <c r="I46" s="721">
        <f t="shared" si="5"/>
        <v>0</v>
      </c>
      <c r="J46" s="721">
        <f t="shared" si="5"/>
        <v>0</v>
      </c>
      <c r="K46" s="721">
        <f t="shared" si="5"/>
        <v>303.54521200230005</v>
      </c>
      <c r="L46" s="721">
        <f t="shared" si="5"/>
        <v>0</v>
      </c>
      <c r="M46" s="721">
        <f t="shared" ca="1" si="5"/>
        <v>0</v>
      </c>
      <c r="N46" s="721">
        <f t="shared" si="5"/>
        <v>0</v>
      </c>
      <c r="O46" s="721">
        <f t="shared" ca="1" si="5"/>
        <v>0</v>
      </c>
      <c r="P46" s="721">
        <f t="shared" si="5"/>
        <v>0</v>
      </c>
      <c r="Q46" s="721">
        <f t="shared" si="5"/>
        <v>0</v>
      </c>
      <c r="R46" s="721">
        <f ca="1">SUM(R39:R45)</f>
        <v>73060.328326342569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993.94085333907515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993.94085333907515</v>
      </c>
    </row>
    <row r="50" spans="1:18">
      <c r="A50" s="819" t="s">
        <v>307</v>
      </c>
      <c r="B50" s="829"/>
      <c r="C50" s="1008">
        <f ca="1">transport!B18</f>
        <v>1.2988885795678566</v>
      </c>
      <c r="D50" s="1008">
        <f>transport!C18</f>
        <v>0</v>
      </c>
      <c r="E50" s="1008">
        <f>transport!D18</f>
        <v>3.270400820147664</v>
      </c>
      <c r="F50" s="1008">
        <f>transport!E18</f>
        <v>261.08662090324771</v>
      </c>
      <c r="G50" s="1008">
        <f>transport!F18</f>
        <v>0</v>
      </c>
      <c r="H50" s="1008">
        <f>transport!G18</f>
        <v>80212.477308403148</v>
      </c>
      <c r="I50" s="1008">
        <f>transport!H18</f>
        <v>9465.2608812781782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89943.394099984289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1.2988885795678566</v>
      </c>
      <c r="D52" s="721">
        <f t="shared" ref="D52:Q52" ca="1" si="6">SUM(D48:D51)</f>
        <v>0</v>
      </c>
      <c r="E52" s="721">
        <f t="shared" si="6"/>
        <v>3.270400820147664</v>
      </c>
      <c r="F52" s="721">
        <f t="shared" si="6"/>
        <v>261.08662090324771</v>
      </c>
      <c r="G52" s="721">
        <f t="shared" si="6"/>
        <v>0</v>
      </c>
      <c r="H52" s="721">
        <f t="shared" si="6"/>
        <v>81206.418161742229</v>
      </c>
      <c r="I52" s="721">
        <f t="shared" si="6"/>
        <v>9465.2608812781782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90937.33495332337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370.5593253938444</v>
      </c>
      <c r="D54" s="1008">
        <f ca="1">+landbouw!C12</f>
        <v>15840.279831932779</v>
      </c>
      <c r="E54" s="1008">
        <f>+landbouw!D12</f>
        <v>0</v>
      </c>
      <c r="F54" s="1008">
        <f>+landbouw!E12</f>
        <v>3.8782018831123568</v>
      </c>
      <c r="G54" s="1008">
        <f>+landbouw!F12</f>
        <v>1580.1389101809023</v>
      </c>
      <c r="H54" s="1008">
        <f>+landbouw!G12</f>
        <v>0</v>
      </c>
      <c r="I54" s="1008">
        <f>+landbouw!H12</f>
        <v>0</v>
      </c>
      <c r="J54" s="1008">
        <f>+landbouw!I12</f>
        <v>0</v>
      </c>
      <c r="K54" s="1008">
        <f>+landbouw!J12</f>
        <v>79.416876463072029</v>
      </c>
      <c r="L54" s="1008">
        <f>+landbouw!K12</f>
        <v>0</v>
      </c>
      <c r="M54" s="1008">
        <f>+landbouw!L12</f>
        <v>0</v>
      </c>
      <c r="N54" s="1008">
        <f>+landbouw!M12</f>
        <v>0</v>
      </c>
      <c r="O54" s="1008">
        <f>+landbouw!N12</f>
        <v>0</v>
      </c>
      <c r="P54" s="1008">
        <f>+landbouw!O12</f>
        <v>0</v>
      </c>
      <c r="Q54" s="1009">
        <f>+landbouw!P12</f>
        <v>0</v>
      </c>
      <c r="R54" s="720">
        <f ca="1">SUM(C54:Q54)</f>
        <v>17874.273145853709</v>
      </c>
    </row>
    <row r="55" spans="1:18" ht="15" thickBot="1">
      <c r="A55" s="819" t="s">
        <v>912</v>
      </c>
      <c r="B55" s="829"/>
      <c r="C55" s="1008">
        <f ca="1">C25*'EF ele_warmte'!B12</f>
        <v>229.97584681205018</v>
      </c>
      <c r="D55" s="1008"/>
      <c r="E55" s="1008">
        <f>E25*EF_CO2_aardgas</f>
        <v>528.51928136145557</v>
      </c>
      <c r="F55" s="1008"/>
      <c r="G55" s="1008"/>
      <c r="H55" s="1008"/>
      <c r="I55" s="1008"/>
      <c r="J55" s="1008"/>
      <c r="K55" s="1008"/>
      <c r="L55" s="1008"/>
      <c r="M55" s="1008"/>
      <c r="N55" s="1008"/>
      <c r="O55" s="1008"/>
      <c r="P55" s="1008"/>
      <c r="Q55" s="1009"/>
      <c r="R55" s="720">
        <f ca="1">SUM(C55:Q55)</f>
        <v>758.49512817350569</v>
      </c>
    </row>
    <row r="56" spans="1:18" ht="15.75" thickBot="1">
      <c r="A56" s="817" t="s">
        <v>913</v>
      </c>
      <c r="B56" s="830"/>
      <c r="C56" s="721">
        <f ca="1">SUM(C54:C55)</f>
        <v>600.53517220589458</v>
      </c>
      <c r="D56" s="721">
        <f t="shared" ref="D56:Q56" ca="1" si="7">SUM(D54:D55)</f>
        <v>15840.279831932779</v>
      </c>
      <c r="E56" s="721">
        <f t="shared" si="7"/>
        <v>528.51928136145557</v>
      </c>
      <c r="F56" s="721">
        <f t="shared" si="7"/>
        <v>3.8782018831123568</v>
      </c>
      <c r="G56" s="721">
        <f t="shared" si="7"/>
        <v>1580.1389101809023</v>
      </c>
      <c r="H56" s="721">
        <f t="shared" si="7"/>
        <v>0</v>
      </c>
      <c r="I56" s="721">
        <f t="shared" si="7"/>
        <v>0</v>
      </c>
      <c r="J56" s="721">
        <f t="shared" si="7"/>
        <v>0</v>
      </c>
      <c r="K56" s="721">
        <f t="shared" si="7"/>
        <v>79.416876463072029</v>
      </c>
      <c r="L56" s="721">
        <f t="shared" si="7"/>
        <v>0</v>
      </c>
      <c r="M56" s="721">
        <f t="shared" si="7"/>
        <v>0</v>
      </c>
      <c r="N56" s="721">
        <f t="shared" si="7"/>
        <v>0</v>
      </c>
      <c r="O56" s="721">
        <f t="shared" si="7"/>
        <v>0</v>
      </c>
      <c r="P56" s="721">
        <f t="shared" si="7"/>
        <v>0</v>
      </c>
      <c r="Q56" s="722">
        <f t="shared" si="7"/>
        <v>0</v>
      </c>
      <c r="R56" s="723">
        <f ca="1">SUM(R54:R55)</f>
        <v>18632.768274027214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21917.043421187474</v>
      </c>
      <c r="D61" s="729">
        <f t="shared" ref="D61:Q61" ca="1" si="8">D46+D52+D56</f>
        <v>15840.279831932779</v>
      </c>
      <c r="E61" s="729">
        <f t="shared" ca="1" si="8"/>
        <v>47322.116405884612</v>
      </c>
      <c r="F61" s="729">
        <f t="shared" si="8"/>
        <v>963.24763087118265</v>
      </c>
      <c r="G61" s="729">
        <f t="shared" ca="1" si="8"/>
        <v>5533.1031323313309</v>
      </c>
      <c r="H61" s="729">
        <f t="shared" si="8"/>
        <v>81206.418161742229</v>
      </c>
      <c r="I61" s="729">
        <f t="shared" si="8"/>
        <v>9465.2608812781782</v>
      </c>
      <c r="J61" s="729">
        <f t="shared" si="8"/>
        <v>0</v>
      </c>
      <c r="K61" s="729">
        <f t="shared" si="8"/>
        <v>382.96208846537206</v>
      </c>
      <c r="L61" s="729">
        <f t="shared" si="8"/>
        <v>0</v>
      </c>
      <c r="M61" s="729">
        <f t="shared" ca="1" si="8"/>
        <v>0</v>
      </c>
      <c r="N61" s="729">
        <f t="shared" si="8"/>
        <v>0</v>
      </c>
      <c r="O61" s="729">
        <f t="shared" ca="1" si="8"/>
        <v>0</v>
      </c>
      <c r="P61" s="729">
        <f t="shared" si="8"/>
        <v>0</v>
      </c>
      <c r="Q61" s="729">
        <f t="shared" si="8"/>
        <v>0</v>
      </c>
      <c r="R61" s="729">
        <f ca="1">R46+R52+R56</f>
        <v>182630.43155369314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0.20433134013212079</v>
      </c>
      <c r="D63" s="773">
        <f t="shared" ca="1" si="9"/>
        <v>0.20423071109919316</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3970.4600969718063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7634.2499999999982</v>
      </c>
      <c r="C76" s="739">
        <f>'lokale energieproductie'!B8*IFERROR(SUM(D76:H76)/SUM(D76:O76),0)</f>
        <v>46658.25</v>
      </c>
      <c r="D76" s="1020">
        <f>'lokale energieproductie'!C8</f>
        <v>54892.05882352942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8981.4705882352937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11088.195882352944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11604.710096971805</v>
      </c>
      <c r="C78" s="744">
        <f>SUM(C72:C77)</f>
        <v>46658.25</v>
      </c>
      <c r="D78" s="745">
        <f t="shared" ref="D78:H78" si="10">SUM(D76:D77)</f>
        <v>54892.05882352942</v>
      </c>
      <c r="E78" s="745">
        <f t="shared" si="10"/>
        <v>0</v>
      </c>
      <c r="F78" s="745">
        <f t="shared" si="10"/>
        <v>0</v>
      </c>
      <c r="G78" s="745">
        <f t="shared" si="10"/>
        <v>0</v>
      </c>
      <c r="H78" s="745">
        <f t="shared" si="10"/>
        <v>0</v>
      </c>
      <c r="I78" s="745">
        <f>SUM(I76:I77)</f>
        <v>0</v>
      </c>
      <c r="J78" s="745">
        <f>SUM(J76:J77)</f>
        <v>8981.4705882352937</v>
      </c>
      <c r="K78" s="745">
        <f t="shared" ref="K78:L78" si="11">SUM(K76:K77)</f>
        <v>0</v>
      </c>
      <c r="L78" s="745">
        <f t="shared" si="11"/>
        <v>0</v>
      </c>
      <c r="M78" s="745">
        <f>SUM(M76:M77)</f>
        <v>0</v>
      </c>
      <c r="N78" s="745">
        <f>SUM(N76:N77)</f>
        <v>0</v>
      </c>
      <c r="O78" s="854">
        <f>SUM(O76:O77)</f>
        <v>0</v>
      </c>
      <c r="P78" s="746">
        <v>0</v>
      </c>
      <c r="Q78" s="746">
        <f>SUM(Q76:Q77)</f>
        <v>11088.195882352944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10906.071428571428</v>
      </c>
      <c r="C87" s="755">
        <f>'lokale energieproductie'!B17*IFERROR(SUM(D87:H87)/SUM(D87:O87),0)</f>
        <v>66654.642857142855</v>
      </c>
      <c r="D87" s="766">
        <f>'lokale energieproductie'!C17</f>
        <v>78417.226890756327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12830.672268907565</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15840.279831932779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10906.071428571428</v>
      </c>
      <c r="C90" s="744">
        <f>SUM(C87:C89)</f>
        <v>66654.642857142855</v>
      </c>
      <c r="D90" s="744">
        <f t="shared" ref="D90:H90" si="12">SUM(D87:D89)</f>
        <v>78417.226890756327</v>
      </c>
      <c r="E90" s="744">
        <f t="shared" si="12"/>
        <v>0</v>
      </c>
      <c r="F90" s="744">
        <f t="shared" si="12"/>
        <v>0</v>
      </c>
      <c r="G90" s="744">
        <f t="shared" si="12"/>
        <v>0</v>
      </c>
      <c r="H90" s="744">
        <f t="shared" si="12"/>
        <v>0</v>
      </c>
      <c r="I90" s="744">
        <f>SUM(I87:I89)</f>
        <v>0</v>
      </c>
      <c r="J90" s="744">
        <f>SUM(J87:J89)</f>
        <v>12830.672268907565</v>
      </c>
      <c r="K90" s="744">
        <f t="shared" ref="K90:L90" si="13">SUM(K87:K89)</f>
        <v>0</v>
      </c>
      <c r="L90" s="744">
        <f t="shared" si="13"/>
        <v>0</v>
      </c>
      <c r="M90" s="744">
        <f>SUM(M87:M89)</f>
        <v>0</v>
      </c>
      <c r="N90" s="744">
        <f>SUM(N87:N89)</f>
        <v>0</v>
      </c>
      <c r="O90" s="744">
        <f>SUM(O87:O89)</f>
        <v>0</v>
      </c>
      <c r="P90" s="744">
        <v>0</v>
      </c>
      <c r="Q90" s="744">
        <f>SUM(Q87:Q89)</f>
        <v>15840.279831932779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3970.4600969718063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54292.5</v>
      </c>
      <c r="C8" s="558">
        <f>B101</f>
        <v>54892.05882352942</v>
      </c>
      <c r="D8" s="991"/>
      <c r="E8" s="991">
        <f>E101</f>
        <v>0</v>
      </c>
      <c r="F8" s="992"/>
      <c r="G8" s="559"/>
      <c r="H8" s="991">
        <f>I101</f>
        <v>0</v>
      </c>
      <c r="I8" s="991">
        <f>G101+F101</f>
        <v>0</v>
      </c>
      <c r="J8" s="991">
        <f>H101+D101+C101</f>
        <v>8981.4705882352937</v>
      </c>
      <c r="K8" s="991"/>
      <c r="L8" s="991"/>
      <c r="M8" s="991"/>
      <c r="N8" s="560"/>
      <c r="O8" s="561">
        <f>C8*$C$12+D8*$D$12+E8*$E$12+F8*$F$12+G8*$G$12+H8*$H$12+I8*$I$12+J8*$J$12</f>
        <v>11088.195882352944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58262.960096971809</v>
      </c>
      <c r="C10" s="570">
        <f t="shared" ref="C10:L10" si="0">SUM(C8:C9)</f>
        <v>54892.05882352942</v>
      </c>
      <c r="D10" s="570">
        <f t="shared" si="0"/>
        <v>0</v>
      </c>
      <c r="E10" s="570">
        <f t="shared" si="0"/>
        <v>0</v>
      </c>
      <c r="F10" s="570">
        <f t="shared" si="0"/>
        <v>0</v>
      </c>
      <c r="G10" s="570">
        <f t="shared" si="0"/>
        <v>0</v>
      </c>
      <c r="H10" s="570">
        <f t="shared" si="0"/>
        <v>0</v>
      </c>
      <c r="I10" s="570">
        <f t="shared" si="0"/>
        <v>0</v>
      </c>
      <c r="J10" s="570">
        <f t="shared" si="0"/>
        <v>8981.4705882352937</v>
      </c>
      <c r="K10" s="570">
        <f t="shared" si="0"/>
        <v>0</v>
      </c>
      <c r="L10" s="570">
        <f t="shared" si="0"/>
        <v>0</v>
      </c>
      <c r="M10" s="995"/>
      <c r="N10" s="995"/>
      <c r="O10" s="571">
        <f>SUM(O4:O9)</f>
        <v>11088.195882352944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77560.71428571429</v>
      </c>
      <c r="C17" s="582">
        <f>B102</f>
        <v>78417.226890756327</v>
      </c>
      <c r="D17" s="583"/>
      <c r="E17" s="583">
        <f>E102</f>
        <v>0</v>
      </c>
      <c r="F17" s="584"/>
      <c r="G17" s="585"/>
      <c r="H17" s="582">
        <f>I102</f>
        <v>0</v>
      </c>
      <c r="I17" s="583">
        <f>G102+F102</f>
        <v>0</v>
      </c>
      <c r="J17" s="583">
        <f>H102+D102+C102</f>
        <v>12830.672268907565</v>
      </c>
      <c r="K17" s="583"/>
      <c r="L17" s="583"/>
      <c r="M17" s="583"/>
      <c r="N17" s="998"/>
      <c r="O17" s="586">
        <f>C17*$C$22+E17*$E$22+H17*$H$22+I17*$I$22+J17*$J$22+D17*$D$22+F17*$F$22+G17*$G$22+K17*$K$22+L17*$L$22</f>
        <v>15840.279831932779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77560.71428571429</v>
      </c>
      <c r="C20" s="569">
        <f>SUM(C17:C19)</f>
        <v>78417.226890756327</v>
      </c>
      <c r="D20" s="569">
        <f t="shared" ref="D20:L20" si="1">SUM(D17:D19)</f>
        <v>0</v>
      </c>
      <c r="E20" s="569">
        <f t="shared" si="1"/>
        <v>0</v>
      </c>
      <c r="F20" s="569">
        <f t="shared" si="1"/>
        <v>0</v>
      </c>
      <c r="G20" s="569">
        <f t="shared" si="1"/>
        <v>0</v>
      </c>
      <c r="H20" s="569">
        <f t="shared" si="1"/>
        <v>0</v>
      </c>
      <c r="I20" s="569">
        <f t="shared" si="1"/>
        <v>0</v>
      </c>
      <c r="J20" s="569">
        <f t="shared" si="1"/>
        <v>12830.672268907565</v>
      </c>
      <c r="K20" s="569">
        <f t="shared" si="1"/>
        <v>0</v>
      </c>
      <c r="L20" s="569">
        <f t="shared" si="1"/>
        <v>0</v>
      </c>
      <c r="M20" s="569"/>
      <c r="N20" s="569"/>
      <c r="O20" s="590">
        <f>SUM(O17:O19)</f>
        <v>15840.279831932779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11035</v>
      </c>
      <c r="C28" s="789">
        <v>2520</v>
      </c>
      <c r="D28" s="642" t="s">
        <v>948</v>
      </c>
      <c r="E28" s="641" t="s">
        <v>949</v>
      </c>
      <c r="F28" s="641" t="s">
        <v>950</v>
      </c>
      <c r="G28" s="641" t="s">
        <v>951</v>
      </c>
      <c r="H28" s="641" t="s">
        <v>952</v>
      </c>
      <c r="I28" s="641" t="s">
        <v>949</v>
      </c>
      <c r="J28" s="788">
        <v>39853</v>
      </c>
      <c r="K28" s="788">
        <v>39853</v>
      </c>
      <c r="L28" s="641" t="s">
        <v>953</v>
      </c>
      <c r="M28" s="641">
        <v>2016</v>
      </c>
      <c r="N28" s="641">
        <v>9072</v>
      </c>
      <c r="O28" s="641">
        <v>12960</v>
      </c>
      <c r="P28" s="641">
        <v>25920</v>
      </c>
      <c r="Q28" s="641">
        <v>0</v>
      </c>
      <c r="R28" s="641">
        <v>0</v>
      </c>
      <c r="S28" s="641">
        <v>0</v>
      </c>
      <c r="T28" s="641">
        <v>0</v>
      </c>
      <c r="U28" s="641">
        <v>0</v>
      </c>
      <c r="V28" s="641">
        <v>0</v>
      </c>
      <c r="W28" s="641"/>
      <c r="X28" s="641">
        <v>10</v>
      </c>
      <c r="Y28" s="641" t="s">
        <v>112</v>
      </c>
      <c r="Z28" s="643" t="s">
        <v>112</v>
      </c>
    </row>
    <row r="29" spans="1:26" s="595" customFormat="1" ht="25.5">
      <c r="A29" s="594"/>
      <c r="B29" s="789">
        <v>11035</v>
      </c>
      <c r="C29" s="789">
        <v>2520</v>
      </c>
      <c r="D29" s="642" t="s">
        <v>954</v>
      </c>
      <c r="E29" s="641" t="s">
        <v>955</v>
      </c>
      <c r="F29" s="641" t="s">
        <v>956</v>
      </c>
      <c r="G29" s="641" t="s">
        <v>951</v>
      </c>
      <c r="H29" s="641" t="s">
        <v>952</v>
      </c>
      <c r="I29" s="641" t="s">
        <v>955</v>
      </c>
      <c r="J29" s="788">
        <v>39895</v>
      </c>
      <c r="K29" s="788">
        <v>39895</v>
      </c>
      <c r="L29" s="641" t="s">
        <v>953</v>
      </c>
      <c r="M29" s="641">
        <v>1635</v>
      </c>
      <c r="N29" s="641">
        <v>7357.5</v>
      </c>
      <c r="O29" s="641">
        <v>10510.714285714286</v>
      </c>
      <c r="P29" s="641">
        <v>21021.428571428572</v>
      </c>
      <c r="Q29" s="641">
        <v>0</v>
      </c>
      <c r="R29" s="641">
        <v>0</v>
      </c>
      <c r="S29" s="641">
        <v>0</v>
      </c>
      <c r="T29" s="641">
        <v>0</v>
      </c>
      <c r="U29" s="641">
        <v>0</v>
      </c>
      <c r="V29" s="641">
        <v>0</v>
      </c>
      <c r="W29" s="641"/>
      <c r="X29" s="641">
        <v>10</v>
      </c>
      <c r="Y29" s="641" t="s">
        <v>112</v>
      </c>
      <c r="Z29" s="643" t="s">
        <v>112</v>
      </c>
    </row>
    <row r="30" spans="1:26" s="595" customFormat="1" ht="25.5">
      <c r="A30" s="594"/>
      <c r="B30" s="789">
        <v>11035</v>
      </c>
      <c r="C30" s="789">
        <v>2520</v>
      </c>
      <c r="D30" s="642" t="s">
        <v>957</v>
      </c>
      <c r="E30" s="641" t="s">
        <v>958</v>
      </c>
      <c r="F30" s="641" t="s">
        <v>959</v>
      </c>
      <c r="G30" s="641" t="s">
        <v>951</v>
      </c>
      <c r="H30" s="641" t="s">
        <v>952</v>
      </c>
      <c r="I30" s="641" t="s">
        <v>960</v>
      </c>
      <c r="J30" s="788">
        <v>39976</v>
      </c>
      <c r="K30" s="788">
        <v>39990</v>
      </c>
      <c r="L30" s="641" t="s">
        <v>953</v>
      </c>
      <c r="M30" s="641">
        <v>1400</v>
      </c>
      <c r="N30" s="641">
        <v>6300</v>
      </c>
      <c r="O30" s="641">
        <v>9000</v>
      </c>
      <c r="P30" s="641">
        <v>18000</v>
      </c>
      <c r="Q30" s="641">
        <v>0</v>
      </c>
      <c r="R30" s="641">
        <v>0</v>
      </c>
      <c r="S30" s="641">
        <v>0</v>
      </c>
      <c r="T30" s="641">
        <v>0</v>
      </c>
      <c r="U30" s="641">
        <v>0</v>
      </c>
      <c r="V30" s="641">
        <v>0</v>
      </c>
      <c r="W30" s="641"/>
      <c r="X30" s="641">
        <v>10</v>
      </c>
      <c r="Y30" s="641" t="s">
        <v>112</v>
      </c>
      <c r="Z30" s="643" t="s">
        <v>112</v>
      </c>
    </row>
    <row r="31" spans="1:26" s="595" customFormat="1" ht="25.5">
      <c r="A31" s="594"/>
      <c r="B31" s="789">
        <v>11035</v>
      </c>
      <c r="C31" s="789">
        <v>2520</v>
      </c>
      <c r="D31" s="642" t="s">
        <v>961</v>
      </c>
      <c r="E31" s="641" t="s">
        <v>962</v>
      </c>
      <c r="F31" s="641" t="s">
        <v>963</v>
      </c>
      <c r="G31" s="641" t="s">
        <v>951</v>
      </c>
      <c r="H31" s="641" t="s">
        <v>952</v>
      </c>
      <c r="I31" s="641" t="s">
        <v>962</v>
      </c>
      <c r="J31" s="788">
        <v>40163</v>
      </c>
      <c r="K31" s="788">
        <v>40163</v>
      </c>
      <c r="L31" s="641" t="s">
        <v>953</v>
      </c>
      <c r="M31" s="641">
        <v>1127</v>
      </c>
      <c r="N31" s="641">
        <v>5071.5</v>
      </c>
      <c r="O31" s="641">
        <v>7245</v>
      </c>
      <c r="P31" s="641">
        <v>14490.000000000002</v>
      </c>
      <c r="Q31" s="641">
        <v>0</v>
      </c>
      <c r="R31" s="641">
        <v>0</v>
      </c>
      <c r="S31" s="641">
        <v>0</v>
      </c>
      <c r="T31" s="641">
        <v>0</v>
      </c>
      <c r="U31" s="641">
        <v>0</v>
      </c>
      <c r="V31" s="641">
        <v>0</v>
      </c>
      <c r="W31" s="641"/>
      <c r="X31" s="641">
        <v>10</v>
      </c>
      <c r="Y31" s="641" t="s">
        <v>112</v>
      </c>
      <c r="Z31" s="643" t="s">
        <v>112</v>
      </c>
    </row>
    <row r="32" spans="1:26" s="595" customFormat="1" ht="25.5">
      <c r="A32" s="594"/>
      <c r="B32" s="789">
        <v>11035</v>
      </c>
      <c r="C32" s="789">
        <v>2520</v>
      </c>
      <c r="D32" s="642" t="s">
        <v>964</v>
      </c>
      <c r="E32" s="641" t="s">
        <v>965</v>
      </c>
      <c r="F32" s="641" t="s">
        <v>966</v>
      </c>
      <c r="G32" s="641" t="s">
        <v>951</v>
      </c>
      <c r="H32" s="641" t="s">
        <v>952</v>
      </c>
      <c r="I32" s="641" t="s">
        <v>965</v>
      </c>
      <c r="J32" s="788">
        <v>40259</v>
      </c>
      <c r="K32" s="788">
        <v>40259</v>
      </c>
      <c r="L32" s="641" t="s">
        <v>953</v>
      </c>
      <c r="M32" s="641">
        <v>1008</v>
      </c>
      <c r="N32" s="641">
        <v>4536</v>
      </c>
      <c r="O32" s="641">
        <v>6480</v>
      </c>
      <c r="P32" s="641">
        <v>12960</v>
      </c>
      <c r="Q32" s="641">
        <v>0</v>
      </c>
      <c r="R32" s="641">
        <v>0</v>
      </c>
      <c r="S32" s="641">
        <v>0</v>
      </c>
      <c r="T32" s="641">
        <v>0</v>
      </c>
      <c r="U32" s="641">
        <v>0</v>
      </c>
      <c r="V32" s="641">
        <v>0</v>
      </c>
      <c r="W32" s="641"/>
      <c r="X32" s="641">
        <v>10</v>
      </c>
      <c r="Y32" s="641" t="s">
        <v>112</v>
      </c>
      <c r="Z32" s="643" t="s">
        <v>112</v>
      </c>
    </row>
    <row r="33" spans="1:26" s="595" customFormat="1" ht="25.5">
      <c r="A33" s="594"/>
      <c r="B33" s="789">
        <v>11035</v>
      </c>
      <c r="C33" s="789">
        <v>2520</v>
      </c>
      <c r="D33" s="642" t="s">
        <v>967</v>
      </c>
      <c r="E33" s="641" t="s">
        <v>968</v>
      </c>
      <c r="F33" s="641" t="s">
        <v>969</v>
      </c>
      <c r="G33" s="641" t="s">
        <v>951</v>
      </c>
      <c r="H33" s="641" t="s">
        <v>952</v>
      </c>
      <c r="I33" s="641" t="s">
        <v>968</v>
      </c>
      <c r="J33" s="788">
        <v>40434</v>
      </c>
      <c r="K33" s="788">
        <v>40434</v>
      </c>
      <c r="L33" s="641" t="s">
        <v>953</v>
      </c>
      <c r="M33" s="641">
        <v>2262</v>
      </c>
      <c r="N33" s="641">
        <v>10179</v>
      </c>
      <c r="O33" s="641">
        <v>14541.428571428572</v>
      </c>
      <c r="P33" s="641">
        <v>7270.7142857142862</v>
      </c>
      <c r="Q33" s="641">
        <v>21812.142857142859</v>
      </c>
      <c r="R33" s="641">
        <v>0</v>
      </c>
      <c r="S33" s="641">
        <v>0</v>
      </c>
      <c r="T33" s="641">
        <v>0</v>
      </c>
      <c r="U33" s="641">
        <v>0</v>
      </c>
      <c r="V33" s="641">
        <v>0</v>
      </c>
      <c r="W33" s="641"/>
      <c r="X33" s="641">
        <v>10</v>
      </c>
      <c r="Y33" s="641" t="s">
        <v>112</v>
      </c>
      <c r="Z33" s="643" t="s">
        <v>112</v>
      </c>
    </row>
    <row r="34" spans="1:26" s="595" customFormat="1" ht="25.5">
      <c r="A34" s="594"/>
      <c r="B34" s="789">
        <v>11035</v>
      </c>
      <c r="C34" s="789">
        <v>2520</v>
      </c>
      <c r="D34" s="642" t="s">
        <v>970</v>
      </c>
      <c r="E34" s="641" t="s">
        <v>971</v>
      </c>
      <c r="F34" s="641" t="s">
        <v>972</v>
      </c>
      <c r="G34" s="641" t="s">
        <v>951</v>
      </c>
      <c r="H34" s="641" t="s">
        <v>952</v>
      </c>
      <c r="I34" s="641" t="s">
        <v>971</v>
      </c>
      <c r="J34" s="788">
        <v>40568</v>
      </c>
      <c r="K34" s="788">
        <v>40570</v>
      </c>
      <c r="L34" s="641" t="s">
        <v>953</v>
      </c>
      <c r="M34" s="641">
        <v>800</v>
      </c>
      <c r="N34" s="641">
        <v>3600</v>
      </c>
      <c r="O34" s="641">
        <v>5142.8571428571431</v>
      </c>
      <c r="P34" s="641">
        <v>10285.714285714286</v>
      </c>
      <c r="Q34" s="641">
        <v>0</v>
      </c>
      <c r="R34" s="641">
        <v>0</v>
      </c>
      <c r="S34" s="641">
        <v>0</v>
      </c>
      <c r="T34" s="641">
        <v>0</v>
      </c>
      <c r="U34" s="641">
        <v>0</v>
      </c>
      <c r="V34" s="641">
        <v>0</v>
      </c>
      <c r="W34" s="641"/>
      <c r="X34" s="641">
        <v>10</v>
      </c>
      <c r="Y34" s="641" t="s">
        <v>112</v>
      </c>
      <c r="Z34" s="643" t="s">
        <v>112</v>
      </c>
    </row>
    <row r="35" spans="1:26" s="595" customFormat="1" ht="38.25">
      <c r="A35" s="594"/>
      <c r="B35" s="789">
        <v>11035</v>
      </c>
      <c r="C35" s="789">
        <v>2520</v>
      </c>
      <c r="D35" s="642" t="s">
        <v>973</v>
      </c>
      <c r="E35" s="641" t="s">
        <v>974</v>
      </c>
      <c r="F35" s="641" t="s">
        <v>975</v>
      </c>
      <c r="G35" s="641" t="s">
        <v>951</v>
      </c>
      <c r="H35" s="641" t="s">
        <v>952</v>
      </c>
      <c r="I35" s="641" t="s">
        <v>974</v>
      </c>
      <c r="J35" s="788">
        <v>41043</v>
      </c>
      <c r="K35" s="788">
        <v>39083</v>
      </c>
      <c r="L35" s="641" t="s">
        <v>953</v>
      </c>
      <c r="M35" s="641">
        <v>1817</v>
      </c>
      <c r="N35" s="641">
        <v>8176.5</v>
      </c>
      <c r="O35" s="641">
        <v>11680.714285714286</v>
      </c>
      <c r="P35" s="641">
        <v>23361.428571428572</v>
      </c>
      <c r="Q35" s="641">
        <v>0</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12065</v>
      </c>
      <c r="N58" s="599">
        <f>SUM(N28:N57)</f>
        <v>54292.5</v>
      </c>
      <c r="O58" s="599">
        <f t="shared" ref="O58:W58" si="2">SUM(O28:O57)</f>
        <v>77560.71428571429</v>
      </c>
      <c r="P58" s="599">
        <f t="shared" si="2"/>
        <v>133309.28571428574</v>
      </c>
      <c r="Q58" s="599">
        <f t="shared" si="2"/>
        <v>21812.142857142859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12065</v>
      </c>
      <c r="N61" s="604">
        <f t="shared" si="4"/>
        <v>54292.5</v>
      </c>
      <c r="O61" s="604">
        <f t="shared" si="4"/>
        <v>77560.71428571429</v>
      </c>
      <c r="P61" s="604">
        <f t="shared" si="4"/>
        <v>133309.28571428574</v>
      </c>
      <c r="Q61" s="604">
        <f t="shared" si="4"/>
        <v>21812.142857142859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54892.05882352942</v>
      </c>
      <c r="C101" s="633">
        <f t="shared" si="9"/>
        <v>8981.4705882352937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78417.226890756327</v>
      </c>
      <c r="C102" s="636">
        <f t="shared" si="10"/>
        <v>12830.672268907565</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38014.713144843721</v>
      </c>
      <c r="C4" s="461">
        <f>huishoudens!C8</f>
        <v>0</v>
      </c>
      <c r="D4" s="461">
        <f>huishoudens!D8</f>
        <v>98195.440029811623</v>
      </c>
      <c r="E4" s="461">
        <f>huishoudens!E8</f>
        <v>2527.4325106907522</v>
      </c>
      <c r="F4" s="461">
        <f>huishoudens!F8</f>
        <v>0</v>
      </c>
      <c r="G4" s="461">
        <f>huishoudens!G8</f>
        <v>0</v>
      </c>
      <c r="H4" s="461">
        <f>huishoudens!H8</f>
        <v>0</v>
      </c>
      <c r="I4" s="461">
        <f>huishoudens!I8</f>
        <v>0</v>
      </c>
      <c r="J4" s="461">
        <f>huishoudens!J8</f>
        <v>697.4101159553727</v>
      </c>
      <c r="K4" s="461">
        <f>huishoudens!K8</f>
        <v>0</v>
      </c>
      <c r="L4" s="461">
        <f>huishoudens!L8</f>
        <v>0</v>
      </c>
      <c r="M4" s="461">
        <f>huishoudens!M8</f>
        <v>0</v>
      </c>
      <c r="N4" s="461">
        <f>huishoudens!N8</f>
        <v>23774.735294314458</v>
      </c>
      <c r="O4" s="461">
        <f>huishoudens!O8</f>
        <v>121.94000000000001</v>
      </c>
      <c r="P4" s="462">
        <f>huishoudens!P8</f>
        <v>438.5333333333333</v>
      </c>
      <c r="Q4" s="463">
        <f>SUM(B4:P4)</f>
        <v>163770.20442894925</v>
      </c>
    </row>
    <row r="5" spans="1:17">
      <c r="A5" s="460" t="s">
        <v>156</v>
      </c>
      <c r="B5" s="461">
        <f ca="1">tertiair!B16</f>
        <v>31477.681963425657</v>
      </c>
      <c r="C5" s="461">
        <f ca="1">tertiair!C16</f>
        <v>0</v>
      </c>
      <c r="D5" s="461">
        <f ca="1">tertiair!D16</f>
        <v>42354.861391863262</v>
      </c>
      <c r="E5" s="461">
        <f>tertiair!E16</f>
        <v>240.2468005799434</v>
      </c>
      <c r="F5" s="461">
        <f ca="1">tertiair!F16</f>
        <v>7560.0812117473433</v>
      </c>
      <c r="G5" s="461">
        <f>tertiair!G16</f>
        <v>0</v>
      </c>
      <c r="H5" s="461">
        <f>tertiair!H16</f>
        <v>0</v>
      </c>
      <c r="I5" s="461">
        <f>tertiair!I16</f>
        <v>0</v>
      </c>
      <c r="J5" s="461">
        <f>tertiair!J16</f>
        <v>0</v>
      </c>
      <c r="K5" s="461">
        <f>tertiair!K16</f>
        <v>0</v>
      </c>
      <c r="L5" s="461">
        <f ca="1">tertiair!L16</f>
        <v>0</v>
      </c>
      <c r="M5" s="461">
        <f>tertiair!M16</f>
        <v>0</v>
      </c>
      <c r="N5" s="461">
        <f ca="1">tertiair!N16</f>
        <v>8548.2190405058263</v>
      </c>
      <c r="O5" s="461">
        <f>tertiair!O16</f>
        <v>0</v>
      </c>
      <c r="P5" s="462">
        <f>tertiair!P16</f>
        <v>0</v>
      </c>
      <c r="Q5" s="460">
        <f t="shared" ref="Q5:Q14" ca="1" si="0">SUM(B5:P5)</f>
        <v>90181.090408122021</v>
      </c>
    </row>
    <row r="6" spans="1:17">
      <c r="A6" s="460" t="s">
        <v>194</v>
      </c>
      <c r="B6" s="461">
        <f>'openbare verlichting'!B8</f>
        <v>1402.675</v>
      </c>
      <c r="C6" s="461"/>
      <c r="D6" s="461"/>
      <c r="E6" s="461"/>
      <c r="F6" s="461"/>
      <c r="G6" s="461"/>
      <c r="H6" s="461"/>
      <c r="I6" s="461"/>
      <c r="J6" s="461"/>
      <c r="K6" s="461"/>
      <c r="L6" s="461"/>
      <c r="M6" s="461"/>
      <c r="N6" s="461"/>
      <c r="O6" s="461"/>
      <c r="P6" s="462"/>
      <c r="Q6" s="460">
        <f t="shared" si="0"/>
        <v>1402.675</v>
      </c>
    </row>
    <row r="7" spans="1:17">
      <c r="A7" s="460" t="s">
        <v>112</v>
      </c>
      <c r="B7" s="461">
        <f>landbouw!B8</f>
        <v>1813.5217297270233</v>
      </c>
      <c r="C7" s="461">
        <f>landbouw!C8</f>
        <v>77560.71428571429</v>
      </c>
      <c r="D7" s="461">
        <f>landbouw!D8</f>
        <v>0</v>
      </c>
      <c r="E7" s="461">
        <f>landbouw!E8</f>
        <v>17.084589793446504</v>
      </c>
      <c r="F7" s="461">
        <f>landbouw!F8</f>
        <v>5918.1232591045027</v>
      </c>
      <c r="G7" s="461">
        <f>landbouw!G8</f>
        <v>0</v>
      </c>
      <c r="H7" s="461">
        <f>landbouw!H8</f>
        <v>0</v>
      </c>
      <c r="I7" s="461">
        <f>landbouw!I8</f>
        <v>0</v>
      </c>
      <c r="J7" s="461">
        <f>landbouw!J8</f>
        <v>224.34145893523174</v>
      </c>
      <c r="K7" s="461">
        <f>landbouw!K8</f>
        <v>0</v>
      </c>
      <c r="L7" s="461">
        <f>landbouw!L8</f>
        <v>0</v>
      </c>
      <c r="M7" s="461">
        <f>landbouw!M8</f>
        <v>0</v>
      </c>
      <c r="N7" s="461">
        <f>landbouw!N8</f>
        <v>0</v>
      </c>
      <c r="O7" s="461">
        <f>landbouw!O8</f>
        <v>0</v>
      </c>
      <c r="P7" s="462">
        <f>landbouw!P8</f>
        <v>0</v>
      </c>
      <c r="Q7" s="460">
        <f t="shared" si="0"/>
        <v>85533.785323274496</v>
      </c>
    </row>
    <row r="8" spans="1:17">
      <c r="A8" s="460" t="s">
        <v>685</v>
      </c>
      <c r="B8" s="461">
        <f>industrie!B18</f>
        <v>33421.81709376035</v>
      </c>
      <c r="C8" s="461">
        <f>industrie!C18</f>
        <v>0</v>
      </c>
      <c r="D8" s="461">
        <f>industrie!D18</f>
        <v>91084.979388736043</v>
      </c>
      <c r="E8" s="461">
        <f>industrie!E18</f>
        <v>308.45640716464595</v>
      </c>
      <c r="F8" s="461">
        <f>industrie!F18</f>
        <v>7245.0282345089408</v>
      </c>
      <c r="G8" s="461">
        <f>industrie!G18</f>
        <v>0</v>
      </c>
      <c r="H8" s="461">
        <f>industrie!H18</f>
        <v>0</v>
      </c>
      <c r="I8" s="461">
        <f>industrie!I18</f>
        <v>0</v>
      </c>
      <c r="J8" s="461">
        <f>industrie!J18</f>
        <v>160.06223433361058</v>
      </c>
      <c r="K8" s="461">
        <f>industrie!K18</f>
        <v>0</v>
      </c>
      <c r="L8" s="461">
        <f>industrie!L18</f>
        <v>0</v>
      </c>
      <c r="M8" s="461">
        <f>industrie!M18</f>
        <v>0</v>
      </c>
      <c r="N8" s="461">
        <f>industrie!N18</f>
        <v>1212.4881723620597</v>
      </c>
      <c r="O8" s="461">
        <f>industrie!O18</f>
        <v>0</v>
      </c>
      <c r="P8" s="462">
        <f>industrie!P18</f>
        <v>0</v>
      </c>
      <c r="Q8" s="460">
        <f t="shared" si="0"/>
        <v>133432.83153086566</v>
      </c>
    </row>
    <row r="9" spans="1:17" s="466" customFormat="1">
      <c r="A9" s="464" t="s">
        <v>579</v>
      </c>
      <c r="B9" s="465">
        <f>transport!B14</f>
        <v>6.3567761006607908</v>
      </c>
      <c r="C9" s="465">
        <f>transport!C14</f>
        <v>0</v>
      </c>
      <c r="D9" s="465">
        <f>transport!D14</f>
        <v>16.190103070037939</v>
      </c>
      <c r="E9" s="465">
        <f>transport!E14</f>
        <v>1150.1613255649679</v>
      </c>
      <c r="F9" s="465">
        <f>transport!F14</f>
        <v>0</v>
      </c>
      <c r="G9" s="465">
        <f>transport!G14</f>
        <v>300421.26332735259</v>
      </c>
      <c r="H9" s="465">
        <f>transport!H14</f>
        <v>38013.095908747702</v>
      </c>
      <c r="I9" s="465">
        <f>transport!I14</f>
        <v>0</v>
      </c>
      <c r="J9" s="465">
        <f>transport!J14</f>
        <v>0</v>
      </c>
      <c r="K9" s="465">
        <f>transport!K14</f>
        <v>0</v>
      </c>
      <c r="L9" s="465">
        <f>transport!L14</f>
        <v>0</v>
      </c>
      <c r="M9" s="465">
        <f>transport!M14</f>
        <v>15116.776799881729</v>
      </c>
      <c r="N9" s="465">
        <f>transport!N14</f>
        <v>0</v>
      </c>
      <c r="O9" s="465">
        <f>transport!O14</f>
        <v>0</v>
      </c>
      <c r="P9" s="465">
        <f>transport!P14</f>
        <v>0</v>
      </c>
      <c r="Q9" s="464">
        <f>SUM(B9:P9)</f>
        <v>354723.84424071765</v>
      </c>
    </row>
    <row r="10" spans="1:17">
      <c r="A10" s="460" t="s">
        <v>569</v>
      </c>
      <c r="B10" s="461">
        <f>transport!B54</f>
        <v>0</v>
      </c>
      <c r="C10" s="461">
        <f>transport!C54</f>
        <v>0</v>
      </c>
      <c r="D10" s="461">
        <f>transport!D54</f>
        <v>0</v>
      </c>
      <c r="E10" s="461">
        <f>transport!E54</f>
        <v>0</v>
      </c>
      <c r="F10" s="461">
        <f>transport!F54</f>
        <v>0</v>
      </c>
      <c r="G10" s="461">
        <f>transport!G54</f>
        <v>3722.6249188729403</v>
      </c>
      <c r="H10" s="461">
        <f>transport!H54</f>
        <v>0</v>
      </c>
      <c r="I10" s="461">
        <f>transport!I54</f>
        <v>0</v>
      </c>
      <c r="J10" s="461">
        <f>transport!J54</f>
        <v>0</v>
      </c>
      <c r="K10" s="461">
        <f>transport!K54</f>
        <v>0</v>
      </c>
      <c r="L10" s="461">
        <f>transport!L54</f>
        <v>0</v>
      </c>
      <c r="M10" s="461">
        <f>transport!M54</f>
        <v>163.46660104163161</v>
      </c>
      <c r="N10" s="461">
        <f>transport!N54</f>
        <v>0</v>
      </c>
      <c r="O10" s="461">
        <f>transport!O54</f>
        <v>0</v>
      </c>
      <c r="P10" s="462">
        <f>transport!P54</f>
        <v>0</v>
      </c>
      <c r="Q10" s="460">
        <f t="shared" si="0"/>
        <v>3886.091519914572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1125.50451958739</v>
      </c>
      <c r="C14" s="468"/>
      <c r="D14" s="468">
        <f>'SEAP template'!E25</f>
        <v>2616.4320859477998</v>
      </c>
      <c r="E14" s="468"/>
      <c r="F14" s="468"/>
      <c r="G14" s="468"/>
      <c r="H14" s="468"/>
      <c r="I14" s="468"/>
      <c r="J14" s="468"/>
      <c r="K14" s="468"/>
      <c r="L14" s="468"/>
      <c r="M14" s="468"/>
      <c r="N14" s="468"/>
      <c r="O14" s="468"/>
      <c r="P14" s="469"/>
      <c r="Q14" s="460">
        <f t="shared" si="0"/>
        <v>3741.9366055351898</v>
      </c>
    </row>
    <row r="15" spans="1:17" s="473" customFormat="1">
      <c r="A15" s="470" t="s">
        <v>573</v>
      </c>
      <c r="B15" s="471">
        <f ca="1">SUM(B4:B14)</f>
        <v>107262.27022744482</v>
      </c>
      <c r="C15" s="471">
        <f t="shared" ref="C15:Q15" ca="1" si="1">SUM(C4:C14)</f>
        <v>77560.71428571429</v>
      </c>
      <c r="D15" s="471">
        <f t="shared" ca="1" si="1"/>
        <v>234267.90299942877</v>
      </c>
      <c r="E15" s="471">
        <f t="shared" si="1"/>
        <v>4243.381633793756</v>
      </c>
      <c r="F15" s="471">
        <f t="shared" ca="1" si="1"/>
        <v>20723.232705360788</v>
      </c>
      <c r="G15" s="471">
        <f t="shared" si="1"/>
        <v>304143.88824622554</v>
      </c>
      <c r="H15" s="471">
        <f t="shared" si="1"/>
        <v>38013.095908747702</v>
      </c>
      <c r="I15" s="471">
        <f t="shared" si="1"/>
        <v>0</v>
      </c>
      <c r="J15" s="471">
        <f t="shared" si="1"/>
        <v>1081.813809224215</v>
      </c>
      <c r="K15" s="471">
        <f t="shared" si="1"/>
        <v>0</v>
      </c>
      <c r="L15" s="471">
        <f t="shared" ca="1" si="1"/>
        <v>0</v>
      </c>
      <c r="M15" s="471">
        <f t="shared" si="1"/>
        <v>15280.24340092336</v>
      </c>
      <c r="N15" s="471">
        <f t="shared" ca="1" si="1"/>
        <v>33535.442507182343</v>
      </c>
      <c r="O15" s="471">
        <f t="shared" si="1"/>
        <v>121.94000000000001</v>
      </c>
      <c r="P15" s="471">
        <f t="shared" si="1"/>
        <v>438.5333333333333</v>
      </c>
      <c r="Q15" s="471">
        <f t="shared" ca="1" si="1"/>
        <v>836672.45905737882</v>
      </c>
    </row>
    <row r="17" spans="1:17">
      <c r="A17" s="474" t="s">
        <v>574</v>
      </c>
      <c r="B17" s="778">
        <f ca="1">huishoudens!B10</f>
        <v>0.20433134013212079</v>
      </c>
      <c r="C17" s="778">
        <f ca="1">huishoudens!C10</f>
        <v>0.20423071109919316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7767.5972816240655</v>
      </c>
      <c r="C22" s="461">
        <f t="shared" ref="C22:C32" ca="1" si="3">C4*$C$17</f>
        <v>0</v>
      </c>
      <c r="D22" s="461">
        <f t="shared" ref="D22:D32" si="4">D4*$D$17</f>
        <v>19835.478886021949</v>
      </c>
      <c r="E22" s="461">
        <f t="shared" ref="E22:E32" si="5">E4*$E$17</f>
        <v>573.72717992680077</v>
      </c>
      <c r="F22" s="461">
        <f t="shared" ref="F22:F32" si="6">F4*$F$17</f>
        <v>0</v>
      </c>
      <c r="G22" s="461">
        <f t="shared" ref="G22:G32" si="7">G4*$G$17</f>
        <v>0</v>
      </c>
      <c r="H22" s="461">
        <f t="shared" ref="H22:H32" si="8">H4*$H$17</f>
        <v>0</v>
      </c>
      <c r="I22" s="461">
        <f t="shared" ref="I22:I32" si="9">I4*$I$17</f>
        <v>0</v>
      </c>
      <c r="J22" s="461">
        <f t="shared" ref="J22:J32" si="10">J4*$J$17</f>
        <v>246.88318104820192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28423.686528621016</v>
      </c>
    </row>
    <row r="23" spans="1:17">
      <c r="A23" s="460" t="s">
        <v>156</v>
      </c>
      <c r="B23" s="461">
        <f t="shared" ca="1" si="2"/>
        <v>6431.8769398394516</v>
      </c>
      <c r="C23" s="461">
        <f t="shared" ca="1" si="3"/>
        <v>0</v>
      </c>
      <c r="D23" s="461">
        <f t="shared" ca="1" si="4"/>
        <v>8555.6820011563796</v>
      </c>
      <c r="E23" s="461">
        <f t="shared" si="5"/>
        <v>54.536023731647155</v>
      </c>
      <c r="F23" s="461">
        <f t="shared" ca="1" si="6"/>
        <v>2018.5416835365409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17060.636648264019</v>
      </c>
    </row>
    <row r="24" spans="1:17">
      <c r="A24" s="460" t="s">
        <v>194</v>
      </c>
      <c r="B24" s="461">
        <f t="shared" ca="1" si="2"/>
        <v>286.61046251982253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286.61046251982253</v>
      </c>
    </row>
    <row r="25" spans="1:17">
      <c r="A25" s="460" t="s">
        <v>112</v>
      </c>
      <c r="B25" s="461">
        <f t="shared" ca="1" si="2"/>
        <v>370.5593253938444</v>
      </c>
      <c r="C25" s="461">
        <f t="shared" ca="1" si="3"/>
        <v>15840.279831932779</v>
      </c>
      <c r="D25" s="461">
        <f t="shared" si="4"/>
        <v>0</v>
      </c>
      <c r="E25" s="461">
        <f t="shared" si="5"/>
        <v>3.8782018831123568</v>
      </c>
      <c r="F25" s="461">
        <f t="shared" si="6"/>
        <v>1580.1389101809023</v>
      </c>
      <c r="G25" s="461">
        <f t="shared" si="7"/>
        <v>0</v>
      </c>
      <c r="H25" s="461">
        <f t="shared" si="8"/>
        <v>0</v>
      </c>
      <c r="I25" s="461">
        <f t="shared" si="9"/>
        <v>0</v>
      </c>
      <c r="J25" s="461">
        <f t="shared" si="10"/>
        <v>79.416876463072029</v>
      </c>
      <c r="K25" s="461">
        <f t="shared" si="11"/>
        <v>0</v>
      </c>
      <c r="L25" s="461">
        <f t="shared" si="12"/>
        <v>0</v>
      </c>
      <c r="M25" s="461">
        <f t="shared" si="13"/>
        <v>0</v>
      </c>
      <c r="N25" s="461">
        <f t="shared" si="14"/>
        <v>0</v>
      </c>
      <c r="O25" s="461">
        <f t="shared" si="15"/>
        <v>0</v>
      </c>
      <c r="P25" s="462">
        <f t="shared" si="16"/>
        <v>0</v>
      </c>
      <c r="Q25" s="460">
        <f t="shared" ca="1" si="17"/>
        <v>17874.273145853709</v>
      </c>
    </row>
    <row r="26" spans="1:17">
      <c r="A26" s="460" t="s">
        <v>685</v>
      </c>
      <c r="B26" s="461">
        <f t="shared" ca="1" si="2"/>
        <v>6829.1246764186744</v>
      </c>
      <c r="C26" s="461">
        <f t="shared" ca="1" si="3"/>
        <v>0</v>
      </c>
      <c r="D26" s="461">
        <f t="shared" si="4"/>
        <v>18399.16583652468</v>
      </c>
      <c r="E26" s="461">
        <f t="shared" si="5"/>
        <v>70.019604426374627</v>
      </c>
      <c r="F26" s="461">
        <f t="shared" si="6"/>
        <v>1934.4225386138874</v>
      </c>
      <c r="G26" s="461">
        <f t="shared" si="7"/>
        <v>0</v>
      </c>
      <c r="H26" s="461">
        <f t="shared" si="8"/>
        <v>0</v>
      </c>
      <c r="I26" s="461">
        <f t="shared" si="9"/>
        <v>0</v>
      </c>
      <c r="J26" s="461">
        <f t="shared" si="10"/>
        <v>56.662030954098142</v>
      </c>
      <c r="K26" s="461">
        <f t="shared" si="11"/>
        <v>0</v>
      </c>
      <c r="L26" s="461">
        <f t="shared" si="12"/>
        <v>0</v>
      </c>
      <c r="M26" s="461">
        <f t="shared" si="13"/>
        <v>0</v>
      </c>
      <c r="N26" s="461">
        <f t="shared" si="14"/>
        <v>0</v>
      </c>
      <c r="O26" s="461">
        <f t="shared" si="15"/>
        <v>0</v>
      </c>
      <c r="P26" s="462">
        <f t="shared" si="16"/>
        <v>0</v>
      </c>
      <c r="Q26" s="460">
        <f t="shared" ca="1" si="17"/>
        <v>27289.394686937718</v>
      </c>
    </row>
    <row r="27" spans="1:17" s="466" customFormat="1">
      <c r="A27" s="464" t="s">
        <v>579</v>
      </c>
      <c r="B27" s="772">
        <f t="shared" ca="1" si="2"/>
        <v>1.2988885795678566</v>
      </c>
      <c r="C27" s="465">
        <f t="shared" ca="1" si="3"/>
        <v>0</v>
      </c>
      <c r="D27" s="465">
        <f t="shared" si="4"/>
        <v>3.270400820147664</v>
      </c>
      <c r="E27" s="465">
        <f t="shared" si="5"/>
        <v>261.08662090324771</v>
      </c>
      <c r="F27" s="465">
        <f t="shared" si="6"/>
        <v>0</v>
      </c>
      <c r="G27" s="465">
        <f t="shared" si="7"/>
        <v>80212.477308403148</v>
      </c>
      <c r="H27" s="465">
        <f t="shared" si="8"/>
        <v>9465.2608812781782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89943.394099984289</v>
      </c>
    </row>
    <row r="28" spans="1:17">
      <c r="A28" s="460" t="s">
        <v>569</v>
      </c>
      <c r="B28" s="461">
        <f t="shared" ca="1" si="2"/>
        <v>0</v>
      </c>
      <c r="C28" s="461">
        <f t="shared" ca="1" si="3"/>
        <v>0</v>
      </c>
      <c r="D28" s="461">
        <f t="shared" si="4"/>
        <v>0</v>
      </c>
      <c r="E28" s="461">
        <f t="shared" si="5"/>
        <v>0</v>
      </c>
      <c r="F28" s="461">
        <f t="shared" si="6"/>
        <v>0</v>
      </c>
      <c r="G28" s="461">
        <f t="shared" si="7"/>
        <v>993.94085333907515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993.94085333907515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229.97584681205018</v>
      </c>
      <c r="C32" s="461">
        <f t="shared" ca="1" si="3"/>
        <v>0</v>
      </c>
      <c r="D32" s="461">
        <f t="shared" si="4"/>
        <v>528.51928136145557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758.49512817350569</v>
      </c>
    </row>
    <row r="33" spans="1:17" s="473" customFormat="1">
      <c r="A33" s="470" t="s">
        <v>573</v>
      </c>
      <c r="B33" s="471">
        <f ca="1">SUM(B22:B32)</f>
        <v>21917.043421187474</v>
      </c>
      <c r="C33" s="471">
        <f t="shared" ref="C33:Q33" ca="1" si="18">SUM(C22:C32)</f>
        <v>15840.279831932779</v>
      </c>
      <c r="D33" s="471">
        <f t="shared" ca="1" si="18"/>
        <v>47322.116405884612</v>
      </c>
      <c r="E33" s="471">
        <f t="shared" si="18"/>
        <v>963.24763087118254</v>
      </c>
      <c r="F33" s="471">
        <f t="shared" ca="1" si="18"/>
        <v>5533.1031323313309</v>
      </c>
      <c r="G33" s="471">
        <f t="shared" si="18"/>
        <v>81206.418161742229</v>
      </c>
      <c r="H33" s="471">
        <f t="shared" si="18"/>
        <v>9465.2608812781782</v>
      </c>
      <c r="I33" s="471">
        <f t="shared" si="18"/>
        <v>0</v>
      </c>
      <c r="J33" s="471">
        <f t="shared" si="18"/>
        <v>382.96208846537212</v>
      </c>
      <c r="K33" s="471">
        <f t="shared" si="18"/>
        <v>0</v>
      </c>
      <c r="L33" s="471">
        <f t="shared" ca="1" si="18"/>
        <v>0</v>
      </c>
      <c r="M33" s="471">
        <f t="shared" si="18"/>
        <v>0</v>
      </c>
      <c r="N33" s="471">
        <f t="shared" ca="1" si="18"/>
        <v>0</v>
      </c>
      <c r="O33" s="471">
        <f t="shared" si="18"/>
        <v>0</v>
      </c>
      <c r="P33" s="471">
        <f t="shared" si="18"/>
        <v>0</v>
      </c>
      <c r="Q33" s="471">
        <f t="shared" ca="1" si="18"/>
        <v>182630.43155369314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3970.4600969718063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7634.2499999999982</v>
      </c>
      <c r="C8" s="1037">
        <f>'SEAP template'!C76</f>
        <v>46658.25</v>
      </c>
      <c r="D8" s="1037">
        <f>'SEAP template'!D76</f>
        <v>54892.05882352942</v>
      </c>
      <c r="E8" s="1037">
        <f>'SEAP template'!E76</f>
        <v>0</v>
      </c>
      <c r="F8" s="1037">
        <f>'SEAP template'!F76</f>
        <v>0</v>
      </c>
      <c r="G8" s="1037">
        <f>'SEAP template'!G76</f>
        <v>0</v>
      </c>
      <c r="H8" s="1037">
        <f>'SEAP template'!H76</f>
        <v>0</v>
      </c>
      <c r="I8" s="1037">
        <f>'SEAP template'!I76</f>
        <v>0</v>
      </c>
      <c r="J8" s="1037">
        <f>'SEAP template'!J76</f>
        <v>8981.4705882352937</v>
      </c>
      <c r="K8" s="1037">
        <f>'SEAP template'!K76</f>
        <v>0</v>
      </c>
      <c r="L8" s="1037">
        <f>'SEAP template'!L76</f>
        <v>0</v>
      </c>
      <c r="M8" s="1037">
        <f>'SEAP template'!M76</f>
        <v>0</v>
      </c>
      <c r="N8" s="1037">
        <f>'SEAP template'!N76</f>
        <v>0</v>
      </c>
      <c r="O8" s="1037">
        <f>'SEAP template'!O76</f>
        <v>0</v>
      </c>
      <c r="P8" s="1038">
        <f>'SEAP template'!Q76</f>
        <v>11088.195882352944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11604.710096971805</v>
      </c>
      <c r="C10" s="1041">
        <f>SUM(C4:C9)</f>
        <v>46658.25</v>
      </c>
      <c r="D10" s="1041">
        <f t="shared" ref="D10:H10" si="0">SUM(D8:D9)</f>
        <v>54892.05882352942</v>
      </c>
      <c r="E10" s="1041">
        <f t="shared" si="0"/>
        <v>0</v>
      </c>
      <c r="F10" s="1041">
        <f t="shared" si="0"/>
        <v>0</v>
      </c>
      <c r="G10" s="1041">
        <f t="shared" si="0"/>
        <v>0</v>
      </c>
      <c r="H10" s="1041">
        <f t="shared" si="0"/>
        <v>0</v>
      </c>
      <c r="I10" s="1041">
        <f>SUM(I8:I9)</f>
        <v>0</v>
      </c>
      <c r="J10" s="1041">
        <f>SUM(J8:J9)</f>
        <v>8981.4705882352937</v>
      </c>
      <c r="K10" s="1041">
        <f t="shared" ref="K10:L10" si="1">SUM(K8:K9)</f>
        <v>0</v>
      </c>
      <c r="L10" s="1041">
        <f t="shared" si="1"/>
        <v>0</v>
      </c>
      <c r="M10" s="1041">
        <f>SUM(M8:M9)</f>
        <v>0</v>
      </c>
      <c r="N10" s="1041">
        <f>SUM(N8:N9)</f>
        <v>0</v>
      </c>
      <c r="O10" s="1041">
        <f>SUM(O8:O9)</f>
        <v>0</v>
      </c>
      <c r="P10" s="1041">
        <f>SUM(P8:P9)</f>
        <v>11088.195882352944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0.20433134013212079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10906.071428571428</v>
      </c>
      <c r="C17" s="1044">
        <f>'SEAP template'!C87</f>
        <v>66654.642857142855</v>
      </c>
      <c r="D17" s="1038">
        <f>'SEAP template'!D87</f>
        <v>78417.226890756327</v>
      </c>
      <c r="E17" s="1038">
        <f>'SEAP template'!E87</f>
        <v>0</v>
      </c>
      <c r="F17" s="1038">
        <f>'SEAP template'!F87</f>
        <v>0</v>
      </c>
      <c r="G17" s="1038">
        <f>'SEAP template'!G87</f>
        <v>0</v>
      </c>
      <c r="H17" s="1038">
        <f>'SEAP template'!H87</f>
        <v>0</v>
      </c>
      <c r="I17" s="1038">
        <f>'SEAP template'!I87</f>
        <v>0</v>
      </c>
      <c r="J17" s="1038">
        <f>'SEAP template'!J87</f>
        <v>12830.672268907565</v>
      </c>
      <c r="K17" s="1038">
        <f>'SEAP template'!K87</f>
        <v>0</v>
      </c>
      <c r="L17" s="1038">
        <f>'SEAP template'!L87</f>
        <v>0</v>
      </c>
      <c r="M17" s="1038">
        <f>'SEAP template'!M87</f>
        <v>0</v>
      </c>
      <c r="N17" s="1038">
        <f>'SEAP template'!N87</f>
        <v>0</v>
      </c>
      <c r="O17" s="1038">
        <f>'SEAP template'!O87</f>
        <v>0</v>
      </c>
      <c r="P17" s="1038">
        <f>'SEAP template'!Q87</f>
        <v>15840.279831932779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10906.071428571428</v>
      </c>
      <c r="C20" s="1041">
        <f>SUM(C17:C19)</f>
        <v>66654.642857142855</v>
      </c>
      <c r="D20" s="1041">
        <f t="shared" ref="D20:H20" si="2">SUM(D17:D19)</f>
        <v>78417.226890756327</v>
      </c>
      <c r="E20" s="1041">
        <f t="shared" si="2"/>
        <v>0</v>
      </c>
      <c r="F20" s="1041">
        <f t="shared" si="2"/>
        <v>0</v>
      </c>
      <c r="G20" s="1041">
        <f t="shared" si="2"/>
        <v>0</v>
      </c>
      <c r="H20" s="1041">
        <f t="shared" si="2"/>
        <v>0</v>
      </c>
      <c r="I20" s="1041">
        <f>SUM(I17:I19)</f>
        <v>0</v>
      </c>
      <c r="J20" s="1041">
        <f>SUM(J17:J19)</f>
        <v>12830.672268907565</v>
      </c>
      <c r="K20" s="1041">
        <f t="shared" ref="K20:L20" si="3">SUM(K17:K19)</f>
        <v>0</v>
      </c>
      <c r="L20" s="1041">
        <f t="shared" si="3"/>
        <v>0</v>
      </c>
      <c r="M20" s="1041">
        <f>SUM(M17:M19)</f>
        <v>0</v>
      </c>
      <c r="N20" s="1041">
        <f>SUM(N17:N19)</f>
        <v>0</v>
      </c>
      <c r="O20" s="1041">
        <f>SUM(O17:O19)</f>
        <v>0</v>
      </c>
      <c r="P20" s="1041">
        <f>SUM(P17:P19)</f>
        <v>15840.279831932779</v>
      </c>
    </row>
    <row r="22" spans="1:16">
      <c r="A22" s="474" t="s">
        <v>932</v>
      </c>
      <c r="B22" s="778" t="s">
        <v>926</v>
      </c>
      <c r="C22" s="778">
        <f ca="1">'EF ele_warmte'!B22</f>
        <v>0.20423071109919316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0.20433134013212079</v>
      </c>
      <c r="C17" s="510">
        <f ca="1">'EF ele_warmte'!B22</f>
        <v>0.20423071109919316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2019-08-12T07:52:25Z</dcterms:modified>
</cp:coreProperties>
</file>