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<sst xmlns="http://schemas.openxmlformats.org/spreadsheetml/2006/main" count="2486" uniqueCount="948">
  <si>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</si>
  <si>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</si>
  <si>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</si>
  <si>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</si>
  <si>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</si>
  <si>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</si>
  <si>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</si>
  <si>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</si>
  <si>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</si>
  <si>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</si>
  <si>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</si>
  <si>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</si>
  <si>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</si>
  <si>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</si>
  <si>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</si>
  <si>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</si>
  <si>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</si>
  <si>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</si>
  <si>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</si>
  <si>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</si>
  <si>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</si>
  <si>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</si>
  <si>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</si>
  <si>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</si>
  <si>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</si>
  <si>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</si>
  <si>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</si>
  <si>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</si>
  <si>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</si>
  <si>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</si>
  <si>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</si>
  <si>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</si>
  <si>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</si>
  <si>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</si>
  <si>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</si>
  <si>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</si>
  <si>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</si>
  <si>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</si>
  <si>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</si>
  <si>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</si>
  <si>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</si>
  <si>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</si>
  <si>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</si>
  <si>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</si>
  <si>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</si>
  <si>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</si>
  <si>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</si>
  <si>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</si>
  <si>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</si>
  <si>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</si>
  <si>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</si>
  <si>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</si>
  <si>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</si>
  <si>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</si>
  <si>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</si>
  <si>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</si>
  <si>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</si>
  <si>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</si>
  <si>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</si>
  <si>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</si>
  <si>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</si>
  <si>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</si>
  <si>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</si>
  <si>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</si>
  <si>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</si>
  <si>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</si>
  <si>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</si>
  <si>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</si>
  <si>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</si>
  <si>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</si>
  <si>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</si>
  <si>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</si>
  <si>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</si>
  <si>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</si>
  <si>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</si>
  <si>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</si>
  <si>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</si>
  <si>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</si>
  <si>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</si>
  <si>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</si>
  <si>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</si>
  <si>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</si>
  <si>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</si>
  <si>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</si>
  <si>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</si>
  <si>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</si>
  <si>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</si>
  <si>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</si>
  <si>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</si>
  <si>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</si>
  <si>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</si>
  <si>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</si>
  <si>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</si>
  <si>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</si>
  <si>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</si>
  <si>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</si>
  <si>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</si>
  <si>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</si>
  <si>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</si>
  <si>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</si>
  <si>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</si>
  <si>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</si>
  <si>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</si>
  <si>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</si>
  <si>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</si>
  <si>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</si>
  <si>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</si>
  <si>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</si>
  <si>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</si>
  <si>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</si>
  <si>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</si>
  <si>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</si>
  <si>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</si>
  <si>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</si>
  <si>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</si>
  <si>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</si>
  <si>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</si>
  <si>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</si>
  <si>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</si>
  <si>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</si>
  <si>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</si>
  <si>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</si>
  <si>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</si>
  <si>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</si>
  <si>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</si>
  <si>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</si>
  <si>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</si>
  <si>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</si>
  <si>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</si>
  <si>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</si>
  <si>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</si>
  <si>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</si>
  <si>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</si>
  <si>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</si>
  <si>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</si>
  <si>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</si>
  <si>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</si>
  <si>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</si>
  <si>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</si>
  <si>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</si>
  <si>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</si>
  <si>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</si>
  <si>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</si>
  <si>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</si>
  <si>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</si>
  <si>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</si>
  <si>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</si>
  <si>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</si>
  <si>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</si>
  <si>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</si>
  <si>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</si>
  <si>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</si>
  <si>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</si>
  <si>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</si>
  <si>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</si>
  <si>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</si>
  <si>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</si>
  <si>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</si>
  <si>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</si>
  <si>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</si>
  <si>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</si>
  <si>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</si>
  <si>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</si>
  <si>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</si>
  <si>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</si>
  <si>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</si>
  <si>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</si>
  <si>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</si>
  <si>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</si>
  <si>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</si>
  <si>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</si>
  <si>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</si>
  <si>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</si>
  <si>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</si>
  <si>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</si>
  <si>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</si>
  <si>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</si>
  <si>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</si>
  <si>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</si>
  <si>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</si>
  <si>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</si>
  <si>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</si>
  <si>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</si>
  <si>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</si>
  <si>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</si>
  <si>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</si>
  <si>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</si>
  <si>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</si>
  <si>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</si>
  <si>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</si>
  <si>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</si>
  <si>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</si>
  <si>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</si>
  <si>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</si>
  <si>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</si>
  <si>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</si>
  <si>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</si>
  <si>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</si>
  <si>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</si>
  <si>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</si>
  <si>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</si>
  <si>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</si>
  <si>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</si>
  <si>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</si>
  <si>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</si>
  <si>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</si>
  <si>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</si>
  <si>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</si>
  <si>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</si>
  <si>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</si>
  <si>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</si>
  <si>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</si>
  <si>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</si>
  <si>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</si>
  <si>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</si>
  <si>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</si>
  <si>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</si>
  <si>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</si>
  <si>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</si>
  <si>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</si>
  <si>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</si>
  <si>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</si>
  <si>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</si>
  <si>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</si>
  <si>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</si>
  <si>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</si>
  <si>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</si>
  <si>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</si>
  <si>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</si>
  <si>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</si>
  <si>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</si>
  <si>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</si>
  <si>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</si>
  <si>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</si>
  <si>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</si>
  <si>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</si>
  <si>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</si>
  <si>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</si>
  <si>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</si>
  <si>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</si>
  <si>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</si>
  <si>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</si>
  <si>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</si>
  <si>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</si>
  <si>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</si>
  <si>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</si>
  <si>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</si>
  <si>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</si>
  <si>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</si>
  <si>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</si>
  <si>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</si>
  <si>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</si>
  <si>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</si>
  <si>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</si>
  <si>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</si>
  <si>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</si>
  <si>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</si>
  <si>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</si>
  <si>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</si>
  <si>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</si>
  <si>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</si>
  <si>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</si>
  <si>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</si>
  <si>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</si>
  <si>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</si>
  <si>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</si>
  <si>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</si>
  <si>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</si>
  <si>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</si>
  <si>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</si>
  <si>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</si>
  <si>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</si>
  <si>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</si>
  <si>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</si>
  <si>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</si>
  <si>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</si>
  <si>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</si>
  <si>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</si>
  <si>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</si>
  <si>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</si>
  <si>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</si>
  <si>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</si>
  <si>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</si>
  <si>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</si>
  <si>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</si>
  <si>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</si>
  <si>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</si>
  <si>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</si>
  <si>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</si>
  <si>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</si>
  <si>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</si>
  <si>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</si>
  <si>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</si>
  <si>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</si>
  <si>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</si>
  <si>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</si>
  <si>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</si>
  <si>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</si>
  <si>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</si>
  <si>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</si>
  <si>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</si>
  <si>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</si>
  <si>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</si>
  <si>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</si>
  <si>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</si>
  <si>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</si>
  <si>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</si>
  <si>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</si>
  <si>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</si>
  <si>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</si>
  <si>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</si>
  <si>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</si>
  <si>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</si>
  <si>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</si>
  <si>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</si>
  <si>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</si>
  <si>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</si>
  <si>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</si>
  <si>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</si>
  <si>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</si>
  <si>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</si>
  <si>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</si>
  <si>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</si>
  <si>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</si>
  <si>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</si>
  <si>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</si>
  <si>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</si>
  <si>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</si>
  <si>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</si>
  <si>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</si>
  <si>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</si>
  <si>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</si>
  <si>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</si>
  <si>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</si>
  <si>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</si>
  <si>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</si>
  <si>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</si>
  <si>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</si>
  <si>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</si>
  <si>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</si>
  <si>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</si>
  <si>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</si>
  <si>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</si>
  <si>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</si>
  <si>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</si>
  <si>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</si>
  <si>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</si>
  <si>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</si>
  <si>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</si>
  <si>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</si>
  <si>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</si>
  <si>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</si>
  <si>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</si>
  <si>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</si>
  <si>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</si>
  <si>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</si>
  <si>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</si>
  <si>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</si>
  <si>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</si>
  <si>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</si>
  <si>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</si>
  <si>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</si>
  <si>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</si>
  <si>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</si>
  <si>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</si>
  <si>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</si>
  <si>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</si>
  <si>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</si>
  <si>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</si>
  <si>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</si>
  <si>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</si>
  <si>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</si>
  <si>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</si>
  <si>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</si>
  <si>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</si>
  <si>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</si>
  <si>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</si>
  <si>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</si>
  <si>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</si>
  <si>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</si>
  <si>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</si>
  <si>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</si>
  <si>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</si>
  <si>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</si>
  <si>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</si>
  <si>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</si>
  <si>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</si>
  <si>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</si>
  <si>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</si>
  <si>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</si>
  <si>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</si>
  <si>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</si>
  <si>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</si>
  <si>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</si>
  <si>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</si>
  <si>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</si>
  <si>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</si>
  <si>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</si>
  <si>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</si>
  <si>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</si>
  <si>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</si>
  <si>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</si>
  <si>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</si>
  <si>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</si>
  <si>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</si>
  <si>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</si>
  <si>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</si>
  <si>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</si>
  <si>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</si>
  <si>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</si>
  <si>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</si>
  <si>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</si>
  <si>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</si>
  <si>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</si>
  <si>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</si>
  <si>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</si>
  <si>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</si>
  <si>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</si>
  <si>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</si>
  <si>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</si>
  <si>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</si>
  <si>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</si>
  <si>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</si>
  <si>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</si>
  <si>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</si>
  <si>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</si>
  <si>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</si>
  <si>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</si>
  <si>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</si>
  <si>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</si>
  <si>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</si>
  <si>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</si>
  <si>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</si>
  <si>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</si>
  <si>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</si>
  <si>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</si>
  <si>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</si>
  <si>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</si>
  <si>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</si>
  <si>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</si>
  <si>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</si>
  <si>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</si>
  <si>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</si>
  <si>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</si>
  <si>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</si>
  <si>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</si>
  <si>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</si>
  <si>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</si>
  <si>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</si>
  <si>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</si>
  <si>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</si>
  <si>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</si>
  <si>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</si>
  <si>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</si>
  <si>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</si>
  <si>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</si>
  <si>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</si>
  <si>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</si>
  <si>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</si>
  <si>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</si>
  <si>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</si>
  <si>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</si>
  <si>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</si>
  <si>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</si>
  <si>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</si>
  <si>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</si>
  <si>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</si>
  <si>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</si>
  <si>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</si>
  <si>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</si>
  <si>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</si>
  <si>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</si>
  <si>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</si>
  <si>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</si>
  <si>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</si>
  <si>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</si>
  <si>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</si>
  <si>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</si>
  <si>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</si>
  <si>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</si>
  <si>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</si>
  <si>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</si>
  <si>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</si>
  <si>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</si>
  <si>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</si>
  <si>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</si>
  <si>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</si>
  <si>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</si>
  <si>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</si>
  <si>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</si>
  <si>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</si>
  <si>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</si>
  <si>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</si>
  <si>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</si>
  <si>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</si>
  <si>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</si>
  <si>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</si>
  <si>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</si>
  <si>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</si>
  <si>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</si>
  <si>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</si>
  <si>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</si>
  <si>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</si>
  <si>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</si>
  <si>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</si>
  <si>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</si>
  <si>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</si>
  <si>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</si>
  <si>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</si>
  <si>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</si>
  <si>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</si>
  <si>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</si>
  <si>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</si>
  <si>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</si>
  <si>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</si>
  <si>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</si>
  <si>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</si>
  <si>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</si>
  <si>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</si>
  <si>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</si>
  <si>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</si>
  <si>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</si>
  <si>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</si>
  <si>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</si>
  <si>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</si>
  <si>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</si>
  <si>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</si>
  <si>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</si>
  <si>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</si>
  <si>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</si>
  <si>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</si>
  <si>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</si>
  <si>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</si>
  <si>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</si>
  <si>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</si>
  <si>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</si>
  <si>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</si>
  <si>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</si>
  <si>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</si>
  <si>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</si>
  <si>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</si>
  <si>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</si>
  <si>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</si>
  <si>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</si>
  <si>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</si>
  <si>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</si>
  <si>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</si>
  <si>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</si>
  <si>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</si>
  <si>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</si>
  <si>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</si>
  <si>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</si>
  <si>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</si>
  <si>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</si>
  <si>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</si>
  <si>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</si>
  <si>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</si>
  <si>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</si>
  <si>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</si>
  <si>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</si>
  <si>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</si>
  <si>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</si>
  <si>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</si>
  <si>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</si>
  <si>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</si>
  <si>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</si>
  <si>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</si>
  <si>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</si>
  <si>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</si>
  <si>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</si>
  <si>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</si>
  <si>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</si>
  <si>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</si>
  <si>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</si>
  <si>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</si>
  <si>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</si>
  <si>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</si>
  <si>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</si>
  <si>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</si>
  <si>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</si>
  <si>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</si>
  <si>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</si>
  <si>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</si>
  <si>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</si>
  <si>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</si>
  <si>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</si>
  <si>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</si>
  <si>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</si>
  <si>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</si>
  <si>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</si>
  <si>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</si>
  <si>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</si>
  <si>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</si>
  <si>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</si>
  <si>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</si>
  <si>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</si>
  <si>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</si>
  <si>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</si>
  <si>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</si>
  <si>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</si>
  <si>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</si>
  <si>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</si>
  <si>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</si>
  <si>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</si>
  <si>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</si>
  <si>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</si>
  <si>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</si>
  <si>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</si>
  <si>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</si>
  <si>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</si>
  <si>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</si>
  <si>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</si>
  <si>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</si>
  <si>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</si>
  <si>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</si>
  <si>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</si>
  <si>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</si>
  <si>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</si>
  <si>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</si>
  <si>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</si>
  <si>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</si>
  <si>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</si>
  <si>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</si>
  <si>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</si>
  <si>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</si>
  <si>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</si>
  <si>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</si>
  <si>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</si>
  <si>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</si>
  <si>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</si>
  <si>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</si>
  <si>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</si>
  <si>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</si>
  <si>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</si>
  <si>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</si>
  <si>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</si>
  <si>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</si>
  <si>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</si>
  <si>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</si>
  <si>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</si>
  <si>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</si>
  <si>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</si>
  <si>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</si>
  <si>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</si>
  <si>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</si>
  <si>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</si>
  <si>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</si>
  <si>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</si>
  <si>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</si>
  <si>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</si>
  <si>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</si>
  <si>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</si>
  <si>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</si>
  <si>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</si>
  <si>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</si>
  <si>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</si>
  <si>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</si>
  <si>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</si>
  <si>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</si>
  <si>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</si>
  <si>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</si>
  <si>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</si>
  <si>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</si>
  <si>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</si>
  <si>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</si>
  <si>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</si>
  <si>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</si>
  <si>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</si>
  <si>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</si>
  <si>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</si>
  <si>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</si>
  <si>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</si>
  <si>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</si>
  <si>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</si>
  <si>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</si>
  <si>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</si>
  <si>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</si>
  <si>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</si>
  <si>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</si>
  <si>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</si>
  <si>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</si>
  <si>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</si>
  <si>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</si>
  <si>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</si>
  <si>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</si>
  <si>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</si>
  <si>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</si>
  <si>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</si>
  <si>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</si>
  <si>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</si>
  <si>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</si>
  <si>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</si>
  <si>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</si>
  <si>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</si>
  <si>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</si>
  <si>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</si>
  <si>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</si>
  <si>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</si>
  <si>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</si>
  <si>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</si>
  <si>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</si>
  <si>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</si>
  <si>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</si>
  <si>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</si>
  <si>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</si>
  <si>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</si>
  <si>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</si>
  <si>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</si>
  <si>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</si>
  <si>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</si>
  <si>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</si>
  <si>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</si>
  <si>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</si>
  <si>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</si>
  <si>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</si>
  <si>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</si>
  <si>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</si>
  <si>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</si>
  <si>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</si>
  <si>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</si>
  <si>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</si>
  <si>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</si>
  <si>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</si>
  <si>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</si>
  <si>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</si>
  <si>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</si>
  <si>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</si>
  <si>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</si>
  <si>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</si>
  <si>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</si>
  <si>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</si>
  <si>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</si>
  <si>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</si>
  <si>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</si>
  <si>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</si>
  <si>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</si>
  <si>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</si>
  <si>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</si>
  <si>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</si>
  <si>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</si>
  <si>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</si>
  <si>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</si>
  <si>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</si>
  <si>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</si>
  <si>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</si>
  <si>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</si>
  <si>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</si>
  <si>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</si>
  <si>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</si>
  <si>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</si>
  <si>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</si>
  <si>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</si>
  <si>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</si>
  <si>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</si>
  <si>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</si>
  <si>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</si>
  <si>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</si>
  <si>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</si>
  <si>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</si>
  <si>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</si>
  <si>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</si>
  <si>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</si>
  <si>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</si>
  <si>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</si>
  <si>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</si>
  <si>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</si>
  <si>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</si>
  <si>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</si>
  <si>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</si>
  <si>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</si>
  <si>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</si>
  <si>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</si>
  <si>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</si>
  <si>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</si>
  <si>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</si>
  <si>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</si>
  <si>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</si>
  <si>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</si>
  <si>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</si>
  <si>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</si>
  <si>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</si>
  <si>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</si>
  <si>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</si>
  <si>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</si>
  <si>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</si>
  <si>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</si>
  <si>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</si>
  <si>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</si>
  <si>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</si>
  <si>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</si>
  <si>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</si>
  <si>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</si>
  <si>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</si>
  <si>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</si>
  <si>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</si>
  <si>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</si>
  <si>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</si>
  <si>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</si>
  <si>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</si>
  <si>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</si>
  <si>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</si>
  <si>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</si>
  <si>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</si>
  <si>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</si>
  <si>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</si>
  <si>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</si>
  <si>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</si>
  <si>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</si>
  <si>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</si>
  <si>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</si>
  <si>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</si>
  <si>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</si>
  <si>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</si>
  <si>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</si>
  <si>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</si>
  <si>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</si>
  <si>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</si>
  <si>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</si>
  <si>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</si>
  <si>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</si>
  <si>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</si>
  <si>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</si>
  <si>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</si>
  <si>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</si>
  <si>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</si>
  <si>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</si>
  <si>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</si>
  <si>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</si>
  <si>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</si>
  <si>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</si>
  <si>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</si>
  <si>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</si>
  <si>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</si>
  <si>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</si>
  <si>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</si>
  <si>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</si>
  <si>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</si>
  <si>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</si>
  <si>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</si>
  <si>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</si>
  <si>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</si>
  <si>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</si>
  <si>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</si>
  <si>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</si>
  <si>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</si>
  <si>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</si>
  <si>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</si>
  <si>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</si>
  <si>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</si>
  <si>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</si>
  <si>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</si>
  <si>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</si>
  <si>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</si>
  <si>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</si>
  <si>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</si>
  <si>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</si>
  <si>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</si>
  <si>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</si>
  <si>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</si>
  <si>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</si>
  <si>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</si>
  <si>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</si>
  <si>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</si>
  <si>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</si>
  <si>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</si>
  <si>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</si>
  <si>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</si>
  <si>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</si>
  <si>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</si>
  <si>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</si>
  <si>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</si>
  <si>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</si>
  <si>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</si>
  <si>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</si>
  <si>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</si>
  <si>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</si>
  <si>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</si>
  <si>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</si>
  <si>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</si>
  <si>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</si>
  <si>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</si>
  <si>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</si>
  <si>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</si>
  <si>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</si>
  <si>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</si>
  <si>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</si>
  <si>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</si>
  <si>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</si>
  <si>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</si>
  <si>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</si>
  <si>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</si>
  <si>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</si>
  <si>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</si>
  <si>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</si>
  <si>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</si>
  <si>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</si>
  <si>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</si>
  <si>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</si>
  <si>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</si>
  <si>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</si>
  <si>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</si>
  <si>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</si>
  <si>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</si>
  <si>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</si>
  <si>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</si>
  <si>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</si>
  <si>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</si>
  <si>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</si>
  <si>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</si>
  <si>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</si>
  <si>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</si>
  <si>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</si>
  <si>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</si>
  <si>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</si>
  <si>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</si>
  <si>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</si>
  <si>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</si>
  <si>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</si>
  <si>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</si>
  <si>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</si>
  <si>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</si>
  <si>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</si>
  <si>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</si>
  <si>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</si>
  <si>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</si>
  <si>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</si>
  <si>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</si>
  <si>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</si>
  <si>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</si>
  <si>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</si>
  <si>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</si>
  <si>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</si>
  <si>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</si>
  <si>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</si>
  <si>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</si>
  <si>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</si>
  <si>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</si>
  <si>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</si>
  <si>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</si>
  <si>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</si>
  <si>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</si>
  <si>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</si>
  <si>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11030</t>
  </si>
  <si>
    <t>NIEL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</si>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</sst>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11030</v>
      </c>
      <c r="B6" s="397"/>
      <c r="C6" s="398"/>
    </row>
    <row r="7" spans="1:7" s="395" customFormat="1" ht="15.75" customHeight="1">
      <c r="A7" s="399" t="str">
        <f>txtMunicipality</f>
        <v>NIEL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0.20286068316670694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0.20286068316670694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11030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3964</v>
      </c>
      <c r="C9" s="338">
        <v>4335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84</v>
      </c>
    </row>
    <row r="15" spans="1:6">
      <c r="A15" s="1286" t="s">
        <v>184</v>
      </c>
      <c r="B15" s="335">
        <v>0</v>
      </c>
    </row>
    <row r="16" spans="1:6">
      <c r="A16" s="1286" t="s">
        <v>6</v>
      </c>
      <c r="B16" s="335">
        <v>0</v>
      </c>
    </row>
    <row r="17" spans="1:6">
      <c r="A17" s="1286" t="s">
        <v>7</v>
      </c>
      <c r="B17" s="335">
        <v>59</v>
      </c>
    </row>
    <row r="18" spans="1:6">
      <c r="A18" s="1286" t="s">
        <v>8</v>
      </c>
      <c r="B18" s="335">
        <v>39</v>
      </c>
    </row>
    <row r="19" spans="1:6">
      <c r="A19" s="1286" t="s">
        <v>9</v>
      </c>
      <c r="B19" s="335">
        <v>19</v>
      </c>
    </row>
    <row r="20" spans="1:6">
      <c r="A20" s="1286" t="s">
        <v>10</v>
      </c>
      <c r="B20" s="335">
        <v>26</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944</v>
      </c>
      <c r="B29" s="1287">
        <v>1</v>
      </c>
      <c r="C29" s="341"/>
      <c r="D29" s="341"/>
      <c r="E29" s="341"/>
      <c r="F29" s="341"/>
    </row>
    <row r="30" spans="1:6">
      <c r="A30" s="1282" t="s">
        <v>945</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18468</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3557</v>
      </c>
      <c r="D39" s="335">
        <v>56390608</v>
      </c>
      <c r="E39" s="335">
        <v>4238</v>
      </c>
      <c r="F39" s="335">
        <v>15323437</v>
      </c>
    </row>
    <row r="40" spans="1:6">
      <c r="A40" s="1286" t="s">
        <v>30</v>
      </c>
      <c r="B40" s="1286" t="s">
        <v>29</v>
      </c>
      <c r="C40" s="335">
        <v>0</v>
      </c>
      <c r="D40" s="335">
        <v>0</v>
      </c>
      <c r="E40" s="335">
        <v>0</v>
      </c>
      <c r="F40" s="335">
        <v>0</v>
      </c>
    </row>
    <row r="41" spans="1:6">
      <c r="A41" s="1286" t="s">
        <v>32</v>
      </c>
      <c r="B41" s="1286" t="s">
        <v>33</v>
      </c>
      <c r="C41" s="335">
        <v>19</v>
      </c>
      <c r="D41" s="335">
        <v>782612</v>
      </c>
      <c r="E41" s="335">
        <v>57</v>
      </c>
      <c r="F41" s="335">
        <v>782826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7</v>
      </c>
      <c r="D44" s="335">
        <v>173037</v>
      </c>
      <c r="E44" s="335">
        <v>9</v>
      </c>
      <c r="F44" s="335">
        <v>197406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68447</v>
      </c>
      <c r="E47" s="335">
        <v>0</v>
      </c>
      <c r="F47" s="335">
        <v>0</v>
      </c>
    </row>
    <row r="48" spans="1:6">
      <c r="A48" s="1286" t="s">
        <v>32</v>
      </c>
      <c r="B48" s="1286" t="s">
        <v>29</v>
      </c>
      <c r="C48" s="335">
        <v>2</v>
      </c>
      <c r="D48" s="335">
        <v>800651</v>
      </c>
      <c r="E48" s="335">
        <v>5</v>
      </c>
      <c r="F48" s="335">
        <v>1812623</v>
      </c>
    </row>
    <row r="49" spans="1:6">
      <c r="A49" s="1286" t="s">
        <v>32</v>
      </c>
      <c r="B49" s="1286" t="s">
        <v>40</v>
      </c>
      <c r="C49" s="335">
        <v>0</v>
      </c>
      <c r="D49" s="335">
        <v>0</v>
      </c>
      <c r="E49" s="335">
        <v>0</v>
      </c>
      <c r="F49" s="335">
        <v>0</v>
      </c>
    </row>
    <row r="50" spans="1:6">
      <c r="A50" s="1286" t="s">
        <v>32</v>
      </c>
      <c r="B50" s="1286" t="s">
        <v>41</v>
      </c>
      <c r="C50" s="335">
        <v>8</v>
      </c>
      <c r="D50" s="335">
        <v>637787</v>
      </c>
      <c r="E50" s="335">
        <v>13</v>
      </c>
      <c r="F50" s="335">
        <v>311590</v>
      </c>
    </row>
    <row r="51" spans="1:6">
      <c r="A51" s="1286" t="s">
        <v>42</v>
      </c>
      <c r="B51" s="1286" t="s">
        <v>43</v>
      </c>
      <c r="C51" s="335">
        <v>0</v>
      </c>
      <c r="D51" s="335">
        <v>0</v>
      </c>
      <c r="E51" s="335">
        <v>5</v>
      </c>
      <c r="F51" s="335">
        <v>36377</v>
      </c>
    </row>
    <row r="52" spans="1:6">
      <c r="A52" s="1286" t="s">
        <v>42</v>
      </c>
      <c r="B52" s="1286" t="s">
        <v>29</v>
      </c>
      <c r="C52" s="335">
        <v>2</v>
      </c>
      <c r="D52" s="335">
        <v>34241</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8</v>
      </c>
      <c r="F54" s="335">
        <v>554532</v>
      </c>
    </row>
    <row r="55" spans="1:6">
      <c r="A55" s="1286" t="s">
        <v>46</v>
      </c>
      <c r="B55" s="1286" t="s">
        <v>29</v>
      </c>
      <c r="C55" s="335">
        <v>0</v>
      </c>
      <c r="D55" s="335">
        <v>0</v>
      </c>
      <c r="E55" s="335">
        <v>0</v>
      </c>
      <c r="F55" s="335">
        <v>0</v>
      </c>
    </row>
    <row r="56" spans="1:6">
      <c r="A56" s="1286" t="s">
        <v>48</v>
      </c>
      <c r="B56" s="1286" t="s">
        <v>29</v>
      </c>
      <c r="C56" s="335">
        <v>41</v>
      </c>
      <c r="D56" s="335">
        <v>2441156</v>
      </c>
      <c r="E56" s="335">
        <v>58</v>
      </c>
      <c r="F56" s="335">
        <v>265138</v>
      </c>
    </row>
    <row r="57" spans="1:6">
      <c r="A57" s="1286" t="s">
        <v>49</v>
      </c>
      <c r="B57" s="1286" t="s">
        <v>50</v>
      </c>
      <c r="C57" s="335">
        <v>18</v>
      </c>
      <c r="D57" s="335">
        <v>758149</v>
      </c>
      <c r="E57" s="335">
        <v>38</v>
      </c>
      <c r="F57" s="335">
        <v>1636620</v>
      </c>
    </row>
    <row r="58" spans="1:6">
      <c r="A58" s="1286" t="s">
        <v>49</v>
      </c>
      <c r="B58" s="1286" t="s">
        <v>51</v>
      </c>
      <c r="C58" s="335">
        <v>5</v>
      </c>
      <c r="D58" s="335">
        <v>2055892</v>
      </c>
      <c r="E58" s="335">
        <v>7</v>
      </c>
      <c r="F58" s="335">
        <v>498683</v>
      </c>
    </row>
    <row r="59" spans="1:6">
      <c r="A59" s="1286" t="s">
        <v>49</v>
      </c>
      <c r="B59" s="1286" t="s">
        <v>52</v>
      </c>
      <c r="C59" s="335">
        <v>47</v>
      </c>
      <c r="D59" s="335">
        <v>1664440</v>
      </c>
      <c r="E59" s="335">
        <v>66</v>
      </c>
      <c r="F59" s="335">
        <v>6020422</v>
      </c>
    </row>
    <row r="60" spans="1:6">
      <c r="A60" s="1286" t="s">
        <v>49</v>
      </c>
      <c r="B60" s="1286" t="s">
        <v>53</v>
      </c>
      <c r="C60" s="335">
        <v>21</v>
      </c>
      <c r="D60" s="335">
        <v>720123</v>
      </c>
      <c r="E60" s="335">
        <v>32</v>
      </c>
      <c r="F60" s="335">
        <v>489852</v>
      </c>
    </row>
    <row r="61" spans="1:6">
      <c r="A61" s="1286" t="s">
        <v>49</v>
      </c>
      <c r="B61" s="1286" t="s">
        <v>54</v>
      </c>
      <c r="C61" s="335">
        <v>92</v>
      </c>
      <c r="D61" s="335">
        <v>6150518</v>
      </c>
      <c r="E61" s="335">
        <v>167</v>
      </c>
      <c r="F61" s="335">
        <v>2125615</v>
      </c>
    </row>
    <row r="62" spans="1:6">
      <c r="A62" s="1286" t="s">
        <v>49</v>
      </c>
      <c r="B62" s="1286" t="s">
        <v>55</v>
      </c>
      <c r="C62" s="335">
        <v>0</v>
      </c>
      <c r="D62" s="335">
        <v>0</v>
      </c>
      <c r="E62" s="335">
        <v>0</v>
      </c>
      <c r="F62" s="335">
        <v>0</v>
      </c>
    </row>
    <row r="63" spans="1:6">
      <c r="A63" s="1286" t="s">
        <v>49</v>
      </c>
      <c r="B63" s="1286" t="s">
        <v>29</v>
      </c>
      <c r="C63" s="335">
        <v>2</v>
      </c>
      <c r="D63" s="335">
        <v>33890</v>
      </c>
      <c r="E63" s="335">
        <v>2</v>
      </c>
      <c r="F63" s="335">
        <v>209496</v>
      </c>
    </row>
    <row r="64" spans="1:6">
      <c r="A64" s="1286" t="s">
        <v>56</v>
      </c>
      <c r="B64" s="1286" t="s">
        <v>57</v>
      </c>
      <c r="C64" s="335">
        <v>0</v>
      </c>
      <c r="D64" s="335">
        <v>0</v>
      </c>
      <c r="E64" s="335">
        <v>0</v>
      </c>
      <c r="F64" s="335">
        <v>0</v>
      </c>
    </row>
    <row r="65" spans="1:6">
      <c r="A65" s="1286" t="s">
        <v>56</v>
      </c>
      <c r="B65" s="1286" t="s">
        <v>29</v>
      </c>
      <c r="C65" s="335">
        <v>3</v>
      </c>
      <c r="D65" s="335">
        <v>90267</v>
      </c>
      <c r="E65" s="335">
        <v>2</v>
      </c>
      <c r="F65" s="335">
        <v>12414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155423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29671254</v>
      </c>
      <c r="E73" s="335">
        <v>31126506.478008106</v>
      </c>
    </row>
    <row r="74" spans="1:6">
      <c r="A74" s="1286" t="s">
        <v>64</v>
      </c>
      <c r="B74" s="1286" t="s">
        <v>772</v>
      </c>
      <c r="C74" s="1297" t="s">
        <v>766</v>
      </c>
      <c r="D74" s="335">
        <v>851676.04174885049</v>
      </c>
      <c r="E74" s="335">
        <v>935158.90829394013</v>
      </c>
    </row>
    <row r="75" spans="1:6">
      <c r="A75" s="1286" t="s">
        <v>65</v>
      </c>
      <c r="B75" s="1286" t="s">
        <v>771</v>
      </c>
      <c r="C75" s="1297" t="s">
        <v>767</v>
      </c>
      <c r="D75" s="335">
        <v>2813992</v>
      </c>
      <c r="E75" s="335">
        <v>2944518.5514691258</v>
      </c>
    </row>
    <row r="76" spans="1:6">
      <c r="A76" s="1286" t="s">
        <v>65</v>
      </c>
      <c r="B76" s="1286" t="s">
        <v>772</v>
      </c>
      <c r="C76" s="1297" t="s">
        <v>768</v>
      </c>
      <c r="D76" s="335">
        <v>206023.04174885043</v>
      </c>
      <c r="E76" s="335">
        <v>263605.1916596996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194859.91650229911</v>
      </c>
      <c r="C83" s="335">
        <v>183429.71911498098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719.15447520185103</v>
      </c>
    </row>
    <row r="92" spans="1:6">
      <c r="A92" s="1282" t="s">
        <v>69</v>
      </c>
      <c r="B92" s="338">
        <v>1823.9986719922458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2687</v>
      </c>
    </row>
    <row r="98" spans="1:6">
      <c r="A98" s="1286" t="s">
        <v>72</v>
      </c>
      <c r="B98" s="335">
        <v>5</v>
      </c>
    </row>
    <row r="99" spans="1:6">
      <c r="A99" s="1286" t="s">
        <v>73</v>
      </c>
      <c r="B99" s="335">
        <v>10</v>
      </c>
    </row>
    <row r="100" spans="1:6">
      <c r="A100" s="1286" t="s">
        <v>74</v>
      </c>
      <c r="B100" s="335">
        <v>375</v>
      </c>
    </row>
    <row r="101" spans="1:6">
      <c r="A101" s="1286" t="s">
        <v>75</v>
      </c>
      <c r="B101" s="335">
        <v>16</v>
      </c>
    </row>
    <row r="102" spans="1:6">
      <c r="A102" s="1286" t="s">
        <v>76</v>
      </c>
      <c r="B102" s="335">
        <v>52</v>
      </c>
    </row>
    <row r="103" spans="1:6">
      <c r="A103" s="1286" t="s">
        <v>77</v>
      </c>
      <c r="B103" s="335">
        <v>69</v>
      </c>
    </row>
    <row r="104" spans="1:6">
      <c r="A104" s="1286" t="s">
        <v>78</v>
      </c>
      <c r="B104" s="335">
        <v>325</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v>
      </c>
      <c r="C123" s="335">
        <v>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12</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30984.454965708981</v>
      </c>
      <c r="C3" s="44" t="s">
        <v>170</v>
      </c>
      <c r="D3" s="44"/>
      <c r="E3" s="157"/>
      <c r="F3" s="44"/>
      <c r="G3" s="44"/>
      <c r="H3" s="44"/>
      <c r="I3" s="44"/>
      <c r="J3" s="44"/>
      <c r="K3" s="97"/>
    </row>
    <row r="4" spans="1:11">
      <c r="A4" s="365" t="s">
        <v>171</v>
      </c>
      <c r="B4" s="50">
        <f>IF(ISERROR('SEAP template'!B78+'SEAP template'!C78),0,'SEAP template'!B78+'SEAP template'!C78)</f>
        <v>2543.1531471940971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0.20286068316670694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554.53200000000004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554.53200000000004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0.20286068316670694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112.49274035780034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15323.437</v>
      </c>
      <c r="C5" s="18">
        <f>IF(ISERROR('Eigen informatie GS &amp; warmtenet'!B57),0,'Eigen informatie GS &amp; warmtenet'!B57)</f>
        <v>0</v>
      </c>
      <c r="D5" s="31">
        <f>(SUM(HH_hh_gas_kWh,HH_rest_gas_kWh)/1000)*0.902</f>
        <v>50864.328416000004</v>
      </c>
      <c r="E5" s="18">
        <f>B46*B57</f>
        <v>223.11198459999025</v>
      </c>
      <c r="F5" s="18">
        <f>B51*B62</f>
        <v>0</v>
      </c>
      <c r="G5" s="19"/>
      <c r="H5" s="18"/>
      <c r="I5" s="18"/>
      <c r="J5" s="18">
        <f>B50*B61+C50*C61</f>
        <v>0</v>
      </c>
      <c r="K5" s="18"/>
      <c r="L5" s="18"/>
      <c r="M5" s="18"/>
      <c r="N5" s="18">
        <f>B48*B59+C48*C59</f>
        <v>1159.3050200725515</v>
      </c>
      <c r="O5" s="18">
        <f>B69*B70*B71</f>
        <v>18.760000000000002</v>
      </c>
      <c r="P5" s="18">
        <f>B77*B78*B79/1000-B77*B78*B79/1000/B80</f>
        <v>19.066666666666666</v>
      </c>
    </row>
    <row r="6" spans="1:16">
      <c r="A6" s="17" t="s">
        <v>639</v>
      </c>
      <c r="B6" s="780">
        <f>kWh_PV_kleiner_dan_10kW</f>
        <v>719.15447520185103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16042.591475201851</v>
      </c>
      <c r="C8" s="22">
        <f>C5</f>
        <v>0</v>
      </c>
      <c r="D8" s="22">
        <f>D5</f>
        <v>50864.328416000004</v>
      </c>
      <c r="E8" s="22">
        <f>E5</f>
        <v>223.11198459999025</v>
      </c>
      <c r="F8" s="22">
        <f>F5</f>
        <v>0</v>
      </c>
      <c r="G8" s="22"/>
      <c r="H8" s="22"/>
      <c r="I8" s="22"/>
      <c r="J8" s="22">
        <f>J5</f>
        <v>0</v>
      </c>
      <c r="K8" s="22"/>
      <c r="L8" s="22">
        <f>L5</f>
        <v>0</v>
      </c>
      <c r="M8" s="22">
        <f>M5</f>
        <v>0</v>
      </c>
      <c r="N8" s="22">
        <f>N5</f>
        <v>1159.3050200725515</v>
      </c>
      <c r="O8" s="22">
        <f>O5</f>
        <v>18.760000000000002</v>
      </c>
      <c r="P8" s="22">
        <f>P5</f>
        <v>19.066666666666666</v>
      </c>
    </row>
    <row r="9" spans="1:16">
      <c r="B9" s="20"/>
      <c r="C9" s="20"/>
      <c r="D9" s="262"/>
      <c r="E9" s="20"/>
      <c r="F9" s="20"/>
      <c r="G9" s="20"/>
      <c r="H9" s="20"/>
      <c r="I9" s="20"/>
      <c r="J9" s="20"/>
      <c r="K9" s="20"/>
      <c r="L9" s="20"/>
      <c r="M9" s="20"/>
      <c r="N9" s="20"/>
      <c r="O9" s="20"/>
      <c r="P9" s="20"/>
    </row>
    <row r="10" spans="1:16">
      <c r="A10" s="25" t="s">
        <v>214</v>
      </c>
      <c r="B10" s="26">
        <f ca="1">'EF ele_warmte'!B12</f>
        <v>0.20286068316670694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3254.4110664238365</v>
      </c>
      <c r="C12" s="24">
        <f ca="1">C10*C8</f>
        <v>0</v>
      </c>
      <c r="D12" s="24">
        <f>D8*D10</f>
        <v>10274.594340032001</v>
      </c>
      <c r="E12" s="24">
        <f>E10*E8</f>
        <v>50.646420504197792</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2687</v>
      </c>
      <c r="C18" s="169" t="s">
        <v>111</v>
      </c>
      <c r="D18" s="231"/>
      <c r="E18" s="16"/>
    </row>
    <row r="19" spans="1:7">
      <c r="A19" s="174" t="s">
        <v>72</v>
      </c>
      <c r="B19" s="38">
        <f>aantalw2001_ander</f>
        <v>5</v>
      </c>
      <c r="C19" s="169" t="s">
        <v>111</v>
      </c>
      <c r="D19" s="232"/>
      <c r="E19" s="16"/>
    </row>
    <row r="20" spans="1:7">
      <c r="A20" s="174" t="s">
        <v>73</v>
      </c>
      <c r="B20" s="38">
        <f>aantalw2001_propaan</f>
        <v>10</v>
      </c>
      <c r="C20" s="170">
        <f>IF(ISERROR(B20/SUM($B$20,$B$21,$B$22)*100),0,B20/SUM($B$20,$B$21,$B$22)*100)</f>
        <v>2.4937655860349128</v>
      </c>
      <c r="D20" s="232"/>
      <c r="E20" s="16"/>
    </row>
    <row r="21" spans="1:7">
      <c r="A21" s="174" t="s">
        <v>74</v>
      </c>
      <c r="B21" s="38">
        <f>aantalw2001_elektriciteit</f>
        <v>375</v>
      </c>
      <c r="C21" s="170">
        <f>IF(ISERROR(B21/SUM($B$20,$B$21,$B$22)*100),0,B21/SUM($B$20,$B$21,$B$22)*100)</f>
        <v>93.516209476309228</v>
      </c>
      <c r="D21" s="232"/>
      <c r="E21" s="16"/>
    </row>
    <row r="22" spans="1:7">
      <c r="A22" s="174" t="s">
        <v>75</v>
      </c>
      <c r="B22" s="38">
        <f>aantalw2001_hout</f>
        <v>16</v>
      </c>
      <c r="C22" s="170">
        <f>IF(ISERROR(B22/SUM($B$20,$B$21,$B$22)*100),0,B22/SUM($B$20,$B$21,$B$22)*100)</f>
        <v>3.9900249376558601</v>
      </c>
      <c r="D22" s="232"/>
      <c r="E22" s="16"/>
    </row>
    <row r="23" spans="1:7">
      <c r="A23" s="174" t="s">
        <v>76</v>
      </c>
      <c r="B23" s="38">
        <f>aantalw2001_niet_gespec</f>
        <v>52</v>
      </c>
      <c r="C23" s="169" t="s">
        <v>111</v>
      </c>
      <c r="D23" s="231"/>
      <c r="E23" s="16"/>
    </row>
    <row r="24" spans="1:7">
      <c r="A24" s="174" t="s">
        <v>77</v>
      </c>
      <c r="B24" s="38">
        <f>aantalw2001_steenkool</f>
        <v>69</v>
      </c>
      <c r="C24" s="169" t="s">
        <v>111</v>
      </c>
      <c r="D24" s="232"/>
      <c r="E24" s="16"/>
    </row>
    <row r="25" spans="1:7">
      <c r="A25" s="174" t="s">
        <v>78</v>
      </c>
      <c r="B25" s="38">
        <f>aantalw2001_stookolie</f>
        <v>325</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3964</v>
      </c>
      <c r="C28" s="37"/>
      <c r="D28" s="231"/>
    </row>
    <row r="29" spans="1:7" s="16" customFormat="1">
      <c r="A29" s="233" t="s">
        <v>666</v>
      </c>
      <c r="B29" s="38">
        <f>SUM(HH_hh_gas_aantal,HH_rest_gas_aantal)</f>
        <v>3557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3557</v>
      </c>
      <c r="C32" s="170">
        <f>IF(ISERROR(B32/SUM($B$32,$B$34,$B$35,$B$36,$B$38,$B$39)*100),0,B32/SUM($B$32,$B$34,$B$35,$B$36,$B$38,$B$39)*100)</f>
        <v>89.755235932374461</v>
      </c>
      <c r="D32" s="236"/>
      <c r="G32" s="16"/>
    </row>
    <row r="33" spans="1:7">
      <c r="A33" s="174" t="s">
        <v>72</v>
      </c>
      <c r="B33" s="35" t="s">
        <v>111</v>
      </c>
      <c r="C33" s="170"/>
      <c r="D33" s="236"/>
      <c r="G33" s="16"/>
    </row>
    <row r="34" spans="1:7">
      <c r="A34" s="174" t="s">
        <v>73</v>
      </c>
      <c r="B34" s="34">
        <f>IF((($B$28-$B$32-$B$39-$B$77-$B$38)*C20/100)&lt;0,0,($B$28-$B$32-$B$39-$B$77-$B$38)*C20/100)</f>
        <v>10.124688279301745</v>
      </c>
      <c r="C34" s="170">
        <f>IF(ISERROR(B34/SUM($B$32,$B$34,$B$35,$B$36,$B$38,$B$39)*100),0,B34/SUM($B$32,$B$34,$B$35,$B$36,$B$38,$B$39)*100)</f>
        <v>0.25548040068891609</v>
      </c>
      <c r="D34" s="236"/>
      <c r="G34" s="16"/>
    </row>
    <row r="35" spans="1:7">
      <c r="A35" s="174" t="s">
        <v>74</v>
      </c>
      <c r="B35" s="34">
        <f>IF((($B$28-$B$32-$B$39-$B$77-$B$38)*C21/100)&lt;0,0,($B$28-$B$32-$B$39-$B$77-$B$38)*C21/100)</f>
        <v>379.67581047381543</v>
      </c>
      <c r="C35" s="170">
        <f>IF(ISERROR(B35/SUM($B$32,$B$34,$B$35,$B$36,$B$38,$B$39)*100),0,B35/SUM($B$32,$B$34,$B$35,$B$36,$B$38,$B$39)*100)</f>
        <v>9.5805150258343534</v>
      </c>
      <c r="D35" s="236"/>
      <c r="G35" s="16"/>
    </row>
    <row r="36" spans="1:7">
      <c r="A36" s="174" t="s">
        <v>75</v>
      </c>
      <c r="B36" s="34">
        <f>IF((($B$28-$B$32-$B$39-$B$77-$B$38)*C22/100)&lt;0,0,($B$28-$B$32-$B$39-$B$77-$B$38)*C22/100)</f>
        <v>16.199501246882793</v>
      </c>
      <c r="C36" s="170">
        <f>IF(ISERROR(B36/SUM($B$32,$B$34,$B$35,$B$36,$B$38,$B$39)*100),0,B36/SUM($B$32,$B$34,$B$35,$B$36,$B$38,$B$39)*100)</f>
        <v>0.4087686411022658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3557</v>
      </c>
      <c r="C44" s="35" t="s">
        <v>111</v>
      </c>
      <c r="D44" s="177"/>
    </row>
    <row r="45" spans="1:7">
      <c r="A45" s="174" t="s">
        <v>72</v>
      </c>
      <c r="B45" s="34" t="str">
        <f t="shared" si="0"/>
        <v>-</v>
      </c>
      <c r="C45" s="35" t="s">
        <v>111</v>
      </c>
      <c r="D45" s="177"/>
    </row>
    <row r="46" spans="1:7">
      <c r="A46" s="174" t="s">
        <v>73</v>
      </c>
      <c r="B46" s="34">
        <f t="shared" si="0"/>
        <v>10.124688279301745</v>
      </c>
      <c r="C46" s="35" t="s">
        <v>111</v>
      </c>
      <c r="D46" s="177"/>
    </row>
    <row r="47" spans="1:7">
      <c r="A47" s="174" t="s">
        <v>74</v>
      </c>
      <c r="B47" s="34">
        <f t="shared" si="0"/>
        <v>379.67581047381543</v>
      </c>
      <c r="C47" s="35" t="s">
        <v>111</v>
      </c>
      <c r="D47" s="177"/>
    </row>
    <row r="48" spans="1:7">
      <c r="A48" s="174" t="s">
        <v>75</v>
      </c>
      <c r="B48" s="34">
        <f t="shared" si="0"/>
        <v>16.199501246882793</v>
      </c>
      <c r="C48" s="34">
        <f>B48*10</f>
        <v>161.99501246882792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10980.687999999998</v>
      </c>
      <c r="C5" s="18">
        <f>IF(ISERROR('Eigen informatie GS &amp; warmtenet'!B58),0,'Eigen informatie GS &amp; warmtenet'!B58)</f>
        <v>0</v>
      </c>
      <c r="D5" s="31">
        <f>SUM(D6:D12)</f>
        <v>10267.476824000001</v>
      </c>
      <c r="E5" s="18">
        <f>SUM(E6:E12)</f>
        <v>77.022556085179048</v>
      </c>
      <c r="F5" s="18">
        <f>SUM(F6:F12)</f>
        <v>2283.3261757552077</v>
      </c>
      <c r="G5" s="19"/>
      <c r="H5" s="18"/>
      <c r="I5" s="18"/>
      <c r="J5" s="18">
        <f>SUM(J6:J12)</f>
        <v>0</v>
      </c>
      <c r="K5" s="18"/>
      <c r="L5" s="18"/>
      <c r="M5" s="18"/>
      <c r="N5" s="18">
        <f>SUM(N6:N12)</f>
        <v>992.60884201902854</v>
      </c>
      <c r="O5" s="18">
        <f>B38*B39*B40</f>
        <v>0</v>
      </c>
      <c r="P5" s="18">
        <f>B46*B47*B48/1000-B46*B47*B48/1000/B49</f>
        <v>0</v>
      </c>
      <c r="R5" s="33"/>
    </row>
    <row r="6" spans="1:18">
      <c r="A6" s="33" t="s">
        <v>54</v>
      </c>
      <c r="B6" s="38">
        <f>B26</f>
        <v>2125.6149999999998</v>
      </c>
      <c r="C6" s="34"/>
      <c r="D6" s="38">
        <f>IF(ISERROR(TER_kantoor_gas_kWh/1000),0,TER_kantoor_gas_kWh/1000)*0.902</f>
        <v>5547.7672360000006</v>
      </c>
      <c r="E6" s="34">
        <f>$C$26*'E Balans VL '!I12/100/3.6*1000000</f>
        <v>3.4885650258247272</v>
      </c>
      <c r="F6" s="34">
        <f>$C$26*('E Balans VL '!L12+'E Balans VL '!N12)/100/3.6*1000000</f>
        <v>250.55999549498341</v>
      </c>
      <c r="G6" s="35"/>
      <c r="H6" s="34"/>
      <c r="I6" s="34"/>
      <c r="J6" s="34">
        <f>$C$26*('E Balans VL '!D12+'E Balans VL '!E12)/100/3.6*1000000</f>
        <v>0</v>
      </c>
      <c r="K6" s="34"/>
      <c r="L6" s="34"/>
      <c r="M6" s="34"/>
      <c r="N6" s="34">
        <f>$C$26*'E Balans VL '!Y12/100/3.6*1000000</f>
        <v>0.42947044513892951</v>
      </c>
      <c r="O6" s="34"/>
      <c r="P6" s="34"/>
      <c r="R6" s="33"/>
    </row>
    <row r="7" spans="1:18">
      <c r="A7" s="33" t="s">
        <v>53</v>
      </c>
      <c r="B7" s="38">
        <f t="shared" ref="B7:B12" si="0">B27</f>
        <v>489.85199999999998</v>
      </c>
      <c r="C7" s="34"/>
      <c r="D7" s="38">
        <f>IF(ISERROR(TER_horeca_gas_kWh/1000),0,TER_horeca_gas_kWh/1000)*0.902</f>
        <v>649.55094600000007</v>
      </c>
      <c r="E7" s="34">
        <f>$C$27*'E Balans VL '!I9/100/3.6*1000000</f>
        <v>25.419774155075419</v>
      </c>
      <c r="F7" s="34">
        <f>$C$27*('E Balans VL '!L9+'E Balans VL '!N9)/100/3.6*1000000</f>
        <v>111.78458183837283</v>
      </c>
      <c r="G7" s="35"/>
      <c r="H7" s="34"/>
      <c r="I7" s="34"/>
      <c r="J7" s="34">
        <f>$C$27*('E Balans VL '!D9+'E Balans VL '!E9)/100/3.6*1000000</f>
        <v>0</v>
      </c>
      <c r="K7" s="34"/>
      <c r="L7" s="34"/>
      <c r="M7" s="34"/>
      <c r="N7" s="34">
        <f>$C$27*'E Balans VL '!Y9/100/3.6*1000000</f>
        <v>5.1728146715527328E-2</v>
      </c>
      <c r="O7" s="34"/>
      <c r="P7" s="34"/>
      <c r="R7" s="33"/>
    </row>
    <row r="8" spans="1:18">
      <c r="A8" s="6" t="s">
        <v>52</v>
      </c>
      <c r="B8" s="38">
        <f t="shared" si="0"/>
        <v>6020.4219999999996</v>
      </c>
      <c r="C8" s="34"/>
      <c r="D8" s="38">
        <f>IF(ISERROR(TER_handel_gas_kWh/1000),0,TER_handel_gas_kWh/1000)*0.902</f>
        <v>1501.3248800000001</v>
      </c>
      <c r="E8" s="34">
        <f>$C$28*'E Balans VL '!I13/100/3.6*1000000</f>
        <v>32.42071228153489</v>
      </c>
      <c r="F8" s="34">
        <f>$C$28*('E Balans VL '!L13+'E Balans VL '!N13)/100/3.6*1000000</f>
        <v>1227.7429566279204</v>
      </c>
      <c r="G8" s="35"/>
      <c r="H8" s="34"/>
      <c r="I8" s="34"/>
      <c r="J8" s="34">
        <f>$C$28*('E Balans VL '!D13+'E Balans VL '!E13)/100/3.6*1000000</f>
        <v>0</v>
      </c>
      <c r="K8" s="34"/>
      <c r="L8" s="34"/>
      <c r="M8" s="34"/>
      <c r="N8" s="34">
        <f>$C$28*'E Balans VL '!Y13/100/3.6*1000000</f>
        <v>29.936379312230407</v>
      </c>
      <c r="O8" s="34"/>
      <c r="P8" s="34"/>
      <c r="R8" s="33"/>
    </row>
    <row r="9" spans="1:18">
      <c r="A9" s="33" t="s">
        <v>51</v>
      </c>
      <c r="B9" s="38">
        <f t="shared" si="0"/>
        <v>498.68299999999999</v>
      </c>
      <c r="C9" s="34"/>
      <c r="D9" s="38">
        <f>IF(ISERROR(TER_gezond_gas_kWh/1000),0,TER_gezond_gas_kWh/1000)*0.902</f>
        <v>1854.4145839999999</v>
      </c>
      <c r="E9" s="34">
        <f>$C$29*'E Balans VL '!I10/100/3.6*1000000</f>
        <v>0.49420052399960596</v>
      </c>
      <c r="F9" s="34">
        <f>$C$29*('E Balans VL '!L10+'E Balans VL '!N10)/100/3.6*1000000</f>
        <v>173.02862701397373</v>
      </c>
      <c r="G9" s="35"/>
      <c r="H9" s="34"/>
      <c r="I9" s="34"/>
      <c r="J9" s="34">
        <f>$C$29*('E Balans VL '!D10+'E Balans VL '!E10)/100/3.6*1000000</f>
        <v>0</v>
      </c>
      <c r="K9" s="34"/>
      <c r="L9" s="34"/>
      <c r="M9" s="34"/>
      <c r="N9" s="34">
        <f>$C$29*'E Balans VL '!Y10/100/3.6*1000000</f>
        <v>4.2971082102988278</v>
      </c>
      <c r="O9" s="34"/>
      <c r="P9" s="34"/>
      <c r="R9" s="33"/>
    </row>
    <row r="10" spans="1:18">
      <c r="A10" s="33" t="s">
        <v>50</v>
      </c>
      <c r="B10" s="38">
        <f t="shared" si="0"/>
        <v>1636.62</v>
      </c>
      <c r="C10" s="34"/>
      <c r="D10" s="38">
        <f>IF(ISERROR(TER_ander_gas_kWh/1000),0,TER_ander_gas_kWh/1000)*0.902</f>
        <v>683.85039800000004</v>
      </c>
      <c r="E10" s="34">
        <f>$C$30*'E Balans VL '!I14/100/3.6*1000000</f>
        <v>13.389187285200038</v>
      </c>
      <c r="F10" s="34">
        <f>$C$30*('E Balans VL '!L14+'E Balans VL '!N14)/100/3.6*1000000</f>
        <v>478.48105844023689</v>
      </c>
      <c r="G10" s="35"/>
      <c r="H10" s="34"/>
      <c r="I10" s="34"/>
      <c r="J10" s="34">
        <f>$C$30*('E Balans VL '!D14+'E Balans VL '!E14)/100/3.6*1000000</f>
        <v>0</v>
      </c>
      <c r="K10" s="34"/>
      <c r="L10" s="34"/>
      <c r="M10" s="34"/>
      <c r="N10" s="34">
        <f>$C$30*'E Balans VL '!Y14/100/3.6*1000000</f>
        <v>944.11499731143908</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209.49600000000001</v>
      </c>
      <c r="C12" s="34"/>
      <c r="D12" s="38">
        <f>IF(ISERROR(TER_rest_gas_kWh/1000),0,TER_rest_gas_kWh/1000)*0.902</f>
        <v>30.56878</v>
      </c>
      <c r="E12" s="34">
        <f>$C$32*'E Balans VL '!I8/100/3.6*1000000</f>
        <v>1.8101168135443726</v>
      </c>
      <c r="F12" s="34">
        <f>$C$32*('E Balans VL '!L8+'E Balans VL '!N8)/100/3.6*1000000</f>
        <v>41.728956339720412</v>
      </c>
      <c r="G12" s="35"/>
      <c r="H12" s="34"/>
      <c r="I12" s="34"/>
      <c r="J12" s="34">
        <f>$C$32*('E Balans VL '!D8+'E Balans VL '!E8)/100/3.6*1000000</f>
        <v>0</v>
      </c>
      <c r="K12" s="34"/>
      <c r="L12" s="34"/>
      <c r="M12" s="34"/>
      <c r="N12" s="34">
        <f>$C$32*'E Balans VL '!Y8/100/3.6*1000000</f>
        <v>13.779158593205818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10980.687999999998</v>
      </c>
      <c r="C16" s="22">
        <f t="shared" ca="1" si="1"/>
        <v>0</v>
      </c>
      <c r="D16" s="22">
        <f t="shared" ca="1" si="1"/>
        <v>10267.476824000001</v>
      </c>
      <c r="E16" s="22">
        <f t="shared" si="1"/>
        <v>77.022556085179048</v>
      </c>
      <c r="F16" s="22">
        <f t="shared" ca="1" si="1"/>
        <v>2283.3261757552077</v>
      </c>
      <c r="G16" s="22">
        <f t="shared" si="1"/>
        <v>0</v>
      </c>
      <c r="H16" s="22">
        <f t="shared" si="1"/>
        <v>0</v>
      </c>
      <c r="I16" s="22">
        <f t="shared" si="1"/>
        <v>0</v>
      </c>
      <c r="J16" s="22">
        <f t="shared" si="1"/>
        <v>0</v>
      </c>
      <c r="K16" s="22">
        <f t="shared" si="1"/>
        <v>0</v>
      </c>
      <c r="L16" s="22">
        <f t="shared" ca="1" si="1"/>
        <v>0</v>
      </c>
      <c r="M16" s="22">
        <f t="shared" si="1"/>
        <v>0</v>
      </c>
      <c r="N16" s="22">
        <f t="shared" ca="1" si="1"/>
        <v>992.60884201902854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0.20286068316670694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2227.5498693204604</v>
      </c>
      <c r="C20" s="24">
        <f t="shared" ref="C20:P20" ca="1" si="2">C16*C18</f>
        <v>0</v>
      </c>
      <c r="D20" s="24">
        <f t="shared" ca="1" si="2"/>
        <v>2074.0303184480003</v>
      </c>
      <c r="E20" s="24">
        <f t="shared" si="2"/>
        <v>17.484120231335645</v>
      </c>
      <c r="F20" s="24">
        <f t="shared" ca="1" si="2"/>
        <v>609.64808892664053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2125.6149999999998</v>
      </c>
      <c r="C26" s="40">
        <f>IF(ISERROR(B26*3.6/1000000/'E Balans VL '!Z12*100),0,B26*3.6/1000000/'E Balans VL '!Z12*100)</f>
        <v>4.5167794405496536E-2</v>
      </c>
      <c r="D26" s="240" t="s">
        <v>707</v>
      </c>
      <c r="F26" s="6"/>
    </row>
    <row r="27" spans="1:18">
      <c r="A27" s="234" t="s">
        <v>53</v>
      </c>
      <c r="B27" s="34">
        <f>IF(ISERROR(TER_horeca_ele_kWh/1000),0,TER_horeca_ele_kWh/1000)</f>
        <v>489.85199999999998</v>
      </c>
      <c r="C27" s="40">
        <f>IF(ISERROR(B27*3.6/1000000/'E Balans VL '!Z9*100),0,B27*3.6/1000000/'E Balans VL '!Z9*100)</f>
        <v>3.8555140409088695E-2</v>
      </c>
      <c r="D27" s="240" t="s">
        <v>707</v>
      </c>
      <c r="F27" s="6"/>
    </row>
    <row r="28" spans="1:18">
      <c r="A28" s="174" t="s">
        <v>52</v>
      </c>
      <c r="B28" s="34">
        <f>IF(ISERROR(TER_handel_ele_kWh/1000),0,TER_handel_ele_kWh/1000)</f>
        <v>6020.4219999999996</v>
      </c>
      <c r="C28" s="40">
        <f>IF(ISERROR(B28*3.6/1000000/'E Balans VL '!Z13*100),0,B28*3.6/1000000/'E Balans VL '!Z13*100)</f>
        <v>0.16863524222265064</v>
      </c>
      <c r="D28" s="240" t="s">
        <v>707</v>
      </c>
      <c r="F28" s="6"/>
    </row>
    <row r="29" spans="1:18">
      <c r="A29" s="234" t="s">
        <v>51</v>
      </c>
      <c r="B29" s="34">
        <f>IF(ISERROR(TER_gezond_ele_kWh/1000),0,TER_gezond_ele_kWh/1000)</f>
        <v>498.68299999999999</v>
      </c>
      <c r="C29" s="40">
        <f>IF(ISERROR(B29*3.6/1000000/'E Balans VL '!Z10*100),0,B29*3.6/1000000/'E Balans VL '!Z10*100)</f>
        <v>6.3796635266599636E-2</v>
      </c>
      <c r="D29" s="240" t="s">
        <v>707</v>
      </c>
      <c r="F29" s="6"/>
    </row>
    <row r="30" spans="1:18">
      <c r="A30" s="234" t="s">
        <v>50</v>
      </c>
      <c r="B30" s="34">
        <f>IF(ISERROR(TER_ander_ele_kWh/1000),0,TER_ander_ele_kWh/1000)</f>
        <v>1636.62</v>
      </c>
      <c r="C30" s="40">
        <f>IF(ISERROR(B30*3.6/1000000/'E Balans VL '!Z14*100),0,B30*3.6/1000000/'E Balans VL '!Z14*100)</f>
        <v>0.12240538559897686</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209.49600000000001</v>
      </c>
      <c r="C32" s="40">
        <f>IF(ISERROR(B32*3.6/1000000/'E Balans VL '!Z8*100),0,B32*3.6/1000000/'E Balans VL '!Z8*100)</f>
        <v>1.7258138159813481E-3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3104.4449999999997</v>
      </c>
      <c r="C5" s="18">
        <f>IF(ISERROR('Eigen informatie GS &amp; warmtenet'!B59),0,'Eigen informatie GS &amp; warmtenet'!B59)</f>
        <v>0</v>
      </c>
      <c r="D5" s="31">
        <f>SUM(D6:D15)</f>
        <v>2221.2056680000001</v>
      </c>
      <c r="E5" s="18">
        <f>SUM(E6:E15)</f>
        <v>25.674007076435942</v>
      </c>
      <c r="F5" s="18">
        <f>SUM(F6:F15)</f>
        <v>1040.3608138344334</v>
      </c>
      <c r="G5" s="19"/>
      <c r="H5" s="18"/>
      <c r="I5" s="18"/>
      <c r="J5" s="18">
        <f>SUM(J6:J15)</f>
        <v>12.427711433057713</v>
      </c>
      <c r="K5" s="18"/>
      <c r="L5" s="18"/>
      <c r="M5" s="18"/>
      <c r="N5" s="18">
        <f>SUM(N6:N15)</f>
        <v>120.24598802615225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197.40600000000001</v>
      </c>
      <c r="C8" s="34"/>
      <c r="D8" s="38">
        <f>IF( ISERROR(IND_metaal_Gas_kWH/1000),0,IND_metaal_Gas_kWH/1000)*0.902</f>
        <v>156.079374</v>
      </c>
      <c r="E8" s="34">
        <f>C30*'E Balans VL '!I18/100/3.6*1000000</f>
        <v>1.7977408669999606</v>
      </c>
      <c r="F8" s="34">
        <f>C30*'E Balans VL '!L18/100/3.6*1000000+C30*'E Balans VL '!N18/100/3.6*1000000</f>
        <v>26.036352273087687</v>
      </c>
      <c r="G8" s="35"/>
      <c r="H8" s="34"/>
      <c r="I8" s="34"/>
      <c r="J8" s="41">
        <f>C30*'E Balans VL '!D18/100/3.6*1000000+C30*'E Balans VL '!E18/100/3.6*1000000</f>
        <v>3.2371717768089918</v>
      </c>
      <c r="K8" s="34"/>
      <c r="L8" s="34"/>
      <c r="M8" s="34"/>
      <c r="N8" s="34">
        <f>C30*'E Balans VL '!Y18/100/3.6*1000000</f>
        <v>0.6784060026676606</v>
      </c>
      <c r="O8" s="34"/>
      <c r="P8" s="34"/>
      <c r="R8" s="33"/>
    </row>
    <row r="9" spans="1:18">
      <c r="A9" s="6" t="s">
        <v>33</v>
      </c>
      <c r="B9" s="38">
        <f t="shared" si="0"/>
        <v>782.82600000000002</v>
      </c>
      <c r="C9" s="34"/>
      <c r="D9" s="38">
        <f>IF( ISERROR(IND_andere_gas_kWh/1000),0,IND_andere_gas_kWh/1000)*0.902</f>
        <v>705.91602399999999</v>
      </c>
      <c r="E9" s="34">
        <f>C31*'E Balans VL '!I19/100/3.6*1000000</f>
        <v>4.5248512636696319</v>
      </c>
      <c r="F9" s="34">
        <f>C31*'E Balans VL '!L19/100/3.6*1000000+C31*'E Balans VL '!N19/100/3.6*1000000</f>
        <v>622.77575109653867</v>
      </c>
      <c r="G9" s="35"/>
      <c r="H9" s="34"/>
      <c r="I9" s="34"/>
      <c r="J9" s="41">
        <f>C31*'E Balans VL '!D19/100/3.6*1000000+C31*'E Balans VL '!E19/100/3.6*1000000</f>
        <v>7.4046644215078325E-2</v>
      </c>
      <c r="K9" s="34"/>
      <c r="L9" s="34"/>
      <c r="M9" s="34"/>
      <c r="N9" s="34">
        <f>C31*'E Balans VL '!Y19/100/3.6*1000000</f>
        <v>59.310916246381666</v>
      </c>
      <c r="O9" s="34"/>
      <c r="P9" s="34"/>
      <c r="R9" s="33"/>
    </row>
    <row r="10" spans="1:18">
      <c r="A10" s="6" t="s">
        <v>41</v>
      </c>
      <c r="B10" s="38">
        <f t="shared" si="0"/>
        <v>311.58999999999997</v>
      </c>
      <c r="C10" s="34"/>
      <c r="D10" s="38">
        <f>IF( ISERROR(IND_voed_gas_kWh/1000),0,IND_voed_gas_kWh/1000)*0.902</f>
        <v>575.28387400000008</v>
      </c>
      <c r="E10" s="34">
        <f>C32*'E Balans VL '!I20/100/3.6*1000000</f>
        <v>3.0637448665881495</v>
      </c>
      <c r="F10" s="34">
        <f>C32*'E Balans VL '!L20/100/3.6*1000000+C32*'E Balans VL '!N20/100/3.6*1000000</f>
        <v>34.606136573465967</v>
      </c>
      <c r="G10" s="35"/>
      <c r="H10" s="34"/>
      <c r="I10" s="34"/>
      <c r="J10" s="41">
        <f>C32*'E Balans VL '!D20/100/3.6*1000000+C32*'E Balans VL '!E20/100/3.6*1000000</f>
        <v>1.2281176433484261E-3</v>
      </c>
      <c r="K10" s="34"/>
      <c r="L10" s="34"/>
      <c r="M10" s="34"/>
      <c r="N10" s="34">
        <f>C32*'E Balans VL '!Y20/100/3.6*1000000</f>
        <v>4.6139149630627836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61.739194000000005</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1812.623</v>
      </c>
      <c r="C15" s="34"/>
      <c r="D15" s="38">
        <f>IF( ISERROR(IND_rest_gas_kWh/1000),0,IND_rest_gas_kWh/1000)*0.902</f>
        <v>722.18720199999996</v>
      </c>
      <c r="E15" s="34">
        <f>C37*'E Balans VL '!I15/100/3.6*1000000</f>
        <v>16.287670079178199</v>
      </c>
      <c r="F15" s="34">
        <f>C37*'E Balans VL '!L15/100/3.6*1000000+C37*'E Balans VL '!N15/100/3.6*1000000</f>
        <v>356.94257389134106</v>
      </c>
      <c r="G15" s="35"/>
      <c r="H15" s="34"/>
      <c r="I15" s="34"/>
      <c r="J15" s="41">
        <f>C37*'E Balans VL '!D15/100/3.6*1000000+C37*'E Balans VL '!E15/100/3.6*1000000</f>
        <v>9.115264894390295</v>
      </c>
      <c r="K15" s="34"/>
      <c r="L15" s="34"/>
      <c r="M15" s="34"/>
      <c r="N15" s="34">
        <f>C37*'E Balans VL '!Y15/100/3.6*1000000</f>
        <v>55.642750814040141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3104.4449999999997</v>
      </c>
      <c r="C18" s="22">
        <f>C5+C16</f>
        <v>0</v>
      </c>
      <c r="D18" s="22">
        <f>MAX((D5+D16),0)</f>
        <v>2221.2056680000001</v>
      </c>
      <c r="E18" s="22">
        <f>MAX((E5+E16),0)</f>
        <v>25.674007076435942</v>
      </c>
      <c r="F18" s="22">
        <f>MAX((F5+F16),0)</f>
        <v>1040.3608138344334</v>
      </c>
      <c r="G18" s="22"/>
      <c r="H18" s="22"/>
      <c r="I18" s="22"/>
      <c r="J18" s="22">
        <f>MAX((J5+J16),0)</f>
        <v>12.427711433057713</v>
      </c>
      <c r="K18" s="22"/>
      <c r="L18" s="22">
        <f>MAX((L5+L16),0)</f>
        <v>0</v>
      </c>
      <c r="M18" s="22"/>
      <c r="N18" s="22">
        <f>MAX((N5+N16),0)</f>
        <v>120.24598802615225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0.20286068316670694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629.76983355346749</v>
      </c>
      <c r="C22" s="24">
        <f ca="1">C18*C20</f>
        <v>0</v>
      </c>
      <c r="D22" s="24">
        <f>D18*D20</f>
        <v>448.68354493600003</v>
      </c>
      <c r="E22" s="24">
        <f>E18*E20</f>
        <v>5.8279996063509589</v>
      </c>
      <c r="F22" s="24">
        <f>F18*F20</f>
        <v>277.77633729379374</v>
      </c>
      <c r="G22" s="24"/>
      <c r="H22" s="24"/>
      <c r="I22" s="24"/>
      <c r="J22" s="24">
        <f>J18*J20</f>
        <v>4.3994098473024303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197.40600000000001</v>
      </c>
      <c r="C30" s="40">
        <f>IF(ISERROR(B30*3.6/1000000/'E Balans VL '!Z18*100),0,B30*3.6/1000000/'E Balans VL '!Z18*100)</f>
        <v>1.0984323857403621E-2</v>
      </c>
      <c r="D30" s="240" t="s">
        <v>707</v>
      </c>
    </row>
    <row r="31" spans="1:18">
      <c r="A31" s="6" t="s">
        <v>33</v>
      </c>
      <c r="B31" s="38">
        <f>IF( ISERROR(IND_ander_ele_kWh/1000),0,IND_ander_ele_kWh/1000)</f>
        <v>782.82600000000002</v>
      </c>
      <c r="C31" s="40">
        <f>IF(ISERROR(B31*3.6/1000000/'E Balans VL '!Z19*100),0,B31*3.6/1000000/'E Balans VL '!Z19*100)</f>
        <v>3.6391524801949758E-2</v>
      </c>
      <c r="D31" s="240" t="s">
        <v>707</v>
      </c>
    </row>
    <row r="32" spans="1:18">
      <c r="A32" s="174" t="s">
        <v>41</v>
      </c>
      <c r="B32" s="38">
        <f>IF( ISERROR(IND_voed_ele_kWh/1000),0,IND_voed_ele_kWh/1000)</f>
        <v>311.58999999999997</v>
      </c>
      <c r="C32" s="40">
        <f>IF(ISERROR(B32*3.6/1000000/'E Balans VL '!Z20*100),0,B32*3.6/1000000/'E Balans VL '!Z20*100)</f>
        <v>1.1014077217344603E-2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1812.623</v>
      </c>
      <c r="C37" s="40">
        <f>IF(ISERROR(B37*3.6/1000000/'E Balans VL '!Z15*100),0,B37*3.6/1000000/'E Balans VL '!Z15*100)</f>
        <v>1.3687981299071618E-2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36.377000000000002</v>
      </c>
      <c r="C5" s="18">
        <f>'Eigen informatie GS &amp; warmtenet'!B60</f>
        <v>0</v>
      </c>
      <c r="D5" s="31">
        <f>IF(ISERROR(SUM(LB_lb_gas_kWh,LB_rest_gas_kWh)/1000),0,SUM(LB_lb_gas_kWh,LB_rest_gas_kWh)/1000)*0.902</f>
        <v>30.885382</v>
      </c>
      <c r="E5" s="18">
        <f>B17*'E Balans VL '!I25/3.6*1000000/100</f>
        <v>0.34269571338952259</v>
      </c>
      <c r="F5" s="18">
        <f>B17*('E Balans VL '!L25/3.6*1000000+'E Balans VL '!N25/3.6*1000000)/100</f>
        <v>118.71022346605665</v>
      </c>
      <c r="G5" s="19"/>
      <c r="H5" s="18"/>
      <c r="I5" s="18"/>
      <c r="J5" s="18">
        <f>('E Balans VL '!D25+'E Balans VL '!E25)/3.6*1000000*landbouw!B17/100</f>
        <v>4.5000118376940126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36.377000000000002</v>
      </c>
      <c r="C8" s="22">
        <f>C5+C6</f>
        <v>0</v>
      </c>
      <c r="D8" s="22">
        <f>MAX((D5+D6),0)</f>
        <v>30.885382</v>
      </c>
      <c r="E8" s="22">
        <f>MAX((E5+E6),0)</f>
        <v>0.34269571338952259</v>
      </c>
      <c r="F8" s="22">
        <f>MAX((F5+F6),0)</f>
        <v>118.71022346605665</v>
      </c>
      <c r="G8" s="22"/>
      <c r="H8" s="22"/>
      <c r="I8" s="22"/>
      <c r="J8" s="22">
        <f>MAX((J5+J6),0)</f>
        <v>4.5000118376940126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0.20286068316670694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7.3794630715552989</v>
      </c>
      <c r="C12" s="24">
        <f ca="1">C8*C10</f>
        <v>0</v>
      </c>
      <c r="D12" s="24">
        <f>D8*D10</f>
        <v>6.2388471640000001</v>
      </c>
      <c r="E12" s="24">
        <f>E8*E10</f>
        <v>7.7791926939421635E-2</v>
      </c>
      <c r="F12" s="24">
        <f>F8*F10</f>
        <v>31.695629665437128</v>
      </c>
      <c r="G12" s="24"/>
      <c r="H12" s="24"/>
      <c r="I12" s="24"/>
      <c r="J12" s="24">
        <f>J8*J10</f>
        <v>1.5930041905436805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4.9248645141219483E-3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8.8408592380286262</v>
      </c>
      <c r="C26" s="250">
        <f>B26*'GWP N2O_CH4'!B5</f>
        <v>185.65804399860116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0.49190650266301095</v>
      </c>
      <c r="C27" s="250">
        <f>B27*'GWP N2O_CH4'!B5</f>
        <v>10.330036555923229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0.13076664646440941</v>
      </c>
      <c r="C28" s="250">
        <f>B28*'GWP N2O_CH4'!B4</f>
        <v>40.537660403966917</v>
      </c>
      <c r="D28" s="51"/>
    </row>
    <row r="29" spans="1:4">
      <c r="A29" s="42" t="s">
        <v>277</v>
      </c>
      <c r="B29" s="250">
        <f>B34*'ha_N2O bodem landbouw'!B4</f>
        <v>0.46329064774779921</v>
      </c>
      <c r="C29" s="250">
        <f>B29*'GWP N2O_CH4'!B4</f>
        <v>143.62010080181776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1.2507389037869098E-4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2.4605658256817127E-6</v>
      </c>
      <c r="C5" s="447" t="s">
        <v>211</v>
      </c>
      <c r="D5" s="432">
        <f>SUM(D6:D11)</f>
        <v>6.4221079974736235E-6</v>
      </c>
      <c r="E5" s="432">
        <f>SUM(E6:E11)</f>
        <v>3.7609706271068169E-4</v>
      </c>
      <c r="F5" s="445" t="s">
        <v>211</v>
      </c>
      <c r="G5" s="432">
        <f>SUM(G6:G11)</f>
        <v>6.4537305036300702E-2</v>
      </c>
      <c r="H5" s="432">
        <f>SUM(H6:H11)</f>
        <v>1.4337046937024513E-2</v>
      </c>
      <c r="I5" s="447" t="s">
        <v>211</v>
      </c>
      <c r="J5" s="447" t="s">
        <v>211</v>
      </c>
      <c r="K5" s="447" t="s">
        <v>211</v>
      </c>
      <c r="L5" s="447" t="s">
        <v>211</v>
      </c>
      <c r="M5" s="432">
        <f>SUM(M6:M11)</f>
        <v>3.5296751359699106E-3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2.2474225252141178E-6</v>
      </c>
      <c r="C6" s="433"/>
      <c r="D6" s="433">
        <f>vkm_2011_GW_PW*SUMIFS(TableVerdeelsleutelVkm[CNG],TableVerdeelsleutelVkm[Voertuigtype],"Lichte voertuigen")*SUMIFS(TableECFTransport[EnergieConsumptieFactor (PJ per km)],TableECFTransport[Index],CONCATENATE($A6,"_CNG_CNG"))</f>
        <v>5.4882434443971397E-6</v>
      </c>
      <c r="E6" s="435">
        <f>vkm_2011_GW_PW*SUMIFS(TableVerdeelsleutelVkm[LPG],TableVerdeelsleutelVkm[Voertuigtype],"Lichte voertuigen")*SUMIFS(TableECFTransport[EnergieConsumptieFactor (PJ per km)],TableECFTransport[Index],CONCATENATE($A6,"_LPG_LPG"))</f>
        <v>3.2531470890448616E-4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4.7028068004040191E-2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1.2324705532492737E-2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2.6579265038025176E-3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7.9184924521778083E-3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3.1948029883819006E-6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3.5276638878011126E-4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2.1314330046759485E-7</v>
      </c>
      <c r="C8" s="433"/>
      <c r="D8" s="435">
        <f>vkm_2011_NGW_PW*SUMIFS(TableVerdeelsleutelVkm[CNG],TableVerdeelsleutelVkm[Voertuigtype],"Lichte voertuigen")*SUMIFS(TableECFTransport[EnergieConsumptieFactor (PJ per km)],TableECFTransport[Index],CONCATENATE($A8,"_CNG_CNG"))</f>
        <v>9.3386455307648339E-7</v>
      </c>
      <c r="E8" s="435">
        <f>vkm_2011_NGW_PW*SUMIFS(TableVerdeelsleutelVkm[LPG],TableVerdeelsleutelVkm[Voertuigtype],"Lichte voertuigen")*SUMIFS(TableECFTransport[EnergieConsumptieFactor (PJ per km)],TableECFTransport[Index],CONCATENATE($A8,"_LPG_LPG"))</f>
        <v>5.0782353806195539E-5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6.9351085742507916E-3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2.0082136985818681E-3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4.006808176505196E-4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2.6556360058319016E-3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9.3290296152510965E-7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1.1830142573676152E-4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0.6834905071338091</v>
      </c>
      <c r="C14" s="22"/>
      <c r="D14" s="22">
        <f t="shared" ref="D14:M14" si="0">((D5)*10^9/3600)+D12</f>
        <v>1.7839188881871177</v>
      </c>
      <c r="E14" s="22">
        <f t="shared" si="0"/>
        <v>104.47140630852269</v>
      </c>
      <c r="F14" s="22"/>
      <c r="G14" s="22">
        <f t="shared" si="0"/>
        <v>17927.029176750195</v>
      </c>
      <c r="H14" s="22">
        <f t="shared" si="0"/>
        <v>3982.513038062365</v>
      </c>
      <c r="I14" s="22"/>
      <c r="J14" s="22"/>
      <c r="K14" s="22"/>
      <c r="L14" s="22"/>
      <c r="M14" s="22">
        <f t="shared" si="0"/>
        <v>980.46531554719741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0.20286068316670694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0.13865335121512351</v>
      </c>
      <c r="C18" s="24"/>
      <c r="D18" s="24">
        <f t="shared" ref="D18:M18" si="1">D14*D16</f>
        <v>0.36035161541379779</v>
      </c>
      <c r="E18" s="24">
        <f t="shared" si="1"/>
        <v>23.71500923203465</v>
      </c>
      <c r="F18" s="24"/>
      <c r="G18" s="24">
        <f t="shared" si="1"/>
        <v>4786.5167901923023</v>
      </c>
      <c r="H18" s="24">
        <f t="shared" si="1"/>
        <v>991.64574647752886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2.5540812241346854E-3</v>
      </c>
      <c r="H50" s="323">
        <f t="shared" si="2"/>
        <v>0</v>
      </c>
      <c r="I50" s="323">
        <f t="shared" si="2"/>
        <v>0</v>
      </c>
      <c r="J50" s="323">
        <f t="shared" si="2"/>
        <v>0</v>
      </c>
      <c r="K50" s="323">
        <f t="shared" si="2"/>
        <v>0</v>
      </c>
      <c r="L50" s="323">
        <f t="shared" si="2"/>
        <v>0</v>
      </c>
      <c r="M50" s="323">
        <f t="shared" si="2"/>
        <v>1.1215391977227478E-4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2.5540812241346854E-3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1.1215391977227478E-4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709.46700670407927</v>
      </c>
      <c r="H54" s="22">
        <f t="shared" si="3"/>
        <v>0</v>
      </c>
      <c r="I54" s="22">
        <f t="shared" si="3"/>
        <v>0</v>
      </c>
      <c r="J54" s="22">
        <f t="shared" si="3"/>
        <v>0</v>
      </c>
      <c r="K54" s="22">
        <f t="shared" si="3"/>
        <v>0</v>
      </c>
      <c r="L54" s="22">
        <f t="shared" si="3"/>
        <v>0</v>
      </c>
      <c r="M54" s="22">
        <f t="shared" si="3"/>
        <v>31.153866603409661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0.20286068316670694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189.42769078998919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11535.219999999998</v>
      </c>
      <c r="D10" s="688">
        <f ca="1">tertiair!C16</f>
        <v>0</v>
      </c>
      <c r="E10" s="688">
        <f ca="1">tertiair!D16</f>
        <v>10267.476824000001</v>
      </c>
      <c r="F10" s="688">
        <f>tertiair!E16</f>
        <v>77.022556085179048</v>
      </c>
      <c r="G10" s="688">
        <f ca="1">tertiair!F16</f>
        <v>2283.3261757552077</v>
      </c>
      <c r="H10" s="688">
        <f>tertiair!G16</f>
        <v>0</v>
      </c>
      <c r="I10" s="688">
        <f>tertiair!H16</f>
        <v>0</v>
      </c>
      <c r="J10" s="688">
        <f>tertiair!I16</f>
        <v>0</v>
      </c>
      <c r="K10" s="688">
        <f>tertiair!J16</f>
        <v>0</v>
      </c>
      <c r="L10" s="688">
        <f>tertiair!K16</f>
        <v>0</v>
      </c>
      <c r="M10" s="688">
        <f ca="1">tertiair!L16</f>
        <v>0</v>
      </c>
      <c r="N10" s="688">
        <f>tertiair!M16</f>
        <v>0</v>
      </c>
      <c r="O10" s="688">
        <f ca="1">tertiair!N16</f>
        <v>992.60884201902854</v>
      </c>
      <c r="P10" s="688">
        <f>tertiair!O16</f>
        <v>0</v>
      </c>
      <c r="Q10" s="689">
        <f>tertiair!P16</f>
        <v>0</v>
      </c>
      <c r="R10" s="691">
        <f ca="1">SUM(C10:Q10)</f>
        <v>25155.654397859413</v>
      </c>
      <c r="S10" s="68"/>
    </row>
    <row r="11" spans="1:19" s="457" customFormat="1">
      <c r="A11" s="803" t="s">
        <v>225</v>
      </c>
      <c r="B11" s="808"/>
      <c r="C11" s="688">
        <f>huishoudens!B8</f>
        <v>16042.591475201851</v>
      </c>
      <c r="D11" s="688">
        <f>huishoudens!C8</f>
        <v>0</v>
      </c>
      <c r="E11" s="688">
        <f>huishoudens!D8</f>
        <v>50864.328416000004</v>
      </c>
      <c r="F11" s="688">
        <f>huishoudens!E8</f>
        <v>223.11198459999025</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1159.3050200725515</v>
      </c>
      <c r="P11" s="688">
        <f>huishoudens!O8</f>
        <v>18.760000000000002</v>
      </c>
      <c r="Q11" s="689">
        <f>huishoudens!P8</f>
        <v>19.066666666666666</v>
      </c>
      <c r="R11" s="691">
        <f>SUM(C11:Q11)</f>
        <v>68327.163562541071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3104.4449999999997</v>
      </c>
      <c r="D13" s="688">
        <f>industrie!C18</f>
        <v>0</v>
      </c>
      <c r="E13" s="688">
        <f>industrie!D18</f>
        <v>2221.2056680000001</v>
      </c>
      <c r="F13" s="688">
        <f>industrie!E18</f>
        <v>25.674007076435942</v>
      </c>
      <c r="G13" s="688">
        <f>industrie!F18</f>
        <v>1040.3608138344334</v>
      </c>
      <c r="H13" s="688">
        <f>industrie!G18</f>
        <v>0</v>
      </c>
      <c r="I13" s="688">
        <f>industrie!H18</f>
        <v>0</v>
      </c>
      <c r="J13" s="688">
        <f>industrie!I18</f>
        <v>0</v>
      </c>
      <c r="K13" s="688">
        <f>industrie!J18</f>
        <v>12.427711433057713</v>
      </c>
      <c r="L13" s="688">
        <f>industrie!K18</f>
        <v>0</v>
      </c>
      <c r="M13" s="688">
        <f>industrie!L18</f>
        <v>0</v>
      </c>
      <c r="N13" s="688">
        <f>industrie!M18</f>
        <v>0</v>
      </c>
      <c r="O13" s="688">
        <f>industrie!N18</f>
        <v>120.24598802615225</v>
      </c>
      <c r="P13" s="688">
        <f>industrie!O18</f>
        <v>0</v>
      </c>
      <c r="Q13" s="689">
        <f>industrie!P18</f>
        <v>0</v>
      </c>
      <c r="R13" s="691">
        <f>SUM(C13:Q13)</f>
        <v>6524.3591883700801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30682.256475201848</v>
      </c>
      <c r="D16" s="721">
        <f t="shared" ref="D16:R16" ca="1" si="0">SUM(D9:D15)</f>
        <v>0</v>
      </c>
      <c r="E16" s="721">
        <f t="shared" ca="1" si="0"/>
        <v>63353.010908000004</v>
      </c>
      <c r="F16" s="721">
        <f t="shared" si="0"/>
        <v>325.80854776160527</v>
      </c>
      <c r="G16" s="721">
        <f t="shared" ca="1" si="0"/>
        <v>3323.6869895896411</v>
      </c>
      <c r="H16" s="721">
        <f t="shared" si="0"/>
        <v>0</v>
      </c>
      <c r="I16" s="721">
        <f t="shared" si="0"/>
        <v>0</v>
      </c>
      <c r="J16" s="721">
        <f t="shared" si="0"/>
        <v>0</v>
      </c>
      <c r="K16" s="721">
        <f t="shared" si="0"/>
        <v>12.427711433057713</v>
      </c>
      <c r="L16" s="721">
        <f t="shared" si="0"/>
        <v>0</v>
      </c>
      <c r="M16" s="721">
        <f t="shared" ca="1" si="0"/>
        <v>0</v>
      </c>
      <c r="N16" s="721">
        <f t="shared" si="0"/>
        <v>0</v>
      </c>
      <c r="O16" s="721">
        <f t="shared" ca="1" si="0"/>
        <v>2272.1598501177323</v>
      </c>
      <c r="P16" s="721">
        <f t="shared" si="0"/>
        <v>18.760000000000002</v>
      </c>
      <c r="Q16" s="721">
        <f t="shared" si="0"/>
        <v>19.066666666666666</v>
      </c>
      <c r="R16" s="721">
        <f t="shared" ca="1" si="0"/>
        <v>100007.17714877057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709.46700670407927</v>
      </c>
      <c r="I19" s="688">
        <f>transport!H54</f>
        <v>0</v>
      </c>
      <c r="J19" s="688">
        <f>transport!I54</f>
        <v>0</v>
      </c>
      <c r="K19" s="688">
        <f>transport!J54</f>
        <v>0</v>
      </c>
      <c r="L19" s="688">
        <f>transport!K54</f>
        <v>0</v>
      </c>
      <c r="M19" s="688">
        <f>transport!L54</f>
        <v>0</v>
      </c>
      <c r="N19" s="688">
        <f>transport!M54</f>
        <v>31.153866603409661</v>
      </c>
      <c r="O19" s="688">
        <f>transport!N54</f>
        <v>0</v>
      </c>
      <c r="P19" s="688">
        <f>transport!O54</f>
        <v>0</v>
      </c>
      <c r="Q19" s="689">
        <f>transport!P54</f>
        <v>0</v>
      </c>
      <c r="R19" s="691">
        <f>SUM(C19:Q19)</f>
        <v>740.62087330748898</v>
      </c>
      <c r="S19" s="68"/>
    </row>
    <row r="20" spans="1:19" s="457" customFormat="1">
      <c r="A20" s="803" t="s">
        <v>307</v>
      </c>
      <c r="B20" s="808"/>
      <c r="C20" s="688">
        <f>transport!B14</f>
        <v>0.6834905071338091</v>
      </c>
      <c r="D20" s="688">
        <f>transport!C14</f>
        <v>0</v>
      </c>
      <c r="E20" s="688">
        <f>transport!D14</f>
        <v>1.7839188881871177</v>
      </c>
      <c r="F20" s="688">
        <f>transport!E14</f>
        <v>104.47140630852269</v>
      </c>
      <c r="G20" s="688">
        <f>transport!F14</f>
        <v>0</v>
      </c>
      <c r="H20" s="688">
        <f>transport!G14</f>
        <v>17927.029176750195</v>
      </c>
      <c r="I20" s="688">
        <f>transport!H14</f>
        <v>3982.513038062365</v>
      </c>
      <c r="J20" s="688">
        <f>transport!I14</f>
        <v>0</v>
      </c>
      <c r="K20" s="688">
        <f>transport!J14</f>
        <v>0</v>
      </c>
      <c r="L20" s="688">
        <f>transport!K14</f>
        <v>0</v>
      </c>
      <c r="M20" s="688">
        <f>transport!L14</f>
        <v>0</v>
      </c>
      <c r="N20" s="688">
        <f>transport!M14</f>
        <v>980.46531554719741</v>
      </c>
      <c r="O20" s="688">
        <f>transport!N14</f>
        <v>0</v>
      </c>
      <c r="P20" s="688">
        <f>transport!O14</f>
        <v>0</v>
      </c>
      <c r="Q20" s="689">
        <f>transport!P14</f>
        <v>0</v>
      </c>
      <c r="R20" s="691">
        <f>SUM(C20:Q20)</f>
        <v>22996.946346063603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0.6834905071338091</v>
      </c>
      <c r="D22" s="806">
        <f t="shared" ref="D22:R22" si="1">SUM(D18:D21)</f>
        <v>0</v>
      </c>
      <c r="E22" s="806">
        <f t="shared" si="1"/>
        <v>1.7839188881871177</v>
      </c>
      <c r="F22" s="806">
        <f t="shared" si="1"/>
        <v>104.47140630852269</v>
      </c>
      <c r="G22" s="806">
        <f t="shared" si="1"/>
        <v>0</v>
      </c>
      <c r="H22" s="806">
        <f t="shared" si="1"/>
        <v>18636.496183454274</v>
      </c>
      <c r="I22" s="806">
        <f t="shared" si="1"/>
        <v>3982.513038062365</v>
      </c>
      <c r="J22" s="806">
        <f t="shared" si="1"/>
        <v>0</v>
      </c>
      <c r="K22" s="806">
        <f t="shared" si="1"/>
        <v>0</v>
      </c>
      <c r="L22" s="806">
        <f t="shared" si="1"/>
        <v>0</v>
      </c>
      <c r="M22" s="806">
        <f t="shared" si="1"/>
        <v>0</v>
      </c>
      <c r="N22" s="806">
        <f t="shared" si="1"/>
        <v>1011.6191821506071</v>
      </c>
      <c r="O22" s="806">
        <f t="shared" si="1"/>
        <v>0</v>
      </c>
      <c r="P22" s="806">
        <f t="shared" si="1"/>
        <v>0</v>
      </c>
      <c r="Q22" s="806">
        <f t="shared" si="1"/>
        <v>0</v>
      </c>
      <c r="R22" s="806">
        <f t="shared" si="1"/>
        <v>23737.567219371093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36.377000000000002</v>
      </c>
      <c r="D24" s="688">
        <f>+landbouw!C8</f>
        <v>0</v>
      </c>
      <c r="E24" s="688">
        <f>+landbouw!D8</f>
        <v>30.885382</v>
      </c>
      <c r="F24" s="688">
        <f>+landbouw!E8</f>
        <v>0.34269571338952259</v>
      </c>
      <c r="G24" s="688">
        <f>+landbouw!F8</f>
        <v>118.71022346605665</v>
      </c>
      <c r="H24" s="688">
        <f>+landbouw!G8</f>
        <v>0</v>
      </c>
      <c r="I24" s="688">
        <f>+landbouw!H8</f>
        <v>0</v>
      </c>
      <c r="J24" s="688">
        <f>+landbouw!I8</f>
        <v>0</v>
      </c>
      <c r="K24" s="688">
        <f>+landbouw!J8</f>
        <v>4.5000118376940126</v>
      </c>
      <c r="L24" s="688">
        <f>+landbouw!K8</f>
        <v>0</v>
      </c>
      <c r="M24" s="688">
        <f>+landbouw!L8</f>
        <v>0</v>
      </c>
      <c r="N24" s="688">
        <f>+landbouw!M8</f>
        <v>0</v>
      </c>
      <c r="O24" s="688">
        <f>+landbouw!N8</f>
        <v>0</v>
      </c>
      <c r="P24" s="688">
        <f>+landbouw!O8</f>
        <v>0</v>
      </c>
      <c r="Q24" s="689">
        <f>+landbouw!P8</f>
        <v>0</v>
      </c>
      <c r="R24" s="691">
        <f>SUM(C24:Q24)</f>
        <v>190.8153130171402</v>
      </c>
      <c r="S24" s="68"/>
    </row>
    <row r="25" spans="1:19" s="457" customFormat="1" ht="15" thickBot="1">
      <c r="A25" s="825" t="s">
        <v>912</v>
      </c>
      <c r="B25" s="1001"/>
      <c r="C25" s="1002">
        <f>IF(Onbekend_ele_kWh="---",0,Onbekend_ele_kWh)/1000+IF(REST_rest_ele_kWh="---",0,REST_rest_ele_kWh)/1000</f>
        <v>265.13799999999998</v>
      </c>
      <c r="D25" s="1002"/>
      <c r="E25" s="1002">
        <f>IF(onbekend_gas_kWh="---",0,onbekend_gas_kWh)/1000+IF(REST_rest_gas_kWh="---",0,REST_rest_gas_kWh)/1000</f>
        <v>2441.1559999999999</v>
      </c>
      <c r="F25" s="1002"/>
      <c r="G25" s="1002"/>
      <c r="H25" s="1002"/>
      <c r="I25" s="1002"/>
      <c r="J25" s="1002"/>
      <c r="K25" s="1002"/>
      <c r="L25" s="1002"/>
      <c r="M25" s="1002"/>
      <c r="N25" s="1002"/>
      <c r="O25" s="1002"/>
      <c r="P25" s="1002"/>
      <c r="Q25" s="1003"/>
      <c r="R25" s="691">
        <f>SUM(C25:Q25)</f>
        <v>2706.2939999999999</v>
      </c>
      <c r="S25" s="68"/>
    </row>
    <row r="26" spans="1:19" s="457" customFormat="1" ht="15.75" thickBot="1">
      <c r="A26" s="694" t="s">
        <v>913</v>
      </c>
      <c r="B26" s="811"/>
      <c r="C26" s="806">
        <f>SUM(C24:C25)</f>
        <v>301.51499999999999</v>
      </c>
      <c r="D26" s="806">
        <f t="shared" ref="D26:R26" si="2">SUM(D24:D25)</f>
        <v>0</v>
      </c>
      <c r="E26" s="806">
        <f t="shared" si="2"/>
        <v>2472.0413819999999</v>
      </c>
      <c r="F26" s="806">
        <f t="shared" si="2"/>
        <v>0.34269571338952259</v>
      </c>
      <c r="G26" s="806">
        <f t="shared" si="2"/>
        <v>118.71022346605665</v>
      </c>
      <c r="H26" s="806">
        <f t="shared" si="2"/>
        <v>0</v>
      </c>
      <c r="I26" s="806">
        <f t="shared" si="2"/>
        <v>0</v>
      </c>
      <c r="J26" s="806">
        <f t="shared" si="2"/>
        <v>0</v>
      </c>
      <c r="K26" s="806">
        <f t="shared" si="2"/>
        <v>4.5000118376940126</v>
      </c>
      <c r="L26" s="806">
        <f t="shared" si="2"/>
        <v>0</v>
      </c>
      <c r="M26" s="806">
        <f t="shared" si="2"/>
        <v>0</v>
      </c>
      <c r="N26" s="806">
        <f t="shared" si="2"/>
        <v>0</v>
      </c>
      <c r="O26" s="806">
        <f t="shared" si="2"/>
        <v>0</v>
      </c>
      <c r="P26" s="806">
        <f t="shared" si="2"/>
        <v>0</v>
      </c>
      <c r="Q26" s="806">
        <f t="shared" si="2"/>
        <v>0</v>
      </c>
      <c r="R26" s="806">
        <f t="shared" si="2"/>
        <v>2897.1093130171403</v>
      </c>
      <c r="S26" s="68"/>
    </row>
    <row r="27" spans="1:19" s="457" customFormat="1" ht="17.25" thickTop="1" thickBot="1">
      <c r="A27" s="695" t="s">
        <v>116</v>
      </c>
      <c r="B27" s="798"/>
      <c r="C27" s="696">
        <f ca="1">C22+C16+C26</f>
        <v>30984.454965708981</v>
      </c>
      <c r="D27" s="696">
        <f t="shared" ref="D27:R27" ca="1" si="3">D22+D16+D26</f>
        <v>0</v>
      </c>
      <c r="E27" s="696">
        <f t="shared" ca="1" si="3"/>
        <v>65826.836208888184</v>
      </c>
      <c r="F27" s="696">
        <f t="shared" si="3"/>
        <v>430.62264978351743</v>
      </c>
      <c r="G27" s="696">
        <f t="shared" ca="1" si="3"/>
        <v>3442.3972130556976</v>
      </c>
      <c r="H27" s="696">
        <f t="shared" si="3"/>
        <v>18636.496183454274</v>
      </c>
      <c r="I27" s="696">
        <f t="shared" si="3"/>
        <v>3982.513038062365</v>
      </c>
      <c r="J27" s="696">
        <f t="shared" si="3"/>
        <v>0</v>
      </c>
      <c r="K27" s="696">
        <f t="shared" si="3"/>
        <v>16.927723270751727</v>
      </c>
      <c r="L27" s="696">
        <f t="shared" si="3"/>
        <v>0</v>
      </c>
      <c r="M27" s="696">
        <f t="shared" ca="1" si="3"/>
        <v>0</v>
      </c>
      <c r="N27" s="696">
        <f t="shared" si="3"/>
        <v>1011.6191821506071</v>
      </c>
      <c r="O27" s="696">
        <f t="shared" ca="1" si="3"/>
        <v>2272.1598501177323</v>
      </c>
      <c r="P27" s="696">
        <f t="shared" si="3"/>
        <v>18.760000000000002</v>
      </c>
      <c r="Q27" s="696">
        <f t="shared" si="3"/>
        <v>19.066666666666666</v>
      </c>
      <c r="R27" s="696">
        <f t="shared" ca="1" si="3"/>
        <v>126641.8536811588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2340.0426096782608</v>
      </c>
      <c r="D40" s="688">
        <f ca="1">tertiair!C20</f>
        <v>0</v>
      </c>
      <c r="E40" s="688">
        <f ca="1">tertiair!D20</f>
        <v>2074.0303184480003</v>
      </c>
      <c r="F40" s="688">
        <f>tertiair!E20</f>
        <v>17.484120231335645</v>
      </c>
      <c r="G40" s="688">
        <f ca="1">tertiair!F20</f>
        <v>609.64808892664053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5041.205137284237</v>
      </c>
    </row>
    <row r="41" spans="1:18">
      <c r="A41" s="816" t="s">
        <v>225</v>
      </c>
      <c r="B41" s="823"/>
      <c r="C41" s="688">
        <f ca="1">huishoudens!B12</f>
        <v>3254.4110664238365</v>
      </c>
      <c r="D41" s="688">
        <f ca="1">huishoudens!C12</f>
        <v>0</v>
      </c>
      <c r="E41" s="688">
        <f>huishoudens!D12</f>
        <v>10274.594340032001</v>
      </c>
      <c r="F41" s="688">
        <f>huishoudens!E12</f>
        <v>50.646420504197792</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13579.651826960035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629.76983355346749</v>
      </c>
      <c r="D43" s="688">
        <f ca="1">industrie!C22</f>
        <v>0</v>
      </c>
      <c r="E43" s="688">
        <f>industrie!D22</f>
        <v>448.68354493600003</v>
      </c>
      <c r="F43" s="688">
        <f>industrie!E22</f>
        <v>5.8279996063509589</v>
      </c>
      <c r="G43" s="688">
        <f>industrie!F22</f>
        <v>277.77633729379374</v>
      </c>
      <c r="H43" s="688">
        <f>industrie!G22</f>
        <v>0</v>
      </c>
      <c r="I43" s="688">
        <f>industrie!H22</f>
        <v>0</v>
      </c>
      <c r="J43" s="688">
        <f>industrie!I22</f>
        <v>0</v>
      </c>
      <c r="K43" s="688">
        <f>industrie!J22</f>
        <v>4.3994098473024303</v>
      </c>
      <c r="L43" s="688">
        <f>industrie!K22</f>
        <v>0</v>
      </c>
      <c r="M43" s="688">
        <f>industrie!L22</f>
        <v>0</v>
      </c>
      <c r="N43" s="688">
        <f>industrie!M22</f>
        <v>0</v>
      </c>
      <c r="O43" s="688">
        <f>industrie!N22</f>
        <v>0</v>
      </c>
      <c r="P43" s="688">
        <f>industrie!O22</f>
        <v>0</v>
      </c>
      <c r="Q43" s="763">
        <f>industrie!P22</f>
        <v>0</v>
      </c>
      <c r="R43" s="843">
        <f t="shared" ca="1" si="4"/>
        <v>1366.4571252369144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6224.2235096555651</v>
      </c>
      <c r="D46" s="721">
        <f t="shared" ref="D46:Q46" ca="1" si="5">SUM(D39:D45)</f>
        <v>0</v>
      </c>
      <c r="E46" s="721">
        <f t="shared" ca="1" si="5"/>
        <v>12797.308203416002</v>
      </c>
      <c r="F46" s="721">
        <f t="shared" si="5"/>
        <v>73.958540341884387</v>
      </c>
      <c r="G46" s="721">
        <f t="shared" ca="1" si="5"/>
        <v>887.42442622043427</v>
      </c>
      <c r="H46" s="721">
        <f t="shared" si="5"/>
        <v>0</v>
      </c>
      <c r="I46" s="721">
        <f t="shared" si="5"/>
        <v>0</v>
      </c>
      <c r="J46" s="721">
        <f t="shared" si="5"/>
        <v>0</v>
      </c>
      <c r="K46" s="721">
        <f t="shared" si="5"/>
        <v>4.3994098473024303</v>
      </c>
      <c r="L46" s="721">
        <f t="shared" si="5"/>
        <v>0</v>
      </c>
      <c r="M46" s="721">
        <f t="shared" ca="1" si="5"/>
        <v>0</v>
      </c>
      <c r="N46" s="721">
        <f t="shared" si="5"/>
        <v>0</v>
      </c>
      <c r="O46" s="721">
        <f t="shared" ca="1" si="5"/>
        <v>0</v>
      </c>
      <c r="P46" s="721">
        <f t="shared" si="5"/>
        <v>0</v>
      </c>
      <c r="Q46" s="721">
        <f t="shared" si="5"/>
        <v>0</v>
      </c>
      <c r="R46" s="721">
        <f ca="1">SUM(R39:R45)</f>
        <v>19987.314089481184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189.42769078998919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189.42769078998919</v>
      </c>
    </row>
    <row r="50" spans="1:18">
      <c r="A50" s="819" t="s">
        <v>307</v>
      </c>
      <c r="B50" s="829"/>
      <c r="C50" s="1008">
        <f ca="1">transport!B18</f>
        <v>0.13865335121512351</v>
      </c>
      <c r="D50" s="1008">
        <f>transport!C18</f>
        <v>0</v>
      </c>
      <c r="E50" s="1008">
        <f>transport!D18</f>
        <v>0.36035161541379779</v>
      </c>
      <c r="F50" s="1008">
        <f>transport!E18</f>
        <v>23.71500923203465</v>
      </c>
      <c r="G50" s="1008">
        <f>transport!F18</f>
        <v>0</v>
      </c>
      <c r="H50" s="1008">
        <f>transport!G18</f>
        <v>4786.5167901923023</v>
      </c>
      <c r="I50" s="1008">
        <f>transport!H18</f>
        <v>991.64574647752886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5802.3765508684946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0.13865335121512351</v>
      </c>
      <c r="D52" s="721">
        <f t="shared" ref="D52:Q52" ca="1" si="6">SUM(D48:D51)</f>
        <v>0</v>
      </c>
      <c r="E52" s="721">
        <f t="shared" si="6"/>
        <v>0.36035161541379779</v>
      </c>
      <c r="F52" s="721">
        <f t="shared" si="6"/>
        <v>23.71500923203465</v>
      </c>
      <c r="G52" s="721">
        <f t="shared" si="6"/>
        <v>0</v>
      </c>
      <c r="H52" s="721">
        <f t="shared" si="6"/>
        <v>4975.9444809822917</v>
      </c>
      <c r="I52" s="721">
        <f t="shared" si="6"/>
        <v>991.64574647752886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5991.804241658484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7.3794630715552989</v>
      </c>
      <c r="D54" s="1008">
        <f ca="1">+landbouw!C12</f>
        <v>0</v>
      </c>
      <c r="E54" s="1008">
        <f>+landbouw!D12</f>
        <v>6.2388471640000001</v>
      </c>
      <c r="F54" s="1008">
        <f>+landbouw!E12</f>
        <v>7.7791926939421635E-2</v>
      </c>
      <c r="G54" s="1008">
        <f>+landbouw!F12</f>
        <v>31.695629665437128</v>
      </c>
      <c r="H54" s="1008">
        <f>+landbouw!G12</f>
        <v>0</v>
      </c>
      <c r="I54" s="1008">
        <f>+landbouw!H12</f>
        <v>0</v>
      </c>
      <c r="J54" s="1008">
        <f>+landbouw!I12</f>
        <v>0</v>
      </c>
      <c r="K54" s="1008">
        <f>+landbouw!J12</f>
        <v>1.5930041905436805</v>
      </c>
      <c r="L54" s="1008">
        <f>+landbouw!K12</f>
        <v>0</v>
      </c>
      <c r="M54" s="1008">
        <f>+landbouw!L12</f>
        <v>0</v>
      </c>
      <c r="N54" s="1008">
        <f>+landbouw!M12</f>
        <v>0</v>
      </c>
      <c r="O54" s="1008">
        <f>+landbouw!N12</f>
        <v>0</v>
      </c>
      <c r="P54" s="1008">
        <f>+landbouw!O12</f>
        <v>0</v>
      </c>
      <c r="Q54" s="1009">
        <f>+landbouw!P12</f>
        <v>0</v>
      </c>
      <c r="R54" s="720">
        <f ca="1">SUM(C54:Q54)</f>
        <v>46.98473601847553</v>
      </c>
    </row>
    <row r="55" spans="1:18" ht="15" thickBot="1">
      <c r="A55" s="819" t="s">
        <v>912</v>
      </c>
      <c r="B55" s="829"/>
      <c r="C55" s="1008">
        <f ca="1">C25*'EF ele_warmte'!B12</f>
        <v>53.786075813454339</v>
      </c>
      <c r="D55" s="1008"/>
      <c r="E55" s="1008">
        <f>E25*EF_CO2_aardgas</f>
        <v>493.11351200000001</v>
      </c>
      <c r="F55" s="1008"/>
      <c r="G55" s="1008"/>
      <c r="H55" s="1008"/>
      <c r="I55" s="1008"/>
      <c r="J55" s="1008"/>
      <c r="K55" s="1008"/>
      <c r="L55" s="1008"/>
      <c r="M55" s="1008"/>
      <c r="N55" s="1008"/>
      <c r="O55" s="1008"/>
      <c r="P55" s="1008"/>
      <c r="Q55" s="1009"/>
      <c r="R55" s="720">
        <f ca="1">SUM(C55:Q55)</f>
        <v>546.89958781345433</v>
      </c>
    </row>
    <row r="56" spans="1:18" ht="15.75" thickBot="1">
      <c r="A56" s="817" t="s">
        <v>913</v>
      </c>
      <c r="B56" s="830"/>
      <c r="C56" s="721">
        <f ca="1">SUM(C54:C55)</f>
        <v>61.165538885009639</v>
      </c>
      <c r="D56" s="721">
        <f t="shared" ref="D56:Q56" ca="1" si="7">SUM(D54:D55)</f>
        <v>0</v>
      </c>
      <c r="E56" s="721">
        <f t="shared" si="7"/>
        <v>499.35235916400001</v>
      </c>
      <c r="F56" s="721">
        <f t="shared" si="7"/>
        <v>7.7791926939421635E-2</v>
      </c>
      <c r="G56" s="721">
        <f t="shared" si="7"/>
        <v>31.695629665437128</v>
      </c>
      <c r="H56" s="721">
        <f t="shared" si="7"/>
        <v>0</v>
      </c>
      <c r="I56" s="721">
        <f t="shared" si="7"/>
        <v>0</v>
      </c>
      <c r="J56" s="721">
        <f t="shared" si="7"/>
        <v>0</v>
      </c>
      <c r="K56" s="721">
        <f t="shared" si="7"/>
        <v>1.5930041905436805</v>
      </c>
      <c r="L56" s="721">
        <f t="shared" si="7"/>
        <v>0</v>
      </c>
      <c r="M56" s="721">
        <f t="shared" si="7"/>
        <v>0</v>
      </c>
      <c r="N56" s="721">
        <f t="shared" si="7"/>
        <v>0</v>
      </c>
      <c r="O56" s="721">
        <f t="shared" si="7"/>
        <v>0</v>
      </c>
      <c r="P56" s="721">
        <f t="shared" si="7"/>
        <v>0</v>
      </c>
      <c r="Q56" s="722">
        <f t="shared" si="7"/>
        <v>0</v>
      </c>
      <c r="R56" s="723">
        <f ca="1">SUM(R54:R55)</f>
        <v>593.88432383192981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6285.5277018917895</v>
      </c>
      <c r="D61" s="729">
        <f t="shared" ref="D61:Q61" ca="1" si="8">D46+D52+D56</f>
        <v>0</v>
      </c>
      <c r="E61" s="729">
        <f t="shared" ca="1" si="8"/>
        <v>13297.020914195416</v>
      </c>
      <c r="F61" s="729">
        <f t="shared" si="8"/>
        <v>97.751341500858459</v>
      </c>
      <c r="G61" s="729">
        <f t="shared" ca="1" si="8"/>
        <v>919.12005588587135</v>
      </c>
      <c r="H61" s="729">
        <f t="shared" si="8"/>
        <v>4975.9444809822917</v>
      </c>
      <c r="I61" s="729">
        <f t="shared" si="8"/>
        <v>991.64574647752886</v>
      </c>
      <c r="J61" s="729">
        <f t="shared" si="8"/>
        <v>0</v>
      </c>
      <c r="K61" s="729">
        <f t="shared" si="8"/>
        <v>5.9924140378461104</v>
      </c>
      <c r="L61" s="729">
        <f t="shared" si="8"/>
        <v>0</v>
      </c>
      <c r="M61" s="729">
        <f t="shared" ca="1" si="8"/>
        <v>0</v>
      </c>
      <c r="N61" s="729">
        <f t="shared" si="8"/>
        <v>0</v>
      </c>
      <c r="O61" s="729">
        <f t="shared" ca="1" si="8"/>
        <v>0</v>
      </c>
      <c r="P61" s="729">
        <f t="shared" si="8"/>
        <v>0</v>
      </c>
      <c r="Q61" s="729">
        <f t="shared" si="8"/>
        <v>0</v>
      </c>
      <c r="R61" s="729">
        <f ca="1">R46+R52+R56</f>
        <v>26573.002654971599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0.20286068316670694</v>
      </c>
      <c r="D63" s="773">
        <f t="shared" ca="1" si="9"/>
        <v>0</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2543.1531471940971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2543.1531471940971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2543.1531471940971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2543.1531471940971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16042.591475201851</v>
      </c>
      <c r="C4" s="461">
        <f>huishoudens!C8</f>
        <v>0</v>
      </c>
      <c r="D4" s="461">
        <f>huishoudens!D8</f>
        <v>50864.328416000004</v>
      </c>
      <c r="E4" s="461">
        <f>huishoudens!E8</f>
        <v>223.11198459999025</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1159.3050200725515</v>
      </c>
      <c r="O4" s="461">
        <f>huishoudens!O8</f>
        <v>18.760000000000002</v>
      </c>
      <c r="P4" s="462">
        <f>huishoudens!P8</f>
        <v>19.066666666666666</v>
      </c>
      <c r="Q4" s="463">
        <f>SUM(B4:P4)</f>
        <v>68327.163562541071</v>
      </c>
    </row>
    <row r="5" spans="1:17">
      <c r="A5" s="460" t="s">
        <v>156</v>
      </c>
      <c r="B5" s="461">
        <f ca="1">tertiair!B16</f>
        <v>10980.687999999998</v>
      </c>
      <c r="C5" s="461">
        <f ca="1">tertiair!C16</f>
        <v>0</v>
      </c>
      <c r="D5" s="461">
        <f ca="1">tertiair!D16</f>
        <v>10267.476824000001</v>
      </c>
      <c r="E5" s="461">
        <f>tertiair!E16</f>
        <v>77.022556085179048</v>
      </c>
      <c r="F5" s="461">
        <f ca="1">tertiair!F16</f>
        <v>2283.3261757552077</v>
      </c>
      <c r="G5" s="461">
        <f>tertiair!G16</f>
        <v>0</v>
      </c>
      <c r="H5" s="461">
        <f>tertiair!H16</f>
        <v>0</v>
      </c>
      <c r="I5" s="461">
        <f>tertiair!I16</f>
        <v>0</v>
      </c>
      <c r="J5" s="461">
        <f>tertiair!J16</f>
        <v>0</v>
      </c>
      <c r="K5" s="461">
        <f>tertiair!K16</f>
        <v>0</v>
      </c>
      <c r="L5" s="461">
        <f ca="1">tertiair!L16</f>
        <v>0</v>
      </c>
      <c r="M5" s="461">
        <f>tertiair!M16</f>
        <v>0</v>
      </c>
      <c r="N5" s="461">
        <f ca="1">tertiair!N16</f>
        <v>992.60884201902854</v>
      </c>
      <c r="O5" s="461">
        <f>tertiair!O16</f>
        <v>0</v>
      </c>
      <c r="P5" s="462">
        <f>tertiair!P16</f>
        <v>0</v>
      </c>
      <c r="Q5" s="460">
        <f t="shared" ref="Q5:Q14" ca="1" si="0">SUM(B5:P5)</f>
        <v>24601.122397859413</v>
      </c>
    </row>
    <row r="6" spans="1:17">
      <c r="A6" s="460" t="s">
        <v>194</v>
      </c>
      <c r="B6" s="461">
        <f>'openbare verlichting'!B8</f>
        <v>554.53200000000004</v>
      </c>
      <c r="C6" s="461"/>
      <c r="D6" s="461"/>
      <c r="E6" s="461"/>
      <c r="F6" s="461"/>
      <c r="G6" s="461"/>
      <c r="H6" s="461"/>
      <c r="I6" s="461"/>
      <c r="J6" s="461"/>
      <c r="K6" s="461"/>
      <c r="L6" s="461"/>
      <c r="M6" s="461"/>
      <c r="N6" s="461"/>
      <c r="O6" s="461"/>
      <c r="P6" s="462"/>
      <c r="Q6" s="460">
        <f t="shared" si="0"/>
        <v>554.53200000000004</v>
      </c>
    </row>
    <row r="7" spans="1:17">
      <c r="A7" s="460" t="s">
        <v>112</v>
      </c>
      <c r="B7" s="461">
        <f>landbouw!B8</f>
        <v>36.377000000000002</v>
      </c>
      <c r="C7" s="461">
        <f>landbouw!C8</f>
        <v>0</v>
      </c>
      <c r="D7" s="461">
        <f>landbouw!D8</f>
        <v>30.885382</v>
      </c>
      <c r="E7" s="461">
        <f>landbouw!E8</f>
        <v>0.34269571338952259</v>
      </c>
      <c r="F7" s="461">
        <f>landbouw!F8</f>
        <v>118.71022346605665</v>
      </c>
      <c r="G7" s="461">
        <f>landbouw!G8</f>
        <v>0</v>
      </c>
      <c r="H7" s="461">
        <f>landbouw!H8</f>
        <v>0</v>
      </c>
      <c r="I7" s="461">
        <f>landbouw!I8</f>
        <v>0</v>
      </c>
      <c r="J7" s="461">
        <f>landbouw!J8</f>
        <v>4.5000118376940126</v>
      </c>
      <c r="K7" s="461">
        <f>landbouw!K8</f>
        <v>0</v>
      </c>
      <c r="L7" s="461">
        <f>landbouw!L8</f>
        <v>0</v>
      </c>
      <c r="M7" s="461">
        <f>landbouw!M8</f>
        <v>0</v>
      </c>
      <c r="N7" s="461">
        <f>landbouw!N8</f>
        <v>0</v>
      </c>
      <c r="O7" s="461">
        <f>landbouw!O8</f>
        <v>0</v>
      </c>
      <c r="P7" s="462">
        <f>landbouw!P8</f>
        <v>0</v>
      </c>
      <c r="Q7" s="460">
        <f t="shared" si="0"/>
        <v>190.8153130171402</v>
      </c>
    </row>
    <row r="8" spans="1:17">
      <c r="A8" s="460" t="s">
        <v>685</v>
      </c>
      <c r="B8" s="461">
        <f>industrie!B18</f>
        <v>3104.4449999999997</v>
      </c>
      <c r="C8" s="461">
        <f>industrie!C18</f>
        <v>0</v>
      </c>
      <c r="D8" s="461">
        <f>industrie!D18</f>
        <v>2221.2056680000001</v>
      </c>
      <c r="E8" s="461">
        <f>industrie!E18</f>
        <v>25.674007076435942</v>
      </c>
      <c r="F8" s="461">
        <f>industrie!F18</f>
        <v>1040.3608138344334</v>
      </c>
      <c r="G8" s="461">
        <f>industrie!G18</f>
        <v>0</v>
      </c>
      <c r="H8" s="461">
        <f>industrie!H18</f>
        <v>0</v>
      </c>
      <c r="I8" s="461">
        <f>industrie!I18</f>
        <v>0</v>
      </c>
      <c r="J8" s="461">
        <f>industrie!J18</f>
        <v>12.427711433057713</v>
      </c>
      <c r="K8" s="461">
        <f>industrie!K18</f>
        <v>0</v>
      </c>
      <c r="L8" s="461">
        <f>industrie!L18</f>
        <v>0</v>
      </c>
      <c r="M8" s="461">
        <f>industrie!M18</f>
        <v>0</v>
      </c>
      <c r="N8" s="461">
        <f>industrie!N18</f>
        <v>120.24598802615225</v>
      </c>
      <c r="O8" s="461">
        <f>industrie!O18</f>
        <v>0</v>
      </c>
      <c r="P8" s="462">
        <f>industrie!P18</f>
        <v>0</v>
      </c>
      <c r="Q8" s="460">
        <f t="shared" si="0"/>
        <v>6524.3591883700801</v>
      </c>
    </row>
    <row r="9" spans="1:17" s="466" customFormat="1">
      <c r="A9" s="464" t="s">
        <v>579</v>
      </c>
      <c r="B9" s="465">
        <f>transport!B14</f>
        <v>0.6834905071338091</v>
      </c>
      <c r="C9" s="465">
        <f>transport!C14</f>
        <v>0</v>
      </c>
      <c r="D9" s="465">
        <f>transport!D14</f>
        <v>1.7839188881871177</v>
      </c>
      <c r="E9" s="465">
        <f>transport!E14</f>
        <v>104.47140630852269</v>
      </c>
      <c r="F9" s="465">
        <f>transport!F14</f>
        <v>0</v>
      </c>
      <c r="G9" s="465">
        <f>transport!G14</f>
        <v>17927.029176750195</v>
      </c>
      <c r="H9" s="465">
        <f>transport!H14</f>
        <v>3982.513038062365</v>
      </c>
      <c r="I9" s="465">
        <f>transport!I14</f>
        <v>0</v>
      </c>
      <c r="J9" s="465">
        <f>transport!J14</f>
        <v>0</v>
      </c>
      <c r="K9" s="465">
        <f>transport!K14</f>
        <v>0</v>
      </c>
      <c r="L9" s="465">
        <f>transport!L14</f>
        <v>0</v>
      </c>
      <c r="M9" s="465">
        <f>transport!M14</f>
        <v>980.46531554719741</v>
      </c>
      <c r="N9" s="465">
        <f>transport!N14</f>
        <v>0</v>
      </c>
      <c r="O9" s="465">
        <f>transport!O14</f>
        <v>0</v>
      </c>
      <c r="P9" s="465">
        <f>transport!P14</f>
        <v>0</v>
      </c>
      <c r="Q9" s="464">
        <f>SUM(B9:P9)</f>
        <v>22996.946346063603</v>
      </c>
    </row>
    <row r="10" spans="1:17">
      <c r="A10" s="460" t="s">
        <v>569</v>
      </c>
      <c r="B10" s="461">
        <f>transport!B54</f>
        <v>0</v>
      </c>
      <c r="C10" s="461">
        <f>transport!C54</f>
        <v>0</v>
      </c>
      <c r="D10" s="461">
        <f>transport!D54</f>
        <v>0</v>
      </c>
      <c r="E10" s="461">
        <f>transport!E54</f>
        <v>0</v>
      </c>
      <c r="F10" s="461">
        <f>transport!F54</f>
        <v>0</v>
      </c>
      <c r="G10" s="461">
        <f>transport!G54</f>
        <v>709.46700670407927</v>
      </c>
      <c r="H10" s="461">
        <f>transport!H54</f>
        <v>0</v>
      </c>
      <c r="I10" s="461">
        <f>transport!I54</f>
        <v>0</v>
      </c>
      <c r="J10" s="461">
        <f>transport!J54</f>
        <v>0</v>
      </c>
      <c r="K10" s="461">
        <f>transport!K54</f>
        <v>0</v>
      </c>
      <c r="L10" s="461">
        <f>transport!L54</f>
        <v>0</v>
      </c>
      <c r="M10" s="461">
        <f>transport!M54</f>
        <v>31.153866603409661</v>
      </c>
      <c r="N10" s="461">
        <f>transport!N54</f>
        <v>0</v>
      </c>
      <c r="O10" s="461">
        <f>transport!O54</f>
        <v>0</v>
      </c>
      <c r="P10" s="462">
        <f>transport!P54</f>
        <v>0</v>
      </c>
      <c r="Q10" s="460">
        <f t="shared" si="0"/>
        <v>740.62087330748898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265.13799999999998</v>
      </c>
      <c r="C14" s="468"/>
      <c r="D14" s="468">
        <f>'SEAP template'!E25</f>
        <v>2441.1559999999999</v>
      </c>
      <c r="E14" s="468"/>
      <c r="F14" s="468"/>
      <c r="G14" s="468"/>
      <c r="H14" s="468"/>
      <c r="I14" s="468"/>
      <c r="J14" s="468"/>
      <c r="K14" s="468"/>
      <c r="L14" s="468"/>
      <c r="M14" s="468"/>
      <c r="N14" s="468"/>
      <c r="O14" s="468"/>
      <c r="P14" s="469"/>
      <c r="Q14" s="460">
        <f t="shared" si="0"/>
        <v>2706.2939999999999</v>
      </c>
    </row>
    <row r="15" spans="1:17" s="473" customFormat="1">
      <c r="A15" s="470" t="s">
        <v>573</v>
      </c>
      <c r="B15" s="471">
        <f ca="1">SUM(B4:B14)</f>
        <v>30984.454965708981</v>
      </c>
      <c r="C15" s="471">
        <f t="shared" ref="C15:Q15" ca="1" si="1">SUM(C4:C14)</f>
        <v>0</v>
      </c>
      <c r="D15" s="471">
        <f t="shared" ca="1" si="1"/>
        <v>65826.836208888184</v>
      </c>
      <c r="E15" s="471">
        <f t="shared" si="1"/>
        <v>430.62264978351743</v>
      </c>
      <c r="F15" s="471">
        <f t="shared" ca="1" si="1"/>
        <v>3442.3972130556976</v>
      </c>
      <c r="G15" s="471">
        <f t="shared" si="1"/>
        <v>18636.496183454274</v>
      </c>
      <c r="H15" s="471">
        <f t="shared" si="1"/>
        <v>3982.513038062365</v>
      </c>
      <c r="I15" s="471">
        <f t="shared" si="1"/>
        <v>0</v>
      </c>
      <c r="J15" s="471">
        <f t="shared" si="1"/>
        <v>16.927723270751727</v>
      </c>
      <c r="K15" s="471">
        <f t="shared" si="1"/>
        <v>0</v>
      </c>
      <c r="L15" s="471">
        <f t="shared" ca="1" si="1"/>
        <v>0</v>
      </c>
      <c r="M15" s="471">
        <f t="shared" si="1"/>
        <v>1011.6191821506071</v>
      </c>
      <c r="N15" s="471">
        <f t="shared" ca="1" si="1"/>
        <v>2272.1598501177323</v>
      </c>
      <c r="O15" s="471">
        <f t="shared" si="1"/>
        <v>18.760000000000002</v>
      </c>
      <c r="P15" s="471">
        <f t="shared" si="1"/>
        <v>19.066666666666666</v>
      </c>
      <c r="Q15" s="471">
        <f t="shared" ca="1" si="1"/>
        <v>126641.8536811588</v>
      </c>
    </row>
    <row r="17" spans="1:17">
      <c r="A17" s="474" t="s">
        <v>574</v>
      </c>
      <c r="B17" s="778">
        <f ca="1">huishoudens!B10</f>
        <v>0.20286068316670694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3254.4110664238365</v>
      </c>
      <c r="C22" s="461">
        <f t="shared" ref="C22:C32" ca="1" si="3">C4*$C$17</f>
        <v>0</v>
      </c>
      <c r="D22" s="461">
        <f t="shared" ref="D22:D32" si="4">D4*$D$17</f>
        <v>10274.594340032001</v>
      </c>
      <c r="E22" s="461">
        <f t="shared" ref="E22:E32" si="5">E4*$E$17</f>
        <v>50.646420504197792</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13579.651826960035</v>
      </c>
    </row>
    <row r="23" spans="1:17">
      <c r="A23" s="460" t="s">
        <v>156</v>
      </c>
      <c r="B23" s="461">
        <f t="shared" ca="1" si="2"/>
        <v>2227.5498693204604</v>
      </c>
      <c r="C23" s="461">
        <f t="shared" ca="1" si="3"/>
        <v>0</v>
      </c>
      <c r="D23" s="461">
        <f t="shared" ca="1" si="4"/>
        <v>2074.0303184480003</v>
      </c>
      <c r="E23" s="461">
        <f t="shared" si="5"/>
        <v>17.484120231335645</v>
      </c>
      <c r="F23" s="461">
        <f t="shared" ca="1" si="6"/>
        <v>609.64808892664053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4928.7123969264367</v>
      </c>
    </row>
    <row r="24" spans="1:17">
      <c r="A24" s="460" t="s">
        <v>194</v>
      </c>
      <c r="B24" s="461">
        <f t="shared" ca="1" si="2"/>
        <v>112.49274035780034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112.49274035780034</v>
      </c>
    </row>
    <row r="25" spans="1:17">
      <c r="A25" s="460" t="s">
        <v>112</v>
      </c>
      <c r="B25" s="461">
        <f t="shared" ca="1" si="2"/>
        <v>7.3794630715552989</v>
      </c>
      <c r="C25" s="461">
        <f t="shared" ca="1" si="3"/>
        <v>0</v>
      </c>
      <c r="D25" s="461">
        <f t="shared" si="4"/>
        <v>6.2388471640000001</v>
      </c>
      <c r="E25" s="461">
        <f t="shared" si="5"/>
        <v>7.7791926939421635E-2</v>
      </c>
      <c r="F25" s="461">
        <f t="shared" si="6"/>
        <v>31.695629665437128</v>
      </c>
      <c r="G25" s="461">
        <f t="shared" si="7"/>
        <v>0</v>
      </c>
      <c r="H25" s="461">
        <f t="shared" si="8"/>
        <v>0</v>
      </c>
      <c r="I25" s="461">
        <f t="shared" si="9"/>
        <v>0</v>
      </c>
      <c r="J25" s="461">
        <f t="shared" si="10"/>
        <v>1.5930041905436805</v>
      </c>
      <c r="K25" s="461">
        <f t="shared" si="11"/>
        <v>0</v>
      </c>
      <c r="L25" s="461">
        <f t="shared" si="12"/>
        <v>0</v>
      </c>
      <c r="M25" s="461">
        <f t="shared" si="13"/>
        <v>0</v>
      </c>
      <c r="N25" s="461">
        <f t="shared" si="14"/>
        <v>0</v>
      </c>
      <c r="O25" s="461">
        <f t="shared" si="15"/>
        <v>0</v>
      </c>
      <c r="P25" s="462">
        <f t="shared" si="16"/>
        <v>0</v>
      </c>
      <c r="Q25" s="460">
        <f t="shared" ca="1" si="17"/>
        <v>46.98473601847553</v>
      </c>
    </row>
    <row r="26" spans="1:17">
      <c r="A26" s="460" t="s">
        <v>685</v>
      </c>
      <c r="B26" s="461">
        <f t="shared" ca="1" si="2"/>
        <v>629.76983355346749</v>
      </c>
      <c r="C26" s="461">
        <f t="shared" ca="1" si="3"/>
        <v>0</v>
      </c>
      <c r="D26" s="461">
        <f t="shared" si="4"/>
        <v>448.68354493600003</v>
      </c>
      <c r="E26" s="461">
        <f t="shared" si="5"/>
        <v>5.8279996063509589</v>
      </c>
      <c r="F26" s="461">
        <f t="shared" si="6"/>
        <v>277.77633729379374</v>
      </c>
      <c r="G26" s="461">
        <f t="shared" si="7"/>
        <v>0</v>
      </c>
      <c r="H26" s="461">
        <f t="shared" si="8"/>
        <v>0</v>
      </c>
      <c r="I26" s="461">
        <f t="shared" si="9"/>
        <v>0</v>
      </c>
      <c r="J26" s="461">
        <f t="shared" si="10"/>
        <v>4.3994098473024303</v>
      </c>
      <c r="K26" s="461">
        <f t="shared" si="11"/>
        <v>0</v>
      </c>
      <c r="L26" s="461">
        <f t="shared" si="12"/>
        <v>0</v>
      </c>
      <c r="M26" s="461">
        <f t="shared" si="13"/>
        <v>0</v>
      </c>
      <c r="N26" s="461">
        <f t="shared" si="14"/>
        <v>0</v>
      </c>
      <c r="O26" s="461">
        <f t="shared" si="15"/>
        <v>0</v>
      </c>
      <c r="P26" s="462">
        <f t="shared" si="16"/>
        <v>0</v>
      </c>
      <c r="Q26" s="460">
        <f t="shared" ca="1" si="17"/>
        <v>1366.4571252369144</v>
      </c>
    </row>
    <row r="27" spans="1:17" s="466" customFormat="1">
      <c r="A27" s="464" t="s">
        <v>579</v>
      </c>
      <c r="B27" s="772">
        <f t="shared" ca="1" si="2"/>
        <v>0.13865335121512351</v>
      </c>
      <c r="C27" s="465">
        <f t="shared" ca="1" si="3"/>
        <v>0</v>
      </c>
      <c r="D27" s="465">
        <f t="shared" si="4"/>
        <v>0.36035161541379779</v>
      </c>
      <c r="E27" s="465">
        <f t="shared" si="5"/>
        <v>23.71500923203465</v>
      </c>
      <c r="F27" s="465">
        <f t="shared" si="6"/>
        <v>0</v>
      </c>
      <c r="G27" s="465">
        <f t="shared" si="7"/>
        <v>4786.5167901923023</v>
      </c>
      <c r="H27" s="465">
        <f t="shared" si="8"/>
        <v>991.64574647752886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5802.3765508684946</v>
      </c>
    </row>
    <row r="28" spans="1:17">
      <c r="A28" s="460" t="s">
        <v>569</v>
      </c>
      <c r="B28" s="461">
        <f t="shared" ca="1" si="2"/>
        <v>0</v>
      </c>
      <c r="C28" s="461">
        <f t="shared" ca="1" si="3"/>
        <v>0</v>
      </c>
      <c r="D28" s="461">
        <f t="shared" si="4"/>
        <v>0</v>
      </c>
      <c r="E28" s="461">
        <f t="shared" si="5"/>
        <v>0</v>
      </c>
      <c r="F28" s="461">
        <f t="shared" si="6"/>
        <v>0</v>
      </c>
      <c r="G28" s="461">
        <f t="shared" si="7"/>
        <v>189.42769078998919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189.42769078998919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53.786075813454339</v>
      </c>
      <c r="C32" s="461">
        <f t="shared" ca="1" si="3"/>
        <v>0</v>
      </c>
      <c r="D32" s="461">
        <f t="shared" si="4"/>
        <v>493.11351200000001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546.89958781345433</v>
      </c>
    </row>
    <row r="33" spans="1:17" s="473" customFormat="1">
      <c r="A33" s="470" t="s">
        <v>573</v>
      </c>
      <c r="B33" s="471">
        <f ca="1">SUM(B22:B32)</f>
        <v>6285.5277018917905</v>
      </c>
      <c r="C33" s="471">
        <f t="shared" ref="C33:Q33" ca="1" si="18">SUM(C22:C32)</f>
        <v>0</v>
      </c>
      <c r="D33" s="471">
        <f t="shared" ca="1" si="18"/>
        <v>13297.020914195416</v>
      </c>
      <c r="E33" s="471">
        <f t="shared" si="18"/>
        <v>97.751341500858459</v>
      </c>
      <c r="F33" s="471">
        <f t="shared" ca="1" si="18"/>
        <v>919.12005588587135</v>
      </c>
      <c r="G33" s="471">
        <f t="shared" si="18"/>
        <v>4975.9444809822917</v>
      </c>
      <c r="H33" s="471">
        <f t="shared" si="18"/>
        <v>991.64574647752886</v>
      </c>
      <c r="I33" s="471">
        <f t="shared" si="18"/>
        <v>0</v>
      </c>
      <c r="J33" s="471">
        <f t="shared" si="18"/>
        <v>5.9924140378461104</v>
      </c>
      <c r="K33" s="471">
        <f t="shared" si="18"/>
        <v>0</v>
      </c>
      <c r="L33" s="471">
        <f t="shared" ca="1" si="18"/>
        <v>0</v>
      </c>
      <c r="M33" s="471">
        <f t="shared" si="18"/>
        <v>0</v>
      </c>
      <c r="N33" s="471">
        <f t="shared" ca="1" si="18"/>
        <v>0</v>
      </c>
      <c r="O33" s="471">
        <f t="shared" si="18"/>
        <v>0</v>
      </c>
      <c r="P33" s="471">
        <f t="shared" si="18"/>
        <v>0</v>
      </c>
      <c r="Q33" s="471">
        <f t="shared" ca="1" si="18"/>
        <v>26573.002654971599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2543.1531471940971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2543.1531471940971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0.20286068316670694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0.20286068316670694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2019-08-12T07:52:25Z</dcterms:modified>
</cp:coreProperties>
</file>