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<sst xmlns="http://schemas.openxmlformats.org/spreadsheetml/2006/main" count="2486" uniqueCount="948">
  <si>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</si>
  <si>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</si>
  <si>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</si>
  <si>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</si>
  <si>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</si>
  <si>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</si>
  <si>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</si>
  <si>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</si>
  <si>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</si>
  <si>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</si>
  <si>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</si>
  <si>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</si>
  <si>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</si>
  <si>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</si>
  <si>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</si>
  <si>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</si>
  <si>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</si>
  <si>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</si>
  <si>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</si>
  <si>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</si>
  <si>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</si>
  <si>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</si>
  <si>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</si>
  <si>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</si>
  <si>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</si>
  <si>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</si>
  <si>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</si>
  <si>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</si>
  <si>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</si>
  <si>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</si>
  <si>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</si>
  <si>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</si>
  <si>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</si>
  <si>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</si>
  <si>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</si>
  <si>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</si>
  <si>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</si>
  <si>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</si>
  <si>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</si>
  <si>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</si>
  <si>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</si>
  <si>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</si>
  <si>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</si>
  <si>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</si>
  <si>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</si>
  <si>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</si>
  <si>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</si>
  <si>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</si>
  <si>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</si>
  <si>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</si>
  <si>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</si>
  <si>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</si>
  <si>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</si>
  <si>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</si>
  <si>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</si>
  <si>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</si>
  <si>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</si>
  <si>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</si>
  <si>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</si>
  <si>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</si>
  <si>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</si>
  <si>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</si>
  <si>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</si>
  <si>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</si>
  <si>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</si>
  <si>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</si>
  <si>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</si>
  <si>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</si>
  <si>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</si>
  <si>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</si>
  <si>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</si>
  <si>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</si>
  <si>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</si>
  <si>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</si>
  <si>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</si>
  <si>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</si>
  <si>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</si>
  <si>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</si>
  <si>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</si>
  <si>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</si>
  <si>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</si>
  <si>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</si>
  <si>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</si>
  <si>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</si>
  <si>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</si>
  <si>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</si>
  <si>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</si>
  <si>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</si>
  <si>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</si>
  <si>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</si>
  <si>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</si>
  <si>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</si>
  <si>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</si>
  <si>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</si>
  <si>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</si>
  <si>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</si>
  <si>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</si>
  <si>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</si>
  <si>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</si>
  <si>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</si>
  <si>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</si>
  <si>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</si>
  <si>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</si>
  <si>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</si>
  <si>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</si>
  <si>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</si>
  <si>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</si>
  <si>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</si>
  <si>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</si>
  <si>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</si>
  <si>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</si>
  <si>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</si>
  <si>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</si>
  <si>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</si>
  <si>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</si>
  <si>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</si>
  <si>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</si>
  <si>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</si>
  <si>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</si>
  <si>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</si>
  <si>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</si>
  <si>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</si>
  <si>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</si>
  <si>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</si>
  <si>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</si>
  <si>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</si>
  <si>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</si>
  <si>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</si>
  <si>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</si>
  <si>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</si>
  <si>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</si>
  <si>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</si>
  <si>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</si>
  <si>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</si>
  <si>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</si>
  <si>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</si>
  <si>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</si>
  <si>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</si>
  <si>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</si>
  <si>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</si>
  <si>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</si>
  <si>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</si>
  <si>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</si>
  <si>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</si>
  <si>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</si>
  <si>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</si>
  <si>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</si>
  <si>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</si>
  <si>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</si>
  <si>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</si>
  <si>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</si>
  <si>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</si>
  <si>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</si>
  <si>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</si>
  <si>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</si>
  <si>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</si>
  <si>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</si>
  <si>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</si>
  <si>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</si>
  <si>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</si>
  <si>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</si>
  <si>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</si>
  <si>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</si>
  <si>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</si>
  <si>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</si>
  <si>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</si>
  <si>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</si>
  <si>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</si>
  <si>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</si>
  <si>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</si>
  <si>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</si>
  <si>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</si>
  <si>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</si>
  <si>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</si>
  <si>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</si>
  <si>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</si>
  <si>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</si>
  <si>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</si>
  <si>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</si>
  <si>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</si>
  <si>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</si>
  <si>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</si>
  <si>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</si>
  <si>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</si>
  <si>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</si>
  <si>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</si>
  <si>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</si>
  <si>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</si>
  <si>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</si>
  <si>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</si>
  <si>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</si>
  <si>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</si>
  <si>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</si>
  <si>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</si>
  <si>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</si>
  <si>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</si>
  <si>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</si>
  <si>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</si>
  <si>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</si>
  <si>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</si>
  <si>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</si>
  <si>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</si>
  <si>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</si>
  <si>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</si>
  <si>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</si>
  <si>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</si>
  <si>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</si>
  <si>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</si>
  <si>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</si>
  <si>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</si>
  <si>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</si>
  <si>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</si>
  <si>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</si>
  <si>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</si>
  <si>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</si>
  <si>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</si>
  <si>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</si>
  <si>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</si>
  <si>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</si>
  <si>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</si>
  <si>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</si>
  <si>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</si>
  <si>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</si>
  <si>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</si>
  <si>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</si>
  <si>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</si>
  <si>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</si>
  <si>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</si>
  <si>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</si>
  <si>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</si>
  <si>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</si>
  <si>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</si>
  <si>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</si>
  <si>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</si>
  <si>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</si>
  <si>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</si>
  <si>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</si>
  <si>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</si>
  <si>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</si>
  <si>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</si>
  <si>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</si>
  <si>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</si>
  <si>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</si>
  <si>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</si>
  <si>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</si>
  <si>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</si>
  <si>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</si>
  <si>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</si>
  <si>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</si>
  <si>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</si>
  <si>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</si>
  <si>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</si>
  <si>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</si>
  <si>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</si>
  <si>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</si>
  <si>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</si>
  <si>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</si>
  <si>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</si>
  <si>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</si>
  <si>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</si>
  <si>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</si>
  <si>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</si>
  <si>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</si>
  <si>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</si>
  <si>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</si>
  <si>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</si>
  <si>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</si>
  <si>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</si>
  <si>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</si>
  <si>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</si>
  <si>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</si>
  <si>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</si>
  <si>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</si>
  <si>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</si>
  <si>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</si>
  <si>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</si>
  <si>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</si>
  <si>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</si>
  <si>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</si>
  <si>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</si>
  <si>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</si>
  <si>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</si>
  <si>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</si>
  <si>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</si>
  <si>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</si>
  <si>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</si>
  <si>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</si>
  <si>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</si>
  <si>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</si>
  <si>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</si>
  <si>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</si>
  <si>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</si>
  <si>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</si>
  <si>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</si>
  <si>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</si>
  <si>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</si>
  <si>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</si>
  <si>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</si>
  <si>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</si>
  <si>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</si>
  <si>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</si>
  <si>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</si>
  <si>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</si>
  <si>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</si>
  <si>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</si>
  <si>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</si>
  <si>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</si>
  <si>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</si>
  <si>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</si>
  <si>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</si>
  <si>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</si>
  <si>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</si>
  <si>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</si>
  <si>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</si>
  <si>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</si>
  <si>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</si>
  <si>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</si>
  <si>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</si>
  <si>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</si>
  <si>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</si>
  <si>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</si>
  <si>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</si>
  <si>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</si>
  <si>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</si>
  <si>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</si>
  <si>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</si>
  <si>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</si>
  <si>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</si>
  <si>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</si>
  <si>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</si>
  <si>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</si>
  <si>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</si>
  <si>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</si>
  <si>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</si>
  <si>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</si>
  <si>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</si>
  <si>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</si>
  <si>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</si>
  <si>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</si>
  <si>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</si>
  <si>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</si>
  <si>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</si>
  <si>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</si>
  <si>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</si>
  <si>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</si>
  <si>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</si>
  <si>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</si>
  <si>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</si>
  <si>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</si>
  <si>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</si>
  <si>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</si>
  <si>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</si>
  <si>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</si>
  <si>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</si>
  <si>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</si>
  <si>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</si>
  <si>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</si>
  <si>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</si>
  <si>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</si>
  <si>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</si>
  <si>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</si>
  <si>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</si>
  <si>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</si>
  <si>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</si>
  <si>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</si>
  <si>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</si>
  <si>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</si>
  <si>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</si>
  <si>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</si>
  <si>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</si>
  <si>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</si>
  <si>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</si>
  <si>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</si>
  <si>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</si>
  <si>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</si>
  <si>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</si>
  <si>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</si>
  <si>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</si>
  <si>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</si>
  <si>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</si>
  <si>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</si>
  <si>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</si>
  <si>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</si>
  <si>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</si>
  <si>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</si>
  <si>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</si>
  <si>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</si>
  <si>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</si>
  <si>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</si>
  <si>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</si>
  <si>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</si>
  <si>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</si>
  <si>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</si>
  <si>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</si>
  <si>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</si>
  <si>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</si>
  <si>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</si>
  <si>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</si>
  <si>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</si>
  <si>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</si>
  <si>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</si>
  <si>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</si>
  <si>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</si>
  <si>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</si>
  <si>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</si>
  <si>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</si>
  <si>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</si>
  <si>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</si>
  <si>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</si>
  <si>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</si>
  <si>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</si>
  <si>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</si>
  <si>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</si>
  <si>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</si>
  <si>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</si>
  <si>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</si>
  <si>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</si>
  <si>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</si>
  <si>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</si>
  <si>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</si>
  <si>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</si>
  <si>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</si>
  <si>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</si>
  <si>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</si>
  <si>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</si>
  <si>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</si>
  <si>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</si>
  <si>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</si>
  <si>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</si>
  <si>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</si>
  <si>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</si>
  <si>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</si>
  <si>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</si>
  <si>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</si>
  <si>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</si>
  <si>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</si>
  <si>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</si>
  <si>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</si>
  <si>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</si>
  <si>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</si>
  <si>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</si>
  <si>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</si>
  <si>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</si>
  <si>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</si>
  <si>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</si>
  <si>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</si>
  <si>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</si>
  <si>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</si>
  <si>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</si>
  <si>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</si>
  <si>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</si>
  <si>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</si>
  <si>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</si>
  <si>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</si>
  <si>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</si>
  <si>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</si>
  <si>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</si>
  <si>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</si>
  <si>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</si>
  <si>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</si>
  <si>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</si>
  <si>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</si>
  <si>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</si>
  <si>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</si>
  <si>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</si>
  <si>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</si>
  <si>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</si>
  <si>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</si>
  <si>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</si>
  <si>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</si>
  <si>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</si>
  <si>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</si>
  <si>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</si>
  <si>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</si>
  <si>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</si>
  <si>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</si>
  <si>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</si>
  <si>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</si>
  <si>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</si>
  <si>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</si>
  <si>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</si>
  <si>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</si>
  <si>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</si>
  <si>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</si>
  <si>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</si>
  <si>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</si>
  <si>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</si>
  <si>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</si>
  <si>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</si>
  <si>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</si>
  <si>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</si>
  <si>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</si>
  <si>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</si>
  <si>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</si>
  <si>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</si>
  <si>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</si>
  <si>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</si>
  <si>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</si>
  <si>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</si>
  <si>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</si>
  <si>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</si>
  <si>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</si>
  <si>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</si>
  <si>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</si>
  <si>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</si>
  <si>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</si>
  <si>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</si>
  <si>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</si>
  <si>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</si>
  <si>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</si>
  <si>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</si>
  <si>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</si>
  <si>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</si>
  <si>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</si>
  <si>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</si>
  <si>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</si>
  <si>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</si>
  <si>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</si>
  <si>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</si>
  <si>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</si>
  <si>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</si>
  <si>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</si>
  <si>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</si>
  <si>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</si>
  <si>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</si>
  <si>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</si>
  <si>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</si>
  <si>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</si>
  <si>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</si>
  <si>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</si>
  <si>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</si>
  <si>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</si>
  <si>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</si>
  <si>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</si>
  <si>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</si>
  <si>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</si>
  <si>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</si>
  <si>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</si>
  <si>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</si>
  <si>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</si>
  <si>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</si>
  <si>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</si>
  <si>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</si>
  <si>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</si>
  <si>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</si>
  <si>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</si>
  <si>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</si>
  <si>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</si>
  <si>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</si>
  <si>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</si>
  <si>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</si>
  <si>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</si>
  <si>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</si>
  <si>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</si>
  <si>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</si>
  <si>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</si>
  <si>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</si>
  <si>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</si>
  <si>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</si>
  <si>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</si>
  <si>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</si>
  <si>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</si>
  <si>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</si>
  <si>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</si>
  <si>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</si>
  <si>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</si>
  <si>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</si>
  <si>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</si>
  <si>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</si>
  <si>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</si>
  <si>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</si>
  <si>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</si>
  <si>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</si>
  <si>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</si>
  <si>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</si>
  <si>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</si>
  <si>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</si>
  <si>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</si>
  <si>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</si>
  <si>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</si>
  <si>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</si>
  <si>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</si>
  <si>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</si>
  <si>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</si>
  <si>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</si>
  <si>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</si>
  <si>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</si>
  <si>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</si>
  <si>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</si>
  <si>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</si>
  <si>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</si>
  <si>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</si>
  <si>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</si>
  <si>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</si>
  <si>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</si>
  <si>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</si>
  <si>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</si>
  <si>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</si>
  <si>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</si>
  <si>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</si>
  <si>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</si>
  <si>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</si>
  <si>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</si>
  <si>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</si>
  <si>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</si>
  <si>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</si>
  <si>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</si>
  <si>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</si>
  <si>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</si>
  <si>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</si>
  <si>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</si>
  <si>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</si>
  <si>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</si>
  <si>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</si>
  <si>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</si>
  <si>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</si>
  <si>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</si>
  <si>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</si>
  <si>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</si>
  <si>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</si>
  <si>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</si>
  <si>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</si>
  <si>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</si>
  <si>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</si>
  <si>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</si>
  <si>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</si>
  <si>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</si>
  <si>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</si>
  <si>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</si>
  <si>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</si>
  <si>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</si>
  <si>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</si>
  <si>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</si>
  <si>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</si>
  <si>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</si>
  <si>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</si>
  <si>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</si>
  <si>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</si>
  <si>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</si>
  <si>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</si>
  <si>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</si>
  <si>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</si>
  <si>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</si>
  <si>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</si>
  <si>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</si>
  <si>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</si>
  <si>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</si>
  <si>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</si>
  <si>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</si>
  <si>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</si>
  <si>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</si>
  <si>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</si>
  <si>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</si>
  <si>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</si>
  <si>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</si>
  <si>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</si>
  <si>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</si>
  <si>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</si>
  <si>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</si>
  <si>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</si>
  <si>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</si>
  <si>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</si>
  <si>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</si>
  <si>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</si>
  <si>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</si>
  <si>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</si>
  <si>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</si>
  <si>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</si>
  <si>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</si>
  <si>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</si>
  <si>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</si>
  <si>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</si>
  <si>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</si>
  <si>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</si>
  <si>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</si>
  <si>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</si>
  <si>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</si>
  <si>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</si>
  <si>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</si>
  <si>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</si>
  <si>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</si>
  <si>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</si>
  <si>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</si>
  <si>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</si>
  <si>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</si>
  <si>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</si>
  <si>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</si>
  <si>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</si>
  <si>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</si>
  <si>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</si>
  <si>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</si>
  <si>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</si>
  <si>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</si>
  <si>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</si>
  <si>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</si>
  <si>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</si>
  <si>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</si>
  <si>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</si>
  <si>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</si>
  <si>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</si>
  <si>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</si>
  <si>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</si>
  <si>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</si>
  <si>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</si>
  <si>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</si>
  <si>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</si>
  <si>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</si>
  <si>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</si>
  <si>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</si>
  <si>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</si>
  <si>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</si>
  <si>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</si>
  <si>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</si>
  <si>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</si>
  <si>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</si>
  <si>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</si>
  <si>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</si>
  <si>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</si>
  <si>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</si>
  <si>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</si>
  <si>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</si>
  <si>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</si>
  <si>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</si>
  <si>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</si>
  <si>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</si>
  <si>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</si>
  <si>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</si>
  <si>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</si>
  <si>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</si>
  <si>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</si>
  <si>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</si>
  <si>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</si>
  <si>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</si>
  <si>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</si>
  <si>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</si>
  <si>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</si>
  <si>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</si>
  <si>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</si>
  <si>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</si>
  <si>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</si>
  <si>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</si>
  <si>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</si>
  <si>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</si>
  <si>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</si>
  <si>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</si>
  <si>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</si>
  <si>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</si>
  <si>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</si>
  <si>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</si>
  <si>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</si>
  <si>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</si>
  <si>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</si>
  <si>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</si>
  <si>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</si>
  <si>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</si>
  <si>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</si>
  <si>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</si>
  <si>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</si>
  <si>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</si>
  <si>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</si>
  <si>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</si>
  <si>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</si>
  <si>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</si>
  <si>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</si>
  <si>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</si>
  <si>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</si>
  <si>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</si>
  <si>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</si>
  <si>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</si>
  <si>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</si>
  <si>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</si>
  <si>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</si>
  <si>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</si>
  <si>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</si>
  <si>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</si>
  <si>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</si>
  <si>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</si>
  <si>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</si>
  <si>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</si>
  <si>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</si>
  <si>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</si>
  <si>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</si>
  <si>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</si>
  <si>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</si>
  <si>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</si>
  <si>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</si>
  <si>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</si>
  <si>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</si>
  <si>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</si>
  <si>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</si>
  <si>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</si>
  <si>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</si>
  <si>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</si>
  <si>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</si>
  <si>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</si>
  <si>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</si>
  <si>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</si>
  <si>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</si>
  <si>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</si>
  <si>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</si>
  <si>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</si>
  <si>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</si>
  <si>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</si>
  <si>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</si>
  <si>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</si>
  <si>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</si>
  <si>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</si>
  <si>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</si>
  <si>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</si>
  <si>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</si>
  <si>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</si>
  <si>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</si>
  <si>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</si>
  <si>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</si>
  <si>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</si>
  <si>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</si>
  <si>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</si>
  <si>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</si>
  <si>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</si>
  <si>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</si>
  <si>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</si>
  <si>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</si>
  <si>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</si>
  <si>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</si>
  <si>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</si>
  <si>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</si>
  <si>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</si>
  <si>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</si>
  <si>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</si>
  <si>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</si>
  <si>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</si>
  <si>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</si>
  <si>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</si>
  <si>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</si>
  <si>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</si>
  <si>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</si>
  <si>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</si>
  <si>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</si>
  <si>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</si>
  <si>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</si>
  <si>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</si>
  <si>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</si>
  <si>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</si>
  <si>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</si>
  <si>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</si>
  <si>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</si>
  <si>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</si>
  <si>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</si>
  <si>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</si>
  <si>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</si>
  <si>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</si>
  <si>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</si>
  <si>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</si>
  <si>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</si>
  <si>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</si>
  <si>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</si>
  <si>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</si>
  <si>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</si>
  <si>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</si>
  <si>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</si>
  <si>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</si>
  <si>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</si>
  <si>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</si>
  <si>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</si>
  <si>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</si>
  <si>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</si>
  <si>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</si>
  <si>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</si>
  <si>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</si>
  <si>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</si>
  <si>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</si>
  <si>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</si>
  <si>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</si>
  <si>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</si>
  <si>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</si>
  <si>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</si>
  <si>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</si>
  <si>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</si>
  <si>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</si>
  <si>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</si>
  <si>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</si>
  <si>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</si>
  <si>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</si>
  <si>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</si>
  <si>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</si>
  <si>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</si>
  <si>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</si>
  <si>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</si>
  <si>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</si>
  <si>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</si>
  <si>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</si>
  <si>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</si>
  <si>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</si>
  <si>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</si>
  <si>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</si>
  <si>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</si>
  <si>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</si>
  <si>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</si>
  <si>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</si>
  <si>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</si>
  <si>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</si>
  <si>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</si>
  <si>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</si>
  <si>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</si>
  <si>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</si>
  <si>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</si>
  <si>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</si>
  <si>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</si>
  <si>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</si>
  <si>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</si>
  <si>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</si>
  <si>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</si>
  <si>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</si>
  <si>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</si>
  <si>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</si>
  <si>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</si>
  <si>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</si>
  <si>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</si>
  <si>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</si>
  <si>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</si>
  <si>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</si>
  <si>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</si>
  <si>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</si>
  <si>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</si>
  <si>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</si>
  <si>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</si>
  <si>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</si>
  <si>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</si>
  <si>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</si>
  <si>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</si>
  <si>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</si>
  <si>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</si>
  <si>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</si>
  <si>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</si>
  <si>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</si>
  <si>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</si>
  <si>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</si>
  <si>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</si>
  <si>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</si>
  <si>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</si>
  <si>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</si>
  <si>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</si>
  <si>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11029</t>
  </si>
  <si>
    <t>MORTSEL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</si>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</sst>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11029</v>
      </c>
      <c r="B6" s="397"/>
      <c r="C6" s="398"/>
    </row>
    <row r="7" spans="1:7" s="395" customFormat="1" ht="15.75" customHeight="1">
      <c r="A7" s="399" t="str">
        <f>txtMunicipality</f>
        <v>MORTSEL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0.21543558367583393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0.21543558367583393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10886</v>
      </c>
      <c r="C9" s="338">
        <v>10776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116</v>
      </c>
    </row>
    <row r="15" spans="1:6">
      <c r="A15" s="1286" t="s">
        <v>184</v>
      </c>
      <c r="B15" s="335">
        <v>2</v>
      </c>
    </row>
    <row r="16" spans="1:6">
      <c r="A16" s="1286" t="s">
        <v>6</v>
      </c>
      <c r="B16" s="335">
        <v>147</v>
      </c>
    </row>
    <row r="17" spans="1:6">
      <c r="A17" s="1286" t="s">
        <v>7</v>
      </c>
      <c r="B17" s="335">
        <v>2</v>
      </c>
    </row>
    <row r="18" spans="1:6">
      <c r="A18" s="1286" t="s">
        <v>8</v>
      </c>
      <c r="B18" s="335">
        <v>81</v>
      </c>
    </row>
    <row r="19" spans="1:6">
      <c r="A19" s="1286" t="s">
        <v>9</v>
      </c>
      <c r="B19" s="335">
        <v>74</v>
      </c>
    </row>
    <row r="20" spans="1:6">
      <c r="A20" s="1286" t="s">
        <v>10</v>
      </c>
      <c r="B20" s="335">
        <v>65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10</v>
      </c>
    </row>
    <row r="29" spans="1:6">
      <c r="A29" s="1287" t="s">
        <v>944</v>
      </c>
      <c r="B29" s="1287">
        <v>6</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19234.536567596198</v>
      </c>
    </row>
    <row r="37" spans="1:6">
      <c r="A37" s="1286" t="s">
        <v>25</v>
      </c>
      <c r="B37" s="1286" t="s">
        <v>28</v>
      </c>
      <c r="C37" s="335">
        <v>0</v>
      </c>
      <c r="D37" s="335">
        <v>0</v>
      </c>
      <c r="E37" s="335">
        <v>0</v>
      </c>
      <c r="F37" s="335">
        <v>0</v>
      </c>
    </row>
    <row r="38" spans="1:6">
      <c r="A38" s="1286" t="s">
        <v>25</v>
      </c>
      <c r="B38" s="1286" t="s">
        <v>29</v>
      </c>
      <c r="C38" s="335">
        <v>1</v>
      </c>
      <c r="D38" s="335">
        <v>92329.922824570007</v>
      </c>
      <c r="E38" s="335">
        <v>4</v>
      </c>
      <c r="F38" s="335">
        <v>34153.478586601399</v>
      </c>
    </row>
    <row r="39" spans="1:6">
      <c r="A39" s="1286" t="s">
        <v>30</v>
      </c>
      <c r="B39" s="1286" t="s">
        <v>31</v>
      </c>
      <c r="C39" s="335">
        <v>9154</v>
      </c>
      <c r="D39" s="335">
        <v>154484104.17961401</v>
      </c>
      <c r="E39" s="335">
        <v>11124</v>
      </c>
      <c r="F39" s="335">
        <v>36201841.608933799</v>
      </c>
    </row>
    <row r="40" spans="1:6">
      <c r="A40" s="1286" t="s">
        <v>30</v>
      </c>
      <c r="B40" s="1286" t="s">
        <v>29</v>
      </c>
      <c r="C40" s="335">
        <v>0</v>
      </c>
      <c r="D40" s="335">
        <v>0</v>
      </c>
      <c r="E40" s="335">
        <v>0</v>
      </c>
      <c r="F40" s="335">
        <v>0</v>
      </c>
    </row>
    <row r="41" spans="1:6">
      <c r="A41" s="1286" t="s">
        <v>32</v>
      </c>
      <c r="B41" s="1286" t="s">
        <v>33</v>
      </c>
      <c r="C41" s="335">
        <v>57</v>
      </c>
      <c r="D41" s="335">
        <v>1352667.5781715</v>
      </c>
      <c r="E41" s="335">
        <v>119</v>
      </c>
      <c r="F41" s="335">
        <v>966278.52486314299</v>
      </c>
    </row>
    <row r="42" spans="1:6">
      <c r="A42" s="1286" t="s">
        <v>32</v>
      </c>
      <c r="B42" s="1286" t="s">
        <v>34</v>
      </c>
      <c r="C42" s="335">
        <v>7</v>
      </c>
      <c r="D42" s="335">
        <v>438640261.64566201</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120820.03718689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199638.26714221301</v>
      </c>
      <c r="E47" s="335">
        <v>8</v>
      </c>
      <c r="F47" s="335">
        <v>117397.81319552301</v>
      </c>
    </row>
    <row r="48" spans="1:6">
      <c r="A48" s="1286" t="s">
        <v>32</v>
      </c>
      <c r="B48" s="1286" t="s">
        <v>29</v>
      </c>
      <c r="C48" s="335">
        <v>17</v>
      </c>
      <c r="D48" s="335">
        <v>497164.44188546401</v>
      </c>
      <c r="E48" s="335">
        <v>17</v>
      </c>
      <c r="F48" s="335">
        <v>1066226.1211345401</v>
      </c>
    </row>
    <row r="49" spans="1:6">
      <c r="A49" s="1286" t="s">
        <v>32</v>
      </c>
      <c r="B49" s="1286" t="s">
        <v>40</v>
      </c>
      <c r="C49" s="335">
        <v>0</v>
      </c>
      <c r="D49" s="335">
        <v>0</v>
      </c>
      <c r="E49" s="335">
        <v>0</v>
      </c>
      <c r="F49" s="335">
        <v>0</v>
      </c>
    </row>
    <row r="50" spans="1:6">
      <c r="A50" s="1286" t="s">
        <v>32</v>
      </c>
      <c r="B50" s="1286" t="s">
        <v>41</v>
      </c>
      <c r="C50" s="335">
        <v>5</v>
      </c>
      <c r="D50" s="335">
        <v>645133.32984837506</v>
      </c>
      <c r="E50" s="335">
        <v>9</v>
      </c>
      <c r="F50" s="335">
        <v>663625.348101613</v>
      </c>
    </row>
    <row r="51" spans="1:6">
      <c r="A51" s="1286" t="s">
        <v>42</v>
      </c>
      <c r="B51" s="1286" t="s">
        <v>43</v>
      </c>
      <c r="C51" s="335">
        <v>0</v>
      </c>
      <c r="D51" s="335">
        <v>0</v>
      </c>
      <c r="E51" s="335">
        <v>4</v>
      </c>
      <c r="F51" s="335">
        <v>154647.67742383099</v>
      </c>
    </row>
    <row r="52" spans="1:6">
      <c r="A52" s="1286" t="s">
        <v>42</v>
      </c>
      <c r="B52" s="1286" t="s">
        <v>29</v>
      </c>
      <c r="C52" s="335">
        <v>3</v>
      </c>
      <c r="D52" s="335">
        <v>81483.010789126507</v>
      </c>
      <c r="E52" s="335">
        <v>1</v>
      </c>
      <c r="F52" s="335">
        <v>13201</v>
      </c>
    </row>
    <row r="53" spans="1:6">
      <c r="A53" s="1286" t="s">
        <v>44</v>
      </c>
      <c r="B53" s="1286" t="s">
        <v>45</v>
      </c>
      <c r="C53" s="335">
        <v>219</v>
      </c>
      <c r="D53" s="335">
        <v>6374456.9963015402</v>
      </c>
      <c r="E53" s="335">
        <v>397</v>
      </c>
      <c r="F53" s="335">
        <v>1413906.49345381</v>
      </c>
    </row>
    <row r="54" spans="1:6">
      <c r="A54" s="1286" t="s">
        <v>46</v>
      </c>
      <c r="B54" s="1286" t="s">
        <v>47</v>
      </c>
      <c r="C54" s="335">
        <v>0</v>
      </c>
      <c r="D54" s="335">
        <v>0</v>
      </c>
      <c r="E54" s="335">
        <v>1</v>
      </c>
      <c r="F54" s="335">
        <v>1050804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69</v>
      </c>
      <c r="D57" s="335">
        <v>2400562.75364932</v>
      </c>
      <c r="E57" s="335">
        <v>100</v>
      </c>
      <c r="F57" s="335">
        <v>1054165.40370368</v>
      </c>
    </row>
    <row r="58" spans="1:6">
      <c r="A58" s="1286" t="s">
        <v>49</v>
      </c>
      <c r="B58" s="1286" t="s">
        <v>51</v>
      </c>
      <c r="C58" s="335">
        <v>87</v>
      </c>
      <c r="D58" s="335">
        <v>11674254.9617135</v>
      </c>
      <c r="E58" s="335">
        <v>112</v>
      </c>
      <c r="F58" s="335">
        <v>3940483.8867653902</v>
      </c>
    </row>
    <row r="59" spans="1:6">
      <c r="A59" s="1286" t="s">
        <v>49</v>
      </c>
      <c r="B59" s="1286" t="s">
        <v>52</v>
      </c>
      <c r="C59" s="335">
        <v>184</v>
      </c>
      <c r="D59" s="335">
        <v>6496204.00753594</v>
      </c>
      <c r="E59" s="335">
        <v>305</v>
      </c>
      <c r="F59" s="335">
        <v>6895309.54801693</v>
      </c>
    </row>
    <row r="60" spans="1:6">
      <c r="A60" s="1286" t="s">
        <v>49</v>
      </c>
      <c r="B60" s="1286" t="s">
        <v>53</v>
      </c>
      <c r="C60" s="335">
        <v>82</v>
      </c>
      <c r="D60" s="335">
        <v>12067169.641224699</v>
      </c>
      <c r="E60" s="335">
        <v>92</v>
      </c>
      <c r="F60" s="335">
        <v>3190000.1126564899</v>
      </c>
    </row>
    <row r="61" spans="1:6">
      <c r="A61" s="1286" t="s">
        <v>49</v>
      </c>
      <c r="B61" s="1286" t="s">
        <v>54</v>
      </c>
      <c r="C61" s="335">
        <v>269</v>
      </c>
      <c r="D61" s="335">
        <v>16125598.406699499</v>
      </c>
      <c r="E61" s="335">
        <v>574</v>
      </c>
      <c r="F61" s="335">
        <v>7326647.2580892099</v>
      </c>
    </row>
    <row r="62" spans="1:6">
      <c r="A62" s="1286" t="s">
        <v>49</v>
      </c>
      <c r="B62" s="1286" t="s">
        <v>55</v>
      </c>
      <c r="C62" s="335">
        <v>17</v>
      </c>
      <c r="D62" s="335">
        <v>1101684.8234743001</v>
      </c>
      <c r="E62" s="335">
        <v>28</v>
      </c>
      <c r="F62" s="335">
        <v>581313.90126807697</v>
      </c>
    </row>
    <row r="63" spans="1:6">
      <c r="A63" s="1286" t="s">
        <v>49</v>
      </c>
      <c r="B63" s="1286" t="s">
        <v>29</v>
      </c>
      <c r="C63" s="335">
        <v>107</v>
      </c>
      <c r="D63" s="335">
        <v>4238163.73781926</v>
      </c>
      <c r="E63" s="335">
        <v>88</v>
      </c>
      <c r="F63" s="335">
        <v>7145935.2590717599</v>
      </c>
    </row>
    <row r="64" spans="1:6">
      <c r="A64" s="1286" t="s">
        <v>56</v>
      </c>
      <c r="B64" s="1286" t="s">
        <v>57</v>
      </c>
      <c r="C64" s="335">
        <v>0</v>
      </c>
      <c r="D64" s="335">
        <v>0</v>
      </c>
      <c r="E64" s="335">
        <v>0</v>
      </c>
      <c r="F64" s="335">
        <v>0</v>
      </c>
    </row>
    <row r="65" spans="1:6">
      <c r="A65" s="1286" t="s">
        <v>56</v>
      </c>
      <c r="B65" s="1286" t="s">
        <v>29</v>
      </c>
      <c r="C65" s="335">
        <v>4</v>
      </c>
      <c r="D65" s="335">
        <v>111112.231683594</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157768.123497814</v>
      </c>
      <c r="E68" s="335">
        <v>17</v>
      </c>
      <c r="F68" s="335">
        <v>1498408.1163884599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43673885</v>
      </c>
      <c r="E73" s="335">
        <v>46746374.197787844</v>
      </c>
    </row>
    <row r="74" spans="1:6">
      <c r="A74" s="1286" t="s">
        <v>64</v>
      </c>
      <c r="B74" s="1286" t="s">
        <v>772</v>
      </c>
      <c r="C74" s="1297" t="s">
        <v>766</v>
      </c>
      <c r="D74" s="335">
        <v>2473876.8798167887</v>
      </c>
      <c r="E74" s="335">
        <v>2590815.8648148524</v>
      </c>
    </row>
    <row r="75" spans="1:6">
      <c r="A75" s="1286" t="s">
        <v>65</v>
      </c>
      <c r="B75" s="1286" t="s">
        <v>771</v>
      </c>
      <c r="C75" s="1297" t="s">
        <v>767</v>
      </c>
      <c r="D75" s="335">
        <v>17614340</v>
      </c>
      <c r="E75" s="335">
        <v>19049613.596057791</v>
      </c>
    </row>
    <row r="76" spans="1:6">
      <c r="A76" s="1286" t="s">
        <v>65</v>
      </c>
      <c r="B76" s="1286" t="s">
        <v>772</v>
      </c>
      <c r="C76" s="1297" t="s">
        <v>768</v>
      </c>
      <c r="D76" s="335">
        <v>546152.87981678895</v>
      </c>
      <c r="E76" s="335">
        <v>719904.28661527159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718042.24036642222</v>
      </c>
      <c r="C83" s="335">
        <v>675922.93390698673</v>
      </c>
    </row>
    <row r="84" spans="1:6">
      <c r="A84" s="1282" t="s">
        <v>337</v>
      </c>
      <c r="B84" s="338">
        <v>416108.00076655665</v>
      </c>
      <c r="C84" s="338">
        <v>452470.74265457405</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1107.6395950424437</v>
      </c>
    </row>
    <row r="92" spans="1:6">
      <c r="A92" s="1282" t="s">
        <v>69</v>
      </c>
      <c r="B92" s="338">
        <v>767.60178546362067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7129</v>
      </c>
    </row>
    <row r="98" spans="1:6">
      <c r="A98" s="1286" t="s">
        <v>72</v>
      </c>
      <c r="B98" s="335">
        <v>9</v>
      </c>
    </row>
    <row r="99" spans="1:6">
      <c r="A99" s="1286" t="s">
        <v>73</v>
      </c>
      <c r="B99" s="335">
        <v>16</v>
      </c>
    </row>
    <row r="100" spans="1:6">
      <c r="A100" s="1286" t="s">
        <v>74</v>
      </c>
      <c r="B100" s="335">
        <v>538</v>
      </c>
    </row>
    <row r="101" spans="1:6">
      <c r="A101" s="1286" t="s">
        <v>75</v>
      </c>
      <c r="B101" s="335">
        <v>33</v>
      </c>
    </row>
    <row r="102" spans="1:6">
      <c r="A102" s="1286" t="s">
        <v>76</v>
      </c>
      <c r="B102" s="335">
        <v>143</v>
      </c>
    </row>
    <row r="103" spans="1:6">
      <c r="A103" s="1286" t="s">
        <v>77</v>
      </c>
      <c r="B103" s="335">
        <v>56</v>
      </c>
    </row>
    <row r="104" spans="1:6">
      <c r="A104" s="1286" t="s">
        <v>78</v>
      </c>
      <c r="B104" s="335">
        <v>2194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55</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74478.313797620271</v>
      </c>
      <c r="C3" s="44" t="s">
        <v>170</v>
      </c>
      <c r="D3" s="44"/>
      <c r="E3" s="157"/>
      <c r="F3" s="44"/>
      <c r="G3" s="44"/>
      <c r="H3" s="44"/>
      <c r="I3" s="44"/>
      <c r="J3" s="44"/>
      <c r="K3" s="97"/>
    </row>
    <row r="4" spans="1:11">
      <c r="A4" s="365" t="s">
        <v>171</v>
      </c>
      <c r="B4" s="50">
        <f>IF(ISERROR('SEAP template'!B78+'SEAP template'!C78),0,'SEAP template'!B78+'SEAP template'!C78)</f>
        <v>1875.2413805060644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0.21543558367583393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1050.8040000000001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1050.8040000000001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0.21543558367583393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226.38057306890101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36201.841608933799</v>
      </c>
      <c r="C5" s="18">
        <f>IF(ISERROR('Eigen informatie GS &amp; warmtenet'!B57),0,'Eigen informatie GS &amp; warmtenet'!B57)</f>
        <v>0</v>
      </c>
      <c r="D5" s="31">
        <f>(SUM(HH_hh_gas_kWh,HH_rest_gas_kWh)/1000)*0.902</f>
        <v>139344.66197001186</v>
      </c>
      <c r="E5" s="18">
        <f>B46*B57</f>
        <v>816.5867555226182</v>
      </c>
      <c r="F5" s="18">
        <f>B51*B62</f>
        <v>7333.3670136001765</v>
      </c>
      <c r="G5" s="19"/>
      <c r="H5" s="18"/>
      <c r="I5" s="18"/>
      <c r="J5" s="18">
        <f>B50*B61+C50*C61</f>
        <v>0</v>
      </c>
      <c r="K5" s="18"/>
      <c r="L5" s="18"/>
      <c r="M5" s="18"/>
      <c r="N5" s="18">
        <f>B48*B59+C48*C59</f>
        <v>5469.5440381023345</v>
      </c>
      <c r="O5" s="18">
        <f>B69*B70*B71</f>
        <v>92.236666666666679</v>
      </c>
      <c r="P5" s="18">
        <f>B77*B78*B79/1000-B77*B78*B79/1000/B80</f>
        <v>19.066666666666666</v>
      </c>
    </row>
    <row r="6" spans="1:16">
      <c r="A6" s="17" t="s">
        <v>639</v>
      </c>
      <c r="B6" s="780">
        <f>kWh_PV_kleiner_dan_10kW</f>
        <v>1107.6395950424437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37309.48120397624</v>
      </c>
      <c r="C8" s="22">
        <f>C5</f>
        <v>0</v>
      </c>
      <c r="D8" s="22">
        <f>D5</f>
        <v>139344.66197001186</v>
      </c>
      <c r="E8" s="22">
        <f>E5</f>
        <v>816.5867555226182</v>
      </c>
      <c r="F8" s="22">
        <f>F5</f>
        <v>7333.3670136001765</v>
      </c>
      <c r="G8" s="22"/>
      <c r="H8" s="22"/>
      <c r="I8" s="22"/>
      <c r="J8" s="22">
        <f>J5</f>
        <v>0</v>
      </c>
      <c r="K8" s="22"/>
      <c r="L8" s="22">
        <f>L5</f>
        <v>0</v>
      </c>
      <c r="M8" s="22">
        <f>M5</f>
        <v>0</v>
      </c>
      <c r="N8" s="22">
        <f>N5</f>
        <v>5469.5440381023345</v>
      </c>
      <c r="O8" s="22">
        <f>O5</f>
        <v>92.236666666666679</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0.21543558367583393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8037.7898598211768</v>
      </c>
      <c r="C12" s="24">
        <f ca="1">C10*C8</f>
        <v>0</v>
      </c>
      <c r="D12" s="24">
        <f>D8*D10</f>
        <v>28147.621717942398</v>
      </c>
      <c r="E12" s="24">
        <f>E10*E8</f>
        <v>185.36519350363434</v>
      </c>
      <c r="F12" s="24">
        <f>F10*F8</f>
        <v>1958.0089926312473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7129</v>
      </c>
      <c r="C18" s="169" t="s">
        <v>111</v>
      </c>
      <c r="D18" s="231"/>
      <c r="E18" s="16"/>
    </row>
    <row r="19" spans="1:7">
      <c r="A19" s="174" t="s">
        <v>72</v>
      </c>
      <c r="B19" s="38">
        <f>aantalw2001_ander</f>
        <v>9</v>
      </c>
      <c r="C19" s="169" t="s">
        <v>111</v>
      </c>
      <c r="D19" s="232"/>
      <c r="E19" s="16"/>
    </row>
    <row r="20" spans="1:7">
      <c r="A20" s="174" t="s">
        <v>73</v>
      </c>
      <c r="B20" s="38">
        <f>aantalw2001_propaan</f>
        <v>16</v>
      </c>
      <c r="C20" s="170">
        <f>IF(ISERROR(B20/SUM($B$20,$B$21,$B$22)*100),0,B20/SUM($B$20,$B$21,$B$22)*100)</f>
        <v>2.7257240204429301</v>
      </c>
      <c r="D20" s="232"/>
      <c r="E20" s="16"/>
    </row>
    <row r="21" spans="1:7">
      <c r="A21" s="174" t="s">
        <v>74</v>
      </c>
      <c r="B21" s="38">
        <f>aantalw2001_elektriciteit</f>
        <v>538</v>
      </c>
      <c r="C21" s="170">
        <f>IF(ISERROR(B21/SUM($B$20,$B$21,$B$22)*100),0,B21/SUM($B$20,$B$21,$B$22)*100)</f>
        <v>91.652470187393533</v>
      </c>
      <c r="D21" s="232"/>
      <c r="E21" s="16"/>
    </row>
    <row r="22" spans="1:7">
      <c r="A22" s="174" t="s">
        <v>75</v>
      </c>
      <c r="B22" s="38">
        <f>aantalw2001_hout</f>
        <v>33</v>
      </c>
      <c r="C22" s="170">
        <f>IF(ISERROR(B22/SUM($B$20,$B$21,$B$22)*100),0,B22/SUM($B$20,$B$21,$B$22)*100)</f>
        <v>5.6218057921635438</v>
      </c>
      <c r="D22" s="232"/>
      <c r="E22" s="16"/>
    </row>
    <row r="23" spans="1:7">
      <c r="A23" s="174" t="s">
        <v>76</v>
      </c>
      <c r="B23" s="38">
        <f>aantalw2001_niet_gespec</f>
        <v>143</v>
      </c>
      <c r="C23" s="169" t="s">
        <v>111</v>
      </c>
      <c r="D23" s="231"/>
      <c r="E23" s="16"/>
    </row>
    <row r="24" spans="1:7">
      <c r="A24" s="174" t="s">
        <v>77</v>
      </c>
      <c r="B24" s="38">
        <f>aantalw2001_steenkool</f>
        <v>56</v>
      </c>
      <c r="C24" s="169" t="s">
        <v>111</v>
      </c>
      <c r="D24" s="232"/>
      <c r="E24" s="16"/>
    </row>
    <row r="25" spans="1:7">
      <c r="A25" s="174" t="s">
        <v>78</v>
      </c>
      <c r="B25" s="38">
        <f>aantalw2001_stookolie</f>
        <v>2194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10886</v>
      </c>
      <c r="C28" s="37"/>
      <c r="D28" s="231"/>
    </row>
    <row r="29" spans="1:7" s="16" customFormat="1">
      <c r="A29" s="233" t="s">
        <v>666</v>
      </c>
      <c r="B29" s="38">
        <f>SUM(HH_hh_gas_aantal,HH_rest_gas_aantal)</f>
        <v>9154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9154</v>
      </c>
      <c r="C32" s="170">
        <f>IF(ISERROR(B32/SUM($B$32,$B$34,$B$35,$B$36,$B$38,$B$39)*100),0,B32/SUM($B$32,$B$34,$B$35,$B$36,$B$38,$B$39)*100)</f>
        <v>84.097381717960502</v>
      </c>
      <c r="D32" s="236"/>
      <c r="G32" s="16"/>
    </row>
    <row r="33" spans="1:7">
      <c r="A33" s="174" t="s">
        <v>72</v>
      </c>
      <c r="B33" s="35" t="s">
        <v>111</v>
      </c>
      <c r="C33" s="170"/>
      <c r="D33" s="236"/>
      <c r="G33" s="16"/>
    </row>
    <row r="34" spans="1:7">
      <c r="A34" s="174" t="s">
        <v>73</v>
      </c>
      <c r="B34" s="34">
        <f>IF((($B$28-$B$32-$B$39-$B$77-$B$38)*C20/100)&lt;0,0,($B$28-$B$32-$B$39-$B$77-$B$38)*C20/100)</f>
        <v>37.056218057921633</v>
      </c>
      <c r="C34" s="170">
        <f>IF(ISERROR(B34/SUM($B$32,$B$34,$B$35,$B$36,$B$38,$B$39)*100),0,B34/SUM($B$32,$B$34,$B$35,$B$36,$B$38,$B$39)*100)</f>
        <v>0.34043379015086478</v>
      </c>
      <c r="D34" s="236"/>
      <c r="G34" s="16"/>
    </row>
    <row r="35" spans="1:7">
      <c r="A35" s="174" t="s">
        <v>74</v>
      </c>
      <c r="B35" s="34">
        <f>IF((($B$28-$B$32-$B$39-$B$77-$B$38)*C21/100)&lt;0,0,($B$28-$B$32-$B$39-$B$77-$B$38)*C21/100)</f>
        <v>1246.015332197615</v>
      </c>
      <c r="C35" s="170">
        <f>IF(ISERROR(B35/SUM($B$32,$B$34,$B$35,$B$36,$B$38,$B$39)*100),0,B35/SUM($B$32,$B$34,$B$35,$B$36,$B$38,$B$39)*100)</f>
        <v>11.447086193822829</v>
      </c>
      <c r="D35" s="236"/>
      <c r="G35" s="16"/>
    </row>
    <row r="36" spans="1:7">
      <c r="A36" s="174" t="s">
        <v>75</v>
      </c>
      <c r="B36" s="34">
        <f>IF((($B$28-$B$32-$B$39-$B$77-$B$38)*C22/100)&lt;0,0,($B$28-$B$32-$B$39-$B$77-$B$38)*C22/100)</f>
        <v>76.428449744463379</v>
      </c>
      <c r="C36" s="170">
        <f>IF(ISERROR(B36/SUM($B$32,$B$34,$B$35,$B$36,$B$38,$B$39)*100),0,B36/SUM($B$32,$B$34,$B$35,$B$36,$B$38,$B$39)*100)</f>
        <v>0.70214469218615871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371.5</v>
      </c>
      <c r="C39" s="170">
        <f>IF(ISERROR(B39/SUM($B$32,$B$34,$B$35,$B$36,$B$38,$B$39)*100),0,B39/SUM($B$32,$B$34,$B$35,$B$36,$B$38,$B$39)*100)</f>
        <v>3.4129536058796512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9154</v>
      </c>
      <c r="C44" s="35" t="s">
        <v>111</v>
      </c>
      <c r="D44" s="177"/>
    </row>
    <row r="45" spans="1:7">
      <c r="A45" s="174" t="s">
        <v>72</v>
      </c>
      <c r="B45" s="34" t="str">
        <f t="shared" si="0"/>
        <v>-</v>
      </c>
      <c r="C45" s="35" t="s">
        <v>111</v>
      </c>
      <c r="D45" s="177"/>
    </row>
    <row r="46" spans="1:7">
      <c r="A46" s="174" t="s">
        <v>73</v>
      </c>
      <c r="B46" s="34">
        <f t="shared" si="0"/>
        <v>37.056218057921633</v>
      </c>
      <c r="C46" s="35" t="s">
        <v>111</v>
      </c>
      <c r="D46" s="177"/>
    </row>
    <row r="47" spans="1:7">
      <c r="A47" s="174" t="s">
        <v>74</v>
      </c>
      <c r="B47" s="34">
        <f t="shared" si="0"/>
        <v>1246.015332197615</v>
      </c>
      <c r="C47" s="35" t="s">
        <v>111</v>
      </c>
      <c r="D47" s="177"/>
    </row>
    <row r="48" spans="1:7">
      <c r="A48" s="174" t="s">
        <v>75</v>
      </c>
      <c r="B48" s="34">
        <f t="shared" si="0"/>
        <v>76.428449744463379</v>
      </c>
      <c r="C48" s="34">
        <f>B48*10</f>
        <v>764.28449744463376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371.5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30133.855369571535</v>
      </c>
      <c r="C5" s="18">
        <f>IF(ISERROR('Eigen informatie GS &amp; warmtenet'!B58),0,'Eigen informatie GS &amp; warmtenet'!B58)</f>
        <v>0</v>
      </c>
      <c r="D5" s="31">
        <f>SUM(D6:D12)</f>
        <v>48801.481775569096</v>
      </c>
      <c r="E5" s="18">
        <f>SUM(E6:E12)</f>
        <v>289.32532830217991</v>
      </c>
      <c r="F5" s="18">
        <f>SUM(F6:F12)</f>
        <v>6321.3129555398591</v>
      </c>
      <c r="G5" s="19"/>
      <c r="H5" s="18"/>
      <c r="I5" s="18"/>
      <c r="J5" s="18">
        <f>SUM(J6:J12)</f>
        <v>0</v>
      </c>
      <c r="K5" s="18"/>
      <c r="L5" s="18"/>
      <c r="M5" s="18"/>
      <c r="N5" s="18">
        <f>SUM(N6:N12)</f>
        <v>1150.0735832837872</v>
      </c>
      <c r="O5" s="18">
        <f>B38*B39*B40</f>
        <v>0</v>
      </c>
      <c r="P5" s="18">
        <f>B46*B47*B48/1000-B46*B47*B48/1000/B49</f>
        <v>0</v>
      </c>
      <c r="R5" s="33"/>
    </row>
    <row r="6" spans="1:18">
      <c r="A6" s="33" t="s">
        <v>54</v>
      </c>
      <c r="B6" s="38">
        <f>B26</f>
        <v>7326.6472580892096</v>
      </c>
      <c r="C6" s="34"/>
      <c r="D6" s="38">
        <f>IF(ISERROR(TER_kantoor_gas_kWh/1000),0,TER_kantoor_gas_kWh/1000)*0.902</f>
        <v>14545.289762842949</v>
      </c>
      <c r="E6" s="34">
        <f>$C$26*'E Balans VL '!I12/100/3.6*1000000</f>
        <v>12.024513084977599</v>
      </c>
      <c r="F6" s="34">
        <f>$C$26*('E Balans VL '!L12+'E Balans VL '!N12)/100/3.6*1000000</f>
        <v>863.63932508011339</v>
      </c>
      <c r="G6" s="35"/>
      <c r="H6" s="34"/>
      <c r="I6" s="34"/>
      <c r="J6" s="34">
        <f>$C$26*('E Balans VL '!D12+'E Balans VL '!E12)/100/3.6*1000000</f>
        <v>0</v>
      </c>
      <c r="K6" s="34"/>
      <c r="L6" s="34"/>
      <c r="M6" s="34"/>
      <c r="N6" s="34">
        <f>$C$26*'E Balans VL '!Y12/100/3.6*1000000</f>
        <v>1.4803143839818078</v>
      </c>
      <c r="O6" s="34"/>
      <c r="P6" s="34"/>
      <c r="R6" s="33"/>
    </row>
    <row r="7" spans="1:18">
      <c r="A7" s="33" t="s">
        <v>53</v>
      </c>
      <c r="B7" s="38">
        <f t="shared" ref="B7:B12" si="0">B27</f>
        <v>3190.0001126564898</v>
      </c>
      <c r="C7" s="34"/>
      <c r="D7" s="38">
        <f>IF(ISERROR(TER_horeca_gas_kWh/1000),0,TER_horeca_gas_kWh/1000)*0.902</f>
        <v>10884.587016384678</v>
      </c>
      <c r="E7" s="34">
        <f>$C$27*'E Balans VL '!I9/100/3.6*1000000</f>
        <v>165.53792251209171</v>
      </c>
      <c r="F7" s="34">
        <f>$C$27*('E Balans VL '!L9+'E Balans VL '!N9)/100/3.6*1000000</f>
        <v>727.96034038376479</v>
      </c>
      <c r="G7" s="35"/>
      <c r="H7" s="34"/>
      <c r="I7" s="34"/>
      <c r="J7" s="34">
        <f>$C$27*('E Balans VL '!D9+'E Balans VL '!E9)/100/3.6*1000000</f>
        <v>0</v>
      </c>
      <c r="K7" s="34"/>
      <c r="L7" s="34"/>
      <c r="M7" s="34"/>
      <c r="N7" s="34">
        <f>$C$27*'E Balans VL '!Y9/100/3.6*1000000</f>
        <v>0.33686255001519572</v>
      </c>
      <c r="O7" s="34"/>
      <c r="P7" s="34"/>
      <c r="R7" s="33"/>
    </row>
    <row r="8" spans="1:18">
      <c r="A8" s="6" t="s">
        <v>52</v>
      </c>
      <c r="B8" s="38">
        <f t="shared" si="0"/>
        <v>6895.3095480169304</v>
      </c>
      <c r="C8" s="34"/>
      <c r="D8" s="38">
        <f>IF(ISERROR(TER_handel_gas_kWh/1000),0,TER_handel_gas_kWh/1000)*0.902</f>
        <v>5859.5760147974179</v>
      </c>
      <c r="E8" s="34">
        <f>$C$28*'E Balans VL '!I13/100/3.6*1000000</f>
        <v>37.132089236996563</v>
      </c>
      <c r="F8" s="34">
        <f>$C$28*('E Balans VL '!L13+'E Balans VL '!N13)/100/3.6*1000000</f>
        <v>1406.1585269848258</v>
      </c>
      <c r="G8" s="35"/>
      <c r="H8" s="34"/>
      <c r="I8" s="34"/>
      <c r="J8" s="34">
        <f>$C$28*('E Balans VL '!D13+'E Balans VL '!E13)/100/3.6*1000000</f>
        <v>0</v>
      </c>
      <c r="K8" s="34"/>
      <c r="L8" s="34"/>
      <c r="M8" s="34"/>
      <c r="N8" s="34">
        <f>$C$28*'E Balans VL '!Y13/100/3.6*1000000</f>
        <v>34.2867330736415</v>
      </c>
      <c r="O8" s="34"/>
      <c r="P8" s="34"/>
      <c r="R8" s="33"/>
    </row>
    <row r="9" spans="1:18">
      <c r="A9" s="33" t="s">
        <v>51</v>
      </c>
      <c r="B9" s="38">
        <f t="shared" si="0"/>
        <v>3940.4838867653903</v>
      </c>
      <c r="C9" s="34"/>
      <c r="D9" s="38">
        <f>IF(ISERROR(TER_gezond_gas_kWh/1000),0,TER_gezond_gas_kWh/1000)*0.902</f>
        <v>10530.177975465578</v>
      </c>
      <c r="E9" s="34">
        <f>$C$29*'E Balans VL '!I10/100/3.6*1000000</f>
        <v>3.9050643427818059</v>
      </c>
      <c r="F9" s="34">
        <f>$C$29*('E Balans VL '!L10+'E Balans VL '!N10)/100/3.6*1000000</f>
        <v>1367.2343286169814</v>
      </c>
      <c r="G9" s="35"/>
      <c r="H9" s="34"/>
      <c r="I9" s="34"/>
      <c r="J9" s="34">
        <f>$C$29*('E Balans VL '!D10+'E Balans VL '!E10)/100/3.6*1000000</f>
        <v>0</v>
      </c>
      <c r="K9" s="34"/>
      <c r="L9" s="34"/>
      <c r="M9" s="34"/>
      <c r="N9" s="34">
        <f>$C$29*'E Balans VL '!Y10/100/3.6*1000000</f>
        <v>33.954808289774846</v>
      </c>
      <c r="O9" s="34"/>
      <c r="P9" s="34"/>
      <c r="R9" s="33"/>
    </row>
    <row r="10" spans="1:18">
      <c r="A10" s="33" t="s">
        <v>50</v>
      </c>
      <c r="B10" s="38">
        <f t="shared" si="0"/>
        <v>1054.1654037036801</v>
      </c>
      <c r="C10" s="34"/>
      <c r="D10" s="38">
        <f>IF(ISERROR(TER_ander_gas_kWh/1000),0,TER_ander_gas_kWh/1000)*0.902</f>
        <v>2165.3076037916867</v>
      </c>
      <c r="E10" s="34">
        <f>$C$30*'E Balans VL '!I14/100/3.6*1000000</f>
        <v>8.6241265655846036</v>
      </c>
      <c r="F10" s="34">
        <f>$C$30*('E Balans VL '!L14+'E Balans VL '!N14)/100/3.6*1000000</f>
        <v>308.19504719190553</v>
      </c>
      <c r="G10" s="35"/>
      <c r="H10" s="34"/>
      <c r="I10" s="34"/>
      <c r="J10" s="34">
        <f>$C$30*('E Balans VL '!D14+'E Balans VL '!E14)/100/3.6*1000000</f>
        <v>0</v>
      </c>
      <c r="K10" s="34"/>
      <c r="L10" s="34"/>
      <c r="M10" s="34"/>
      <c r="N10" s="34">
        <f>$C$30*'E Balans VL '!Y14/100/3.6*1000000</f>
        <v>608.11511974894108</v>
      </c>
      <c r="O10" s="34"/>
      <c r="P10" s="34"/>
      <c r="R10" s="33"/>
    </row>
    <row r="11" spans="1:18">
      <c r="A11" s="33" t="s">
        <v>55</v>
      </c>
      <c r="B11" s="38">
        <f t="shared" si="0"/>
        <v>581.31390126807696</v>
      </c>
      <c r="C11" s="34"/>
      <c r="D11" s="38">
        <f>IF(ISERROR(TER_onderwijs_gas_kWh/1000),0,TER_onderwijs_gas_kWh/1000)*0.902</f>
        <v>993.71971077381875</v>
      </c>
      <c r="E11" s="34">
        <f>$C$31*'E Balans VL '!I11/100/3.6*1000000</f>
        <v>0.35829736067295692</v>
      </c>
      <c r="F11" s="34">
        <f>$C$31*('E Balans VL '!L11+'E Balans VL '!N11)/100/3.6*1000000</f>
        <v>224.74536841663772</v>
      </c>
      <c r="G11" s="35"/>
      <c r="H11" s="34"/>
      <c r="I11" s="34"/>
      <c r="J11" s="34">
        <f>$C$31*('E Balans VL '!D11+'E Balans VL '!E11)/100/3.6*1000000</f>
        <v>0</v>
      </c>
      <c r="K11" s="34"/>
      <c r="L11" s="34"/>
      <c r="M11" s="34"/>
      <c r="N11" s="34">
        <f>$C$31*'E Balans VL '!Y11/100/3.6*1000000</f>
        <v>1.8908895479158239</v>
      </c>
      <c r="O11" s="34"/>
      <c r="P11" s="34"/>
      <c r="R11" s="33"/>
    </row>
    <row r="12" spans="1:18">
      <c r="A12" s="33" t="s">
        <v>260</v>
      </c>
      <c r="B12" s="38">
        <f t="shared" si="0"/>
        <v>7145.9352590717599</v>
      </c>
      <c r="C12" s="34"/>
      <c r="D12" s="38">
        <f>IF(ISERROR(TER_rest_gas_kWh/1000),0,TER_rest_gas_kWh/1000)*0.902</f>
        <v>3822.8236915129728</v>
      </c>
      <c r="E12" s="34">
        <f>$C$32*'E Balans VL '!I8/100/3.6*1000000</f>
        <v>61.743315199074708</v>
      </c>
      <c r="F12" s="34">
        <f>$C$32*('E Balans VL '!L8+'E Balans VL '!N8)/100/3.6*1000000</f>
        <v>1423.3800188656303</v>
      </c>
      <c r="G12" s="35"/>
      <c r="H12" s="34"/>
      <c r="I12" s="34"/>
      <c r="J12" s="34">
        <f>$C$32*('E Balans VL '!D8+'E Balans VL '!E8)/100/3.6*1000000</f>
        <v>0</v>
      </c>
      <c r="K12" s="34"/>
      <c r="L12" s="34"/>
      <c r="M12" s="34"/>
      <c r="N12" s="34">
        <f>$C$32*'E Balans VL '!Y8/100/3.6*1000000</f>
        <v>470.00885568951702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30133.855369571535</v>
      </c>
      <c r="C16" s="22">
        <f t="shared" ca="1" si="1"/>
        <v>0</v>
      </c>
      <c r="D16" s="22">
        <f t="shared" ca="1" si="1"/>
        <v>48801.481775569096</v>
      </c>
      <c r="E16" s="22">
        <f t="shared" si="1"/>
        <v>289.32532830217991</v>
      </c>
      <c r="F16" s="22">
        <f t="shared" ca="1" si="1"/>
        <v>6321.3129555398591</v>
      </c>
      <c r="G16" s="22">
        <f t="shared" si="1"/>
        <v>0</v>
      </c>
      <c r="H16" s="22">
        <f t="shared" si="1"/>
        <v>0</v>
      </c>
      <c r="I16" s="22">
        <f t="shared" si="1"/>
        <v>0</v>
      </c>
      <c r="J16" s="22">
        <f t="shared" si="1"/>
        <v>0</v>
      </c>
      <c r="K16" s="22">
        <f t="shared" si="1"/>
        <v>0</v>
      </c>
      <c r="L16" s="22">
        <f t="shared" ca="1" si="1"/>
        <v>0</v>
      </c>
      <c r="M16" s="22">
        <f t="shared" si="1"/>
        <v>0</v>
      </c>
      <c r="N16" s="22">
        <f t="shared" ca="1" si="1"/>
        <v>1150.0735832837872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0.21543558367583393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6491.9047199468059</v>
      </c>
      <c r="C20" s="24">
        <f t="shared" ref="C20:P20" ca="1" si="2">C16*C18</f>
        <v>0</v>
      </c>
      <c r="D20" s="24">
        <f t="shared" ca="1" si="2"/>
        <v>9857.8993186649586</v>
      </c>
      <c r="E20" s="24">
        <f t="shared" si="2"/>
        <v>65.676849524594843</v>
      </c>
      <c r="F20" s="24">
        <f t="shared" ca="1" si="2"/>
        <v>1687.7905591291424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7326.6472580892096</v>
      </c>
      <c r="C26" s="40">
        <f>IF(ISERROR(B26*3.6/1000000/'E Balans VL '!Z12*100),0,B26*3.6/1000000/'E Balans VL '!Z12*100)</f>
        <v>0.15568600006820069</v>
      </c>
      <c r="D26" s="240" t="s">
        <v>707</v>
      </c>
      <c r="F26" s="6"/>
    </row>
    <row r="27" spans="1:18">
      <c r="A27" s="234" t="s">
        <v>53</v>
      </c>
      <c r="B27" s="34">
        <f>IF(ISERROR(TER_horeca_ele_kWh/1000),0,TER_horeca_ele_kWh/1000)</f>
        <v>3190.0001126564898</v>
      </c>
      <c r="C27" s="40">
        <f>IF(ISERROR(B27*3.6/1000000/'E Balans VL '!Z9*100),0,B27*3.6/1000000/'E Balans VL '!Z9*100)</f>
        <v>0.25107767702995953</v>
      </c>
      <c r="D27" s="240" t="s">
        <v>707</v>
      </c>
      <c r="F27" s="6"/>
    </row>
    <row r="28" spans="1:18">
      <c r="A28" s="174" t="s">
        <v>52</v>
      </c>
      <c r="B28" s="34">
        <f>IF(ISERROR(TER_handel_ele_kWh/1000),0,TER_handel_ele_kWh/1000)</f>
        <v>6895.3095480169304</v>
      </c>
      <c r="C28" s="40">
        <f>IF(ISERROR(B28*3.6/1000000/'E Balans VL '!Z13*100),0,B28*3.6/1000000/'E Balans VL '!Z13*100)</f>
        <v>0.19314131066393536</v>
      </c>
      <c r="D28" s="240" t="s">
        <v>707</v>
      </c>
      <c r="F28" s="6"/>
    </row>
    <row r="29" spans="1:18">
      <c r="A29" s="234" t="s">
        <v>51</v>
      </c>
      <c r="B29" s="34">
        <f>IF(ISERROR(TER_gezond_ele_kWh/1000),0,TER_gezond_ele_kWh/1000)</f>
        <v>3940.4838867653903</v>
      </c>
      <c r="C29" s="40">
        <f>IF(ISERROR(B29*3.6/1000000/'E Balans VL '!Z10*100),0,B29*3.6/1000000/'E Balans VL '!Z10*100)</f>
        <v>0.50410704455111655</v>
      </c>
      <c r="D29" s="240" t="s">
        <v>707</v>
      </c>
      <c r="F29" s="6"/>
    </row>
    <row r="30" spans="1:18">
      <c r="A30" s="234" t="s">
        <v>50</v>
      </c>
      <c r="B30" s="34">
        <f>IF(ISERROR(TER_ander_ele_kWh/1000),0,TER_ander_ele_kWh/1000)</f>
        <v>1054.1654037036801</v>
      </c>
      <c r="C30" s="40">
        <f>IF(ISERROR(B30*3.6/1000000/'E Balans VL '!Z14*100),0,B30*3.6/1000000/'E Balans VL '!Z14*100)</f>
        <v>7.8842689644175221E-2</v>
      </c>
      <c r="D30" s="240" t="s">
        <v>707</v>
      </c>
      <c r="F30" s="6"/>
    </row>
    <row r="31" spans="1:18">
      <c r="A31" s="234" t="s">
        <v>55</v>
      </c>
      <c r="B31" s="34">
        <f>IF(ISERROR(TER_onderwijs_ele_kWh/1000),0,TER_onderwijs_ele_kWh/1000)</f>
        <v>581.31390126807696</v>
      </c>
      <c r="C31" s="40">
        <f>IF(ISERROR(B31*3.6/1000000/'E Balans VL '!Z11*100),0,B31*3.6/1000000/'E Balans VL '!Z11*100)</f>
        <v>0.12274518324672665</v>
      </c>
      <c r="D31" s="240" t="s">
        <v>707</v>
      </c>
    </row>
    <row r="32" spans="1:18">
      <c r="A32" s="234" t="s">
        <v>260</v>
      </c>
      <c r="B32" s="34">
        <f>IF(ISERROR(TER_rest_ele_kWh/1000),0,TER_rest_ele_kWh/1000)</f>
        <v>7145.9352590717599</v>
      </c>
      <c r="C32" s="40">
        <f>IF(ISERROR(B32*3.6/1000000/'E Balans VL '!Z8*100),0,B32*3.6/1000000/'E Balans VL '!Z8*100)</f>
        <v>5.886772920826315E-2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2934.3478444817092</v>
      </c>
      <c r="C5" s="18">
        <f>IF(ISERROR('Eigen informatie GS &amp; warmtenet'!B59),0,'Eigen informatie GS &amp; warmtenet'!B59)</f>
        <v>0</v>
      </c>
      <c r="D5" s="31">
        <f>SUM(D6:D15)</f>
        <v>398084.0484669641</v>
      </c>
      <c r="E5" s="18">
        <f>SUM(E6:E15)</f>
        <v>26.790212029730608</v>
      </c>
      <c r="F5" s="18">
        <f>SUM(F6:F15)</f>
        <v>1087.7136772078825</v>
      </c>
      <c r="G5" s="19"/>
      <c r="H5" s="18"/>
      <c r="I5" s="18"/>
      <c r="J5" s="18">
        <f>SUM(J6:J15)</f>
        <v>7.4370944105672221</v>
      </c>
      <c r="K5" s="18"/>
      <c r="L5" s="18"/>
      <c r="M5" s="18"/>
      <c r="N5" s="18">
        <f>SUM(N6:N15)</f>
        <v>159.38174199194947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120.82003718688999</v>
      </c>
      <c r="C8" s="34"/>
      <c r="D8" s="38">
        <f>IF( ISERROR(IND_metaal_Gas_kWH/1000),0,IND_metaal_Gas_kWH/1000)*0.902</f>
        <v>0</v>
      </c>
      <c r="E8" s="34">
        <f>C30*'E Balans VL '!I18/100/3.6*1000000</f>
        <v>1.1002863053976428</v>
      </c>
      <c r="F8" s="34">
        <f>C30*'E Balans VL '!L18/100/3.6*1000000+C30*'E Balans VL '!N18/100/3.6*1000000</f>
        <v>15.935245381829438</v>
      </c>
      <c r="G8" s="35"/>
      <c r="H8" s="34"/>
      <c r="I8" s="34"/>
      <c r="J8" s="41">
        <f>C30*'E Balans VL '!D18/100/3.6*1000000+C30*'E Balans VL '!E18/100/3.6*1000000</f>
        <v>1.9812731854878431</v>
      </c>
      <c r="K8" s="34"/>
      <c r="L8" s="34"/>
      <c r="M8" s="34"/>
      <c r="N8" s="34">
        <f>C30*'E Balans VL '!Y18/100/3.6*1000000</f>
        <v>0.41521047217468643</v>
      </c>
      <c r="O8" s="34"/>
      <c r="P8" s="34"/>
      <c r="R8" s="33"/>
    </row>
    <row r="9" spans="1:18">
      <c r="A9" s="6" t="s">
        <v>33</v>
      </c>
      <c r="B9" s="38">
        <f t="shared" si="0"/>
        <v>966.27852486314293</v>
      </c>
      <c r="C9" s="34"/>
      <c r="D9" s="38">
        <f>IF( ISERROR(IND_andere_gas_kWh/1000),0,IND_andere_gas_kWh/1000)*0.902</f>
        <v>1220.106155510693</v>
      </c>
      <c r="E9" s="34">
        <f>C31*'E Balans VL '!I19/100/3.6*1000000</f>
        <v>5.5852342720908865</v>
      </c>
      <c r="F9" s="34">
        <f>C31*'E Balans VL '!L19/100/3.6*1000000+C31*'E Balans VL '!N19/100/3.6*1000000</f>
        <v>768.72106201135284</v>
      </c>
      <c r="G9" s="35"/>
      <c r="H9" s="34"/>
      <c r="I9" s="34"/>
      <c r="J9" s="41">
        <f>C31*'E Balans VL '!D19/100/3.6*1000000+C31*'E Balans VL '!E19/100/3.6*1000000</f>
        <v>9.1399215334201811E-2</v>
      </c>
      <c r="K9" s="34"/>
      <c r="L9" s="34"/>
      <c r="M9" s="34"/>
      <c r="N9" s="34">
        <f>C31*'E Balans VL '!Y19/100/3.6*1000000</f>
        <v>73.210221248189384</v>
      </c>
      <c r="O9" s="34"/>
      <c r="P9" s="34"/>
      <c r="R9" s="33"/>
    </row>
    <row r="10" spans="1:18">
      <c r="A10" s="6" t="s">
        <v>41</v>
      </c>
      <c r="B10" s="38">
        <f t="shared" si="0"/>
        <v>663.62534810161299</v>
      </c>
      <c r="C10" s="34"/>
      <c r="D10" s="38">
        <f>IF( ISERROR(IND_voed_gas_kWh/1000),0,IND_voed_gas_kWh/1000)*0.902</f>
        <v>581.91026352323433</v>
      </c>
      <c r="E10" s="34">
        <f>C32*'E Balans VL '!I20/100/3.6*1000000</f>
        <v>6.525173316165767</v>
      </c>
      <c r="F10" s="34">
        <f>C32*'E Balans VL '!L20/100/3.6*1000000+C32*'E Balans VL '!N20/100/3.6*1000000</f>
        <v>73.704256972362131</v>
      </c>
      <c r="G10" s="35"/>
      <c r="H10" s="34"/>
      <c r="I10" s="34"/>
      <c r="J10" s="41">
        <f>C32*'E Balans VL '!D20/100/3.6*1000000+C32*'E Balans VL '!E20/100/3.6*1000000</f>
        <v>2.6156487646485185E-3</v>
      </c>
      <c r="K10" s="34"/>
      <c r="L10" s="34"/>
      <c r="M10" s="34"/>
      <c r="N10" s="34">
        <f>C32*'E Balans VL '!Y20/100/3.6*1000000</f>
        <v>9.8267303940234942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117.397813195523</v>
      </c>
      <c r="C13" s="34"/>
      <c r="D13" s="38">
        <f>IF( ISERROR(IND_papier_gas_kWh/1000),0,IND_papier_gas_kWh/1000)*0.902</f>
        <v>180.07371696227614</v>
      </c>
      <c r="E13" s="34">
        <f>C35*'E Balans VL '!I23/100/3.6*1000000</f>
        <v>3.9987397332637671</v>
      </c>
      <c r="F13" s="34">
        <f>C35*'E Balans VL '!L23/100/3.6*1000000+C35*'E Balans VL '!N23/100/3.6*1000000</f>
        <v>19.391363472533396</v>
      </c>
      <c r="G13" s="35"/>
      <c r="H13" s="34"/>
      <c r="I13" s="34"/>
      <c r="J13" s="41">
        <f>C35*'E Balans VL '!D23/100/3.6*1000000+C35*'E Balans VL '!E23/100/3.6*1000000</f>
        <v>0</v>
      </c>
      <c r="K13" s="34"/>
      <c r="L13" s="34"/>
      <c r="M13" s="34"/>
      <c r="N13" s="34">
        <f>C35*'E Balans VL '!Y23/100/3.6*1000000</f>
        <v>43.199246890664</v>
      </c>
      <c r="O13" s="34"/>
      <c r="P13" s="34"/>
      <c r="R13" s="33"/>
    </row>
    <row r="14" spans="1:18">
      <c r="A14" s="6" t="s">
        <v>34</v>
      </c>
      <c r="B14" s="38">
        <f t="shared" si="0"/>
        <v>0</v>
      </c>
      <c r="C14" s="34"/>
      <c r="D14" s="38">
        <f>IF( ISERROR(IND_chemie_gas_kWh/1000),0,IND_chemie_gas_kWh/1000)*0.902</f>
        <v>395653.51600438717</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1066.2261211345401</v>
      </c>
      <c r="C15" s="34"/>
      <c r="D15" s="38">
        <f>IF( ISERROR(IND_rest_gas_kWh/1000),0,IND_rest_gas_kWh/1000)*0.902</f>
        <v>448.44232658068853</v>
      </c>
      <c r="E15" s="34">
        <f>C37*'E Balans VL '!I15/100/3.6*1000000</f>
        <v>9.5807784028125447</v>
      </c>
      <c r="F15" s="34">
        <f>C37*'E Balans VL '!L15/100/3.6*1000000+C37*'E Balans VL '!N15/100/3.6*1000000</f>
        <v>209.96174936980475</v>
      </c>
      <c r="G15" s="35"/>
      <c r="H15" s="34"/>
      <c r="I15" s="34"/>
      <c r="J15" s="41">
        <f>C37*'E Balans VL '!D15/100/3.6*1000000+C37*'E Balans VL '!E15/100/3.6*1000000</f>
        <v>5.3618063609805287</v>
      </c>
      <c r="K15" s="34"/>
      <c r="L15" s="34"/>
      <c r="M15" s="34"/>
      <c r="N15" s="34">
        <f>C37*'E Balans VL '!Y15/100/3.6*1000000</f>
        <v>32.730332986897878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2934.3478444817092</v>
      </c>
      <c r="C18" s="22">
        <f>C5+C16</f>
        <v>0</v>
      </c>
      <c r="D18" s="22">
        <f>MAX((D5+D16),0)</f>
        <v>398084.0484669641</v>
      </c>
      <c r="E18" s="22">
        <f>MAX((E5+E16),0)</f>
        <v>26.790212029730608</v>
      </c>
      <c r="F18" s="22">
        <f>MAX((F5+F16),0)</f>
        <v>1087.7136772078825</v>
      </c>
      <c r="G18" s="22"/>
      <c r="H18" s="22"/>
      <c r="I18" s="22"/>
      <c r="J18" s="22">
        <f>MAX((J5+J16),0)</f>
        <v>7.4370944105672221</v>
      </c>
      <c r="K18" s="22"/>
      <c r="L18" s="22">
        <f>MAX((L5+L16),0)</f>
        <v>0</v>
      </c>
      <c r="M18" s="22"/>
      <c r="N18" s="22">
        <f>MAX((N5+N16),0)</f>
        <v>159.38174199194947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0.21543558367583393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632.16294058384221</v>
      </c>
      <c r="C22" s="24">
        <f ca="1">C18*C20</f>
        <v>0</v>
      </c>
      <c r="D22" s="24">
        <f>D18*D20</f>
        <v>80412.977790326753</v>
      </c>
      <c r="E22" s="24">
        <f>E18*E20</f>
        <v>6.0813781307488481</v>
      </c>
      <c r="F22" s="24">
        <f>F18*F20</f>
        <v>290.41955181450464</v>
      </c>
      <c r="G22" s="24"/>
      <c r="H22" s="24"/>
      <c r="I22" s="24"/>
      <c r="J22" s="24">
        <f>J18*J20</f>
        <v>2.6327314213407966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120.82003718688999</v>
      </c>
      <c r="C30" s="40">
        <f>IF(ISERROR(B30*3.6/1000000/'E Balans VL '!Z18*100),0,B30*3.6/1000000/'E Balans VL '!Z18*100)</f>
        <v>6.7228271527934738E-3</v>
      </c>
      <c r="D30" s="240" t="s">
        <v>707</v>
      </c>
    </row>
    <row r="31" spans="1:18">
      <c r="A31" s="6" t="s">
        <v>33</v>
      </c>
      <c r="B31" s="38">
        <f>IF( ISERROR(IND_ander_ele_kWh/1000),0,IND_ander_ele_kWh/1000)</f>
        <v>966.27852486314293</v>
      </c>
      <c r="C31" s="40">
        <f>IF(ISERROR(B31*3.6/1000000/'E Balans VL '!Z19*100),0,B31*3.6/1000000/'E Balans VL '!Z19*100)</f>
        <v>4.49197508809729E-2</v>
      </c>
      <c r="D31" s="240" t="s">
        <v>707</v>
      </c>
    </row>
    <row r="32" spans="1:18">
      <c r="A32" s="174" t="s">
        <v>41</v>
      </c>
      <c r="B32" s="38">
        <f>IF( ISERROR(IND_voed_ele_kWh/1000),0,IND_voed_ele_kWh/1000)</f>
        <v>663.62534810161299</v>
      </c>
      <c r="C32" s="40">
        <f>IF(ISERROR(B32*3.6/1000000/'E Balans VL '!Z20*100),0,B32*3.6/1000000/'E Balans VL '!Z20*100)</f>
        <v>2.3457815807241433E-2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117.397813195523</v>
      </c>
      <c r="C35" s="40">
        <f>IF(ISERROR(B35*3.6/1000000/'E Balans VL '!Z22*100),0,B35*3.6/1000000/'E Balans VL '!Z22*100)</f>
        <v>2.3593649945810494E-2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1066.2261211345401</v>
      </c>
      <c r="C37" s="40">
        <f>IF(ISERROR(B37*3.6/1000000/'E Balans VL '!Z15*100),0,B37*3.6/1000000/'E Balans VL '!Z15*100)</f>
        <v>8.051582268718457E-3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167.84867742383099</v>
      </c>
      <c r="C5" s="18">
        <f>'Eigen informatie GS &amp; warmtenet'!B60</f>
        <v>0</v>
      </c>
      <c r="D5" s="31">
        <f>IF(ISERROR(SUM(LB_lb_gas_kWh,LB_rest_gas_kWh)/1000),0,SUM(LB_lb_gas_kWh,LB_rest_gas_kWh)/1000)*0.902</f>
        <v>73.497675731792114</v>
      </c>
      <c r="E5" s="18">
        <f>B17*'E Balans VL '!I25/3.6*1000000/100</f>
        <v>1.5812470036354735</v>
      </c>
      <c r="F5" s="18">
        <f>B17*('E Balans VL '!L25/3.6*1000000+'E Balans VL '!N25/3.6*1000000)/100</f>
        <v>547.74593851788313</v>
      </c>
      <c r="G5" s="19"/>
      <c r="H5" s="18"/>
      <c r="I5" s="18"/>
      <c r="J5" s="18">
        <f>('E Balans VL '!D25+'E Balans VL '!E25)/3.6*1000000*landbouw!B17/100</f>
        <v>20.763697813138055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167.84867742383099</v>
      </c>
      <c r="C8" s="22">
        <f>C5+C6</f>
        <v>0</v>
      </c>
      <c r="D8" s="22">
        <f>MAX((D5+D6),0)</f>
        <v>73.497675731792114</v>
      </c>
      <c r="E8" s="22">
        <f>MAX((E5+E6),0)</f>
        <v>1.5812470036354735</v>
      </c>
      <c r="F8" s="22">
        <f>MAX((F5+F6),0)</f>
        <v>547.74593851788313</v>
      </c>
      <c r="G8" s="22"/>
      <c r="H8" s="22"/>
      <c r="I8" s="22"/>
      <c r="J8" s="22">
        <f>MAX((J5+J6),0)</f>
        <v>20.763697813138055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0.21543558367583393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36.160577790019801</v>
      </c>
      <c r="C12" s="24">
        <f ca="1">C8*C10</f>
        <v>0</v>
      </c>
      <c r="D12" s="24">
        <f>D8*D10</f>
        <v>14.846530497822007</v>
      </c>
      <c r="E12" s="24">
        <f>E8*E10</f>
        <v>0.35894306982525248</v>
      </c>
      <c r="F12" s="24">
        <f>F8*F10</f>
        <v>146.2481655842748</v>
      </c>
      <c r="G12" s="24"/>
      <c r="H12" s="24"/>
      <c r="I12" s="24"/>
      <c r="J12" s="24">
        <f>J8*J10</f>
        <v>7.3503490258508712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2.2724028787061246E-2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30.734162288435218</v>
      </c>
      <c r="C26" s="250">
        <f>B26*'GWP N2O_CH4'!B5</f>
        <v>645.4174080571396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6.4603205421074286</v>
      </c>
      <c r="C27" s="250">
        <f>B27*'GWP N2O_CH4'!B5</f>
        <v>135.666731384256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0.34031476296752172</v>
      </c>
      <c r="C28" s="250">
        <f>B28*'GWP N2O_CH4'!B4</f>
        <v>105.49757651993174</v>
      </c>
      <c r="D28" s="51"/>
    </row>
    <row r="29" spans="1:4">
      <c r="A29" s="42" t="s">
        <v>277</v>
      </c>
      <c r="B29" s="250">
        <f>B34*'ha_N2O bodem landbouw'!B4</f>
        <v>0.63978232308029415</v>
      </c>
      <c r="C29" s="250">
        <f>B29*'GWP N2O_CH4'!B4</f>
        <v>198.3325201548912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1.7272108671343041E-4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4.6422216396850307E-6</v>
      </c>
      <c r="C5" s="447" t="s">
        <v>211</v>
      </c>
      <c r="D5" s="432">
        <f>SUM(D6:D11)</f>
        <v>1.3923864553448565E-5</v>
      </c>
      <c r="E5" s="432">
        <f>SUM(E6:E11)</f>
        <v>7.9671409934183035E-4</v>
      </c>
      <c r="F5" s="445" t="s">
        <v>211</v>
      </c>
      <c r="G5" s="432">
        <f>SUM(G6:G11)</f>
        <v>0.14267340532771522</v>
      </c>
      <c r="H5" s="432">
        <f>SUM(H6:H11)</f>
        <v>3.0723331149622741E-2</v>
      </c>
      <c r="I5" s="447" t="s">
        <v>211</v>
      </c>
      <c r="J5" s="447" t="s">
        <v>211</v>
      </c>
      <c r="K5" s="447" t="s">
        <v>211</v>
      </c>
      <c r="L5" s="447" t="s">
        <v>211</v>
      </c>
      <c r="M5" s="432">
        <f>SUM(M6:M11)</f>
        <v>7.7586496408661356E-3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3.3080392528273657E-6</v>
      </c>
      <c r="C6" s="433"/>
      <c r="D6" s="433">
        <f>vkm_2011_GW_PW*SUMIFS(TableVerdeelsleutelVkm[CNG],TableVerdeelsleutelVkm[Voertuigtype],"Lichte voertuigen")*SUMIFS(TableECFTransport[EnergieConsumptieFactor (PJ per km)],TableECFTransport[Index],CONCATENATE($A6,"_CNG_CNG"))</f>
        <v>8.0782872554899275E-6</v>
      </c>
      <c r="E6" s="435">
        <f>vkm_2011_GW_PW*SUMIFS(TableVerdeelsleutelVkm[LPG],TableVerdeelsleutelVkm[Voertuigtype],"Lichte voertuigen")*SUMIFS(TableECFTransport[EnergieConsumptieFactor (PJ per km)],TableECFTransport[Index],CONCATENATE($A6,"_LPG_LPG"))</f>
        <v>4.7883912103960976E-4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6.9221827758969373E-2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1.8141052349353065E-2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3.9122706598623443E-3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2.3000970369227682E-2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9.2799948115227523E-6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1.0246861134986904E-3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1.334182386857665E-6</v>
      </c>
      <c r="C8" s="433"/>
      <c r="D8" s="435">
        <f>vkm_2011_NGW_PW*SUMIFS(TableVerdeelsleutelVkm[CNG],TableVerdeelsleutelVkm[Voertuigtype],"Lichte voertuigen")*SUMIFS(TableECFTransport[EnergieConsumptieFactor (PJ per km)],TableECFTransport[Index],CONCATENATE($A8,"_CNG_CNG"))</f>
        <v>5.8455772979586385E-6</v>
      </c>
      <c r="E8" s="435">
        <f>vkm_2011_NGW_PW*SUMIFS(TableVerdeelsleutelVkm[LPG],TableVerdeelsleutelVkm[Voertuigtype],"Lichte voertuigen")*SUMIFS(TableECFTransport[EnergieConsumptieFactor (PJ per km)],TableECFTransport[Index],CONCATENATE($A8,"_LPG_LPG"))</f>
        <v>3.1787497830222059E-4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4.3410699235736525E-2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1.2570525744024339E-2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2.5080839439395181E-3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7.039907963781635E-3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2.4730614338160195E-6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3.1360892356558376E-4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1.2895060110236196</v>
      </c>
      <c r="C14" s="22"/>
      <c r="D14" s="22">
        <f t="shared" ref="D14:M14" si="0">((D5)*10^9/3600)+D12</f>
        <v>3.8677401537357126</v>
      </c>
      <c r="E14" s="22">
        <f t="shared" si="0"/>
        <v>221.30947203939732</v>
      </c>
      <c r="F14" s="22"/>
      <c r="G14" s="22">
        <f t="shared" si="0"/>
        <v>39631.501479920895</v>
      </c>
      <c r="H14" s="22">
        <f t="shared" si="0"/>
        <v>8534.2586526729847</v>
      </c>
      <c r="I14" s="22"/>
      <c r="J14" s="22"/>
      <c r="K14" s="22"/>
      <c r="L14" s="22"/>
      <c r="M14" s="22">
        <f t="shared" si="0"/>
        <v>2155.1804557961486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0.21543558367583393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0.27780548013836981</v>
      </c>
      <c r="C18" s="24"/>
      <c r="D18" s="24">
        <f t="shared" ref="D18:M18" si="1">D14*D16</f>
        <v>0.78128351105461402</v>
      </c>
      <c r="E18" s="24">
        <f t="shared" si="1"/>
        <v>50.23725015294319</v>
      </c>
      <c r="F18" s="24"/>
      <c r="G18" s="24">
        <f t="shared" si="1"/>
        <v>10581.61089513888</v>
      </c>
      <c r="H18" s="24">
        <f t="shared" si="1"/>
        <v>2125.0304045155731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5.2804105297276039E-3</v>
      </c>
      <c r="C50" s="323">
        <f t="shared" ref="C50:P50" si="2">SUM(C51:C52)</f>
        <v>0</v>
      </c>
      <c r="D50" s="323">
        <f t="shared" si="2"/>
        <v>0</v>
      </c>
      <c r="E50" s="323">
        <f t="shared" si="2"/>
        <v>0</v>
      </c>
      <c r="F50" s="323">
        <f t="shared" si="2"/>
        <v>0</v>
      </c>
      <c r="G50" s="323">
        <f t="shared" si="2"/>
        <v>9.4115723601567152E-3</v>
      </c>
      <c r="H50" s="323">
        <f t="shared" si="2"/>
        <v>0</v>
      </c>
      <c r="I50" s="323">
        <f t="shared" si="2"/>
        <v>0</v>
      </c>
      <c r="J50" s="323">
        <f t="shared" si="2"/>
        <v>0</v>
      </c>
      <c r="K50" s="323">
        <f t="shared" si="2"/>
        <v>0</v>
      </c>
      <c r="L50" s="323">
        <f t="shared" si="2"/>
        <v>0</v>
      </c>
      <c r="M50" s="323">
        <f t="shared" si="2"/>
        <v>4.132776676942176E-4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9.4115723601567152E-3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4.132776676942176E-4</v>
      </c>
      <c r="N51" s="325"/>
      <c r="O51" s="325"/>
      <c r="P51" s="328"/>
    </row>
    <row r="52" spans="1:18">
      <c r="A52" s="4" t="s">
        <v>330</v>
      </c>
      <c r="B52" s="329">
        <f>vkm_2011_tram*SUMIFS(TableECFTransport[EnergieConsumptieFactor (PJ per km)],TableECFTransport[Index],"Tram_gemiddeld_Electric_Electric")</f>
        <v>5.2804105297276039E-3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1466.7807027021122</v>
      </c>
      <c r="C54" s="22">
        <f t="shared" ref="C54:P54" si="3">(C50)*10^9/3600</f>
        <v>0</v>
      </c>
      <c r="D54" s="22">
        <f t="shared" si="3"/>
        <v>0</v>
      </c>
      <c r="E54" s="22">
        <f t="shared" si="3"/>
        <v>0</v>
      </c>
      <c r="F54" s="22">
        <f t="shared" si="3"/>
        <v>0</v>
      </c>
      <c r="G54" s="22">
        <f t="shared" si="3"/>
        <v>2614.3256555990874</v>
      </c>
      <c r="H54" s="22">
        <f t="shared" si="3"/>
        <v>0</v>
      </c>
      <c r="I54" s="22">
        <f t="shared" si="3"/>
        <v>0</v>
      </c>
      <c r="J54" s="22">
        <f t="shared" si="3"/>
        <v>0</v>
      </c>
      <c r="K54" s="22">
        <f t="shared" si="3"/>
        <v>0</v>
      </c>
      <c r="L54" s="22">
        <f t="shared" si="3"/>
        <v>0</v>
      </c>
      <c r="M54" s="22">
        <f t="shared" si="3"/>
        <v>114.79935213728267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0.21543558367583393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315.99675681107936</v>
      </c>
      <c r="C58" s="24">
        <f t="shared" ref="C58:P58" ca="1" si="4">C54*C56</f>
        <v>0</v>
      </c>
      <c r="D58" s="24">
        <f t="shared" si="4"/>
        <v>0</v>
      </c>
      <c r="E58" s="24">
        <f t="shared" si="4"/>
        <v>0</v>
      </c>
      <c r="F58" s="24">
        <f t="shared" si="4"/>
        <v>0</v>
      </c>
      <c r="G58" s="24">
        <f t="shared" si="4"/>
        <v>698.02495004495643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31184.659369571535</v>
      </c>
      <c r="D10" s="688">
        <f ca="1">tertiair!C16</f>
        <v>0</v>
      </c>
      <c r="E10" s="688">
        <f ca="1">tertiair!D16</f>
        <v>48801.481775569096</v>
      </c>
      <c r="F10" s="688">
        <f>tertiair!E16</f>
        <v>289.32532830217991</v>
      </c>
      <c r="G10" s="688">
        <f ca="1">tertiair!F16</f>
        <v>6321.3129555398591</v>
      </c>
      <c r="H10" s="688">
        <f>tertiair!G16</f>
        <v>0</v>
      </c>
      <c r="I10" s="688">
        <f>tertiair!H16</f>
        <v>0</v>
      </c>
      <c r="J10" s="688">
        <f>tertiair!I16</f>
        <v>0</v>
      </c>
      <c r="K10" s="688">
        <f>tertiair!J16</f>
        <v>0</v>
      </c>
      <c r="L10" s="688">
        <f>tertiair!K16</f>
        <v>0</v>
      </c>
      <c r="M10" s="688">
        <f ca="1">tertiair!L16</f>
        <v>0</v>
      </c>
      <c r="N10" s="688">
        <f>tertiair!M16</f>
        <v>0</v>
      </c>
      <c r="O10" s="688">
        <f ca="1">tertiair!N16</f>
        <v>1150.0735832837872</v>
      </c>
      <c r="P10" s="688">
        <f>tertiair!O16</f>
        <v>0</v>
      </c>
      <c r="Q10" s="689">
        <f>tertiair!P16</f>
        <v>0</v>
      </c>
      <c r="R10" s="691">
        <f ca="1">SUM(C10:Q10)</f>
        <v>87746.853012266452</v>
      </c>
      <c r="S10" s="68"/>
    </row>
    <row r="11" spans="1:19" s="457" customFormat="1">
      <c r="A11" s="803" t="s">
        <v>225</v>
      </c>
      <c r="B11" s="808"/>
      <c r="C11" s="688">
        <f>huishoudens!B8</f>
        <v>37309.48120397624</v>
      </c>
      <c r="D11" s="688">
        <f>huishoudens!C8</f>
        <v>0</v>
      </c>
      <c r="E11" s="688">
        <f>huishoudens!D8</f>
        <v>139344.66197001186</v>
      </c>
      <c r="F11" s="688">
        <f>huishoudens!E8</f>
        <v>816.5867555226182</v>
      </c>
      <c r="G11" s="688">
        <f>huishoudens!F8</f>
        <v>7333.3670136001765</v>
      </c>
      <c r="H11" s="688">
        <f>huishoudens!G8</f>
        <v>0</v>
      </c>
      <c r="I11" s="688">
        <f>huishoudens!H8</f>
        <v>0</v>
      </c>
      <c r="J11" s="688">
        <f>huishoudens!I8</f>
        <v>0</v>
      </c>
      <c r="K11" s="688">
        <f>huishoudens!J8</f>
        <v>0</v>
      </c>
      <c r="L11" s="688">
        <f>huishoudens!K8</f>
        <v>0</v>
      </c>
      <c r="M11" s="688">
        <f>huishoudens!L8</f>
        <v>0</v>
      </c>
      <c r="N11" s="688">
        <f>huishoudens!M8</f>
        <v>0</v>
      </c>
      <c r="O11" s="688">
        <f>huishoudens!N8</f>
        <v>5469.5440381023345</v>
      </c>
      <c r="P11" s="688">
        <f>huishoudens!O8</f>
        <v>92.236666666666679</v>
      </c>
      <c r="Q11" s="689">
        <f>huishoudens!P8</f>
        <v>19.066666666666666</v>
      </c>
      <c r="R11" s="691">
        <f>SUM(C11:Q11)</f>
        <v>190384.94431454656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2934.3478444817092</v>
      </c>
      <c r="D13" s="688">
        <f>industrie!C18</f>
        <v>0</v>
      </c>
      <c r="E13" s="688">
        <f>industrie!D18</f>
        <v>398084.0484669641</v>
      </c>
      <c r="F13" s="688">
        <f>industrie!E18</f>
        <v>26.790212029730608</v>
      </c>
      <c r="G13" s="688">
        <f>industrie!F18</f>
        <v>1087.7136772078825</v>
      </c>
      <c r="H13" s="688">
        <f>industrie!G18</f>
        <v>0</v>
      </c>
      <c r="I13" s="688">
        <f>industrie!H18</f>
        <v>0</v>
      </c>
      <c r="J13" s="688">
        <f>industrie!I18</f>
        <v>0</v>
      </c>
      <c r="K13" s="688">
        <f>industrie!J18</f>
        <v>7.4370944105672221</v>
      </c>
      <c r="L13" s="688">
        <f>industrie!K18</f>
        <v>0</v>
      </c>
      <c r="M13" s="688">
        <f>industrie!L18</f>
        <v>0</v>
      </c>
      <c r="N13" s="688">
        <f>industrie!M18</f>
        <v>0</v>
      </c>
      <c r="O13" s="688">
        <f>industrie!N18</f>
        <v>159.38174199194947</v>
      </c>
      <c r="P13" s="688">
        <f>industrie!O18</f>
        <v>0</v>
      </c>
      <c r="Q13" s="689">
        <f>industrie!P18</f>
        <v>0</v>
      </c>
      <c r="R13" s="691">
        <f>SUM(C13:Q13)</f>
        <v>402299.71903708595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71428.48841802949</v>
      </c>
      <c r="D16" s="721">
        <f t="shared" ref="D16:R16" ca="1" si="0">SUM(D9:D15)</f>
        <v>0</v>
      </c>
      <c r="E16" s="721">
        <f t="shared" ca="1" si="0"/>
        <v>586230.19221254508</v>
      </c>
      <c r="F16" s="721">
        <f t="shared" si="0"/>
        <v>1132.7022958545288</v>
      </c>
      <c r="G16" s="721">
        <f t="shared" ca="1" si="0"/>
        <v>14742.393646347919</v>
      </c>
      <c r="H16" s="721">
        <f t="shared" si="0"/>
        <v>0</v>
      </c>
      <c r="I16" s="721">
        <f t="shared" si="0"/>
        <v>0</v>
      </c>
      <c r="J16" s="721">
        <f t="shared" si="0"/>
        <v>0</v>
      </c>
      <c r="K16" s="721">
        <f t="shared" si="0"/>
        <v>7.4370944105672221</v>
      </c>
      <c r="L16" s="721">
        <f t="shared" si="0"/>
        <v>0</v>
      </c>
      <c r="M16" s="721">
        <f t="shared" ca="1" si="0"/>
        <v>0</v>
      </c>
      <c r="N16" s="721">
        <f t="shared" si="0"/>
        <v>0</v>
      </c>
      <c r="O16" s="721">
        <f t="shared" ca="1" si="0"/>
        <v>6778.9993633780714</v>
      </c>
      <c r="P16" s="721">
        <f t="shared" si="0"/>
        <v>92.236666666666679</v>
      </c>
      <c r="Q16" s="721">
        <f t="shared" si="0"/>
        <v>19.066666666666666</v>
      </c>
      <c r="R16" s="721">
        <f t="shared" ca="1" si="0"/>
        <v>680431.51636389899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1466.7807027021122</v>
      </c>
      <c r="D19" s="688">
        <f>transport!C54</f>
        <v>0</v>
      </c>
      <c r="E19" s="688">
        <f>transport!D54</f>
        <v>0</v>
      </c>
      <c r="F19" s="688">
        <f>transport!E54</f>
        <v>0</v>
      </c>
      <c r="G19" s="688">
        <f>transport!F54</f>
        <v>0</v>
      </c>
      <c r="H19" s="688">
        <f>transport!G54</f>
        <v>2614.3256555990874</v>
      </c>
      <c r="I19" s="688">
        <f>transport!H54</f>
        <v>0</v>
      </c>
      <c r="J19" s="688">
        <f>transport!I54</f>
        <v>0</v>
      </c>
      <c r="K19" s="688">
        <f>transport!J54</f>
        <v>0</v>
      </c>
      <c r="L19" s="688">
        <f>transport!K54</f>
        <v>0</v>
      </c>
      <c r="M19" s="688">
        <f>transport!L54</f>
        <v>0</v>
      </c>
      <c r="N19" s="688">
        <f>transport!M54</f>
        <v>114.79935213728267</v>
      </c>
      <c r="O19" s="688">
        <f>transport!N54</f>
        <v>0</v>
      </c>
      <c r="P19" s="688">
        <f>transport!O54</f>
        <v>0</v>
      </c>
      <c r="Q19" s="689">
        <f>transport!P54</f>
        <v>0</v>
      </c>
      <c r="R19" s="691">
        <f>SUM(C19:Q19)</f>
        <v>4195.9057104384819</v>
      </c>
      <c r="S19" s="68"/>
    </row>
    <row r="20" spans="1:19" s="457" customFormat="1">
      <c r="A20" s="803" t="s">
        <v>307</v>
      </c>
      <c r="B20" s="808"/>
      <c r="C20" s="688">
        <f>transport!B14</f>
        <v>1.2895060110236196</v>
      </c>
      <c r="D20" s="688">
        <f>transport!C14</f>
        <v>0</v>
      </c>
      <c r="E20" s="688">
        <f>transport!D14</f>
        <v>3.8677401537357126</v>
      </c>
      <c r="F20" s="688">
        <f>transport!E14</f>
        <v>221.30947203939732</v>
      </c>
      <c r="G20" s="688">
        <f>transport!F14</f>
        <v>0</v>
      </c>
      <c r="H20" s="688">
        <f>transport!G14</f>
        <v>39631.501479920895</v>
      </c>
      <c r="I20" s="688">
        <f>transport!H14</f>
        <v>8534.2586526729847</v>
      </c>
      <c r="J20" s="688">
        <f>transport!I14</f>
        <v>0</v>
      </c>
      <c r="K20" s="688">
        <f>transport!J14</f>
        <v>0</v>
      </c>
      <c r="L20" s="688">
        <f>transport!K14</f>
        <v>0</v>
      </c>
      <c r="M20" s="688">
        <f>transport!L14</f>
        <v>0</v>
      </c>
      <c r="N20" s="688">
        <f>transport!M14</f>
        <v>2155.1804557961486</v>
      </c>
      <c r="O20" s="688">
        <f>transport!N14</f>
        <v>0</v>
      </c>
      <c r="P20" s="688">
        <f>transport!O14</f>
        <v>0</v>
      </c>
      <c r="Q20" s="689">
        <f>transport!P14</f>
        <v>0</v>
      </c>
      <c r="R20" s="691">
        <f>SUM(C20:Q20)</f>
        <v>50547.407306594192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1468.0702087131358</v>
      </c>
      <c r="D22" s="806">
        <f t="shared" ref="D22:R22" si="1">SUM(D18:D21)</f>
        <v>0</v>
      </c>
      <c r="E22" s="806">
        <f t="shared" si="1"/>
        <v>3.8677401537357126</v>
      </c>
      <c r="F22" s="806">
        <f t="shared" si="1"/>
        <v>221.30947203939732</v>
      </c>
      <c r="G22" s="806">
        <f t="shared" si="1"/>
        <v>0</v>
      </c>
      <c r="H22" s="806">
        <f t="shared" si="1"/>
        <v>42245.827135519983</v>
      </c>
      <c r="I22" s="806">
        <f t="shared" si="1"/>
        <v>8534.2586526729847</v>
      </c>
      <c r="J22" s="806">
        <f t="shared" si="1"/>
        <v>0</v>
      </c>
      <c r="K22" s="806">
        <f t="shared" si="1"/>
        <v>0</v>
      </c>
      <c r="L22" s="806">
        <f t="shared" si="1"/>
        <v>0</v>
      </c>
      <c r="M22" s="806">
        <f t="shared" si="1"/>
        <v>0</v>
      </c>
      <c r="N22" s="806">
        <f t="shared" si="1"/>
        <v>2269.9798079334314</v>
      </c>
      <c r="O22" s="806">
        <f t="shared" si="1"/>
        <v>0</v>
      </c>
      <c r="P22" s="806">
        <f t="shared" si="1"/>
        <v>0</v>
      </c>
      <c r="Q22" s="806">
        <f t="shared" si="1"/>
        <v>0</v>
      </c>
      <c r="R22" s="806">
        <f t="shared" si="1"/>
        <v>54743.313017032677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167.84867742383099</v>
      </c>
      <c r="D24" s="688">
        <f>+landbouw!C8</f>
        <v>0</v>
      </c>
      <c r="E24" s="688">
        <f>+landbouw!D8</f>
        <v>73.497675731792114</v>
      </c>
      <c r="F24" s="688">
        <f>+landbouw!E8</f>
        <v>1.5812470036354735</v>
      </c>
      <c r="G24" s="688">
        <f>+landbouw!F8</f>
        <v>547.74593851788313</v>
      </c>
      <c r="H24" s="688">
        <f>+landbouw!G8</f>
        <v>0</v>
      </c>
      <c r="I24" s="688">
        <f>+landbouw!H8</f>
        <v>0</v>
      </c>
      <c r="J24" s="688">
        <f>+landbouw!I8</f>
        <v>0</v>
      </c>
      <c r="K24" s="688">
        <f>+landbouw!J8</f>
        <v>20.763697813138055</v>
      </c>
      <c r="L24" s="688">
        <f>+landbouw!K8</f>
        <v>0</v>
      </c>
      <c r="M24" s="688">
        <f>+landbouw!L8</f>
        <v>0</v>
      </c>
      <c r="N24" s="688">
        <f>+landbouw!M8</f>
        <v>0</v>
      </c>
      <c r="O24" s="688">
        <f>+landbouw!N8</f>
        <v>0</v>
      </c>
      <c r="P24" s="688">
        <f>+landbouw!O8</f>
        <v>0</v>
      </c>
      <c r="Q24" s="689">
        <f>+landbouw!P8</f>
        <v>0</v>
      </c>
      <c r="R24" s="691">
        <f>SUM(C24:Q24)</f>
        <v>811.4372364902797</v>
      </c>
      <c r="S24" s="68"/>
    </row>
    <row r="25" spans="1:19" s="457" customFormat="1" ht="15" thickBot="1">
      <c r="A25" s="825" t="s">
        <v>912</v>
      </c>
      <c r="B25" s="1001"/>
      <c r="C25" s="1002">
        <f>IF(Onbekend_ele_kWh="---",0,Onbekend_ele_kWh)/1000+IF(REST_rest_ele_kWh="---",0,REST_rest_ele_kWh)/1000</f>
        <v>1413.9064934538101</v>
      </c>
      <c r="D25" s="1002"/>
      <c r="E25" s="1002">
        <f>IF(onbekend_gas_kWh="---",0,onbekend_gas_kWh)/1000+IF(REST_rest_gas_kWh="---",0,REST_rest_gas_kWh)/1000</f>
        <v>6374.4569963015401</v>
      </c>
      <c r="F25" s="1002"/>
      <c r="G25" s="1002"/>
      <c r="H25" s="1002"/>
      <c r="I25" s="1002"/>
      <c r="J25" s="1002"/>
      <c r="K25" s="1002"/>
      <c r="L25" s="1002"/>
      <c r="M25" s="1002"/>
      <c r="N25" s="1002"/>
      <c r="O25" s="1002"/>
      <c r="P25" s="1002"/>
      <c r="Q25" s="1003"/>
      <c r="R25" s="691">
        <f>SUM(C25:Q25)</f>
        <v>7788.3634897553502</v>
      </c>
      <c r="S25" s="68"/>
    </row>
    <row r="26" spans="1:19" s="457" customFormat="1" ht="15.75" thickBot="1">
      <c r="A26" s="694" t="s">
        <v>913</v>
      </c>
      <c r="B26" s="811"/>
      <c r="C26" s="806">
        <f>SUM(C24:C25)</f>
        <v>1581.7551708776411</v>
      </c>
      <c r="D26" s="806">
        <f t="shared" ref="D26:R26" si="2">SUM(D24:D25)</f>
        <v>0</v>
      </c>
      <c r="E26" s="806">
        <f t="shared" si="2"/>
        <v>6447.9546720333319</v>
      </c>
      <c r="F26" s="806">
        <f t="shared" si="2"/>
        <v>1.5812470036354735</v>
      </c>
      <c r="G26" s="806">
        <f t="shared" si="2"/>
        <v>547.74593851788313</v>
      </c>
      <c r="H26" s="806">
        <f t="shared" si="2"/>
        <v>0</v>
      </c>
      <c r="I26" s="806">
        <f t="shared" si="2"/>
        <v>0</v>
      </c>
      <c r="J26" s="806">
        <f t="shared" si="2"/>
        <v>0</v>
      </c>
      <c r="K26" s="806">
        <f t="shared" si="2"/>
        <v>20.763697813138055</v>
      </c>
      <c r="L26" s="806">
        <f t="shared" si="2"/>
        <v>0</v>
      </c>
      <c r="M26" s="806">
        <f t="shared" si="2"/>
        <v>0</v>
      </c>
      <c r="N26" s="806">
        <f t="shared" si="2"/>
        <v>0</v>
      </c>
      <c r="O26" s="806">
        <f t="shared" si="2"/>
        <v>0</v>
      </c>
      <c r="P26" s="806">
        <f t="shared" si="2"/>
        <v>0</v>
      </c>
      <c r="Q26" s="806">
        <f t="shared" si="2"/>
        <v>0</v>
      </c>
      <c r="R26" s="806">
        <f t="shared" si="2"/>
        <v>8599.8007262456304</v>
      </c>
      <c r="S26" s="68"/>
    </row>
    <row r="27" spans="1:19" s="457" customFormat="1" ht="17.25" thickTop="1" thickBot="1">
      <c r="A27" s="695" t="s">
        <v>116</v>
      </c>
      <c r="B27" s="798"/>
      <c r="C27" s="696">
        <f ca="1">C22+C16+C26</f>
        <v>74478.313797620271</v>
      </c>
      <c r="D27" s="696">
        <f t="shared" ref="D27:R27" ca="1" si="3">D22+D16+D26</f>
        <v>0</v>
      </c>
      <c r="E27" s="696">
        <f t="shared" ca="1" si="3"/>
        <v>592682.01462473208</v>
      </c>
      <c r="F27" s="696">
        <f t="shared" si="3"/>
        <v>1355.5930148975617</v>
      </c>
      <c r="G27" s="696">
        <f t="shared" ca="1" si="3"/>
        <v>15290.139584865801</v>
      </c>
      <c r="H27" s="696">
        <f t="shared" si="3"/>
        <v>42245.827135519983</v>
      </c>
      <c r="I27" s="696">
        <f t="shared" si="3"/>
        <v>8534.2586526729847</v>
      </c>
      <c r="J27" s="696">
        <f t="shared" si="3"/>
        <v>0</v>
      </c>
      <c r="K27" s="696">
        <f t="shared" si="3"/>
        <v>28.200792223705278</v>
      </c>
      <c r="L27" s="696">
        <f t="shared" si="3"/>
        <v>0</v>
      </c>
      <c r="M27" s="696">
        <f t="shared" ca="1" si="3"/>
        <v>0</v>
      </c>
      <c r="N27" s="696">
        <f t="shared" si="3"/>
        <v>2269.9798079334314</v>
      </c>
      <c r="O27" s="696">
        <f t="shared" ca="1" si="3"/>
        <v>6778.9993633780714</v>
      </c>
      <c r="P27" s="696">
        <f t="shared" si="3"/>
        <v>92.236666666666679</v>
      </c>
      <c r="Q27" s="696">
        <f t="shared" si="3"/>
        <v>19.066666666666666</v>
      </c>
      <c r="R27" s="696">
        <f t="shared" ca="1" si="3"/>
        <v>743774.63010717731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6718.2852930157069</v>
      </c>
      <c r="D40" s="688">
        <f ca="1">tertiair!C20</f>
        <v>0</v>
      </c>
      <c r="E40" s="688">
        <f ca="1">tertiair!D20</f>
        <v>9857.8993186649586</v>
      </c>
      <c r="F40" s="688">
        <f>tertiair!E20</f>
        <v>65.676849524594843</v>
      </c>
      <c r="G40" s="688">
        <f ca="1">tertiair!F20</f>
        <v>1687.7905591291424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18329.652020334404</v>
      </c>
    </row>
    <row r="41" spans="1:18">
      <c r="A41" s="816" t="s">
        <v>225</v>
      </c>
      <c r="B41" s="823"/>
      <c r="C41" s="688">
        <f ca="1">huishoudens!B12</f>
        <v>8037.7898598211768</v>
      </c>
      <c r="D41" s="688">
        <f ca="1">huishoudens!C12</f>
        <v>0</v>
      </c>
      <c r="E41" s="688">
        <f>huishoudens!D12</f>
        <v>28147.621717942398</v>
      </c>
      <c r="F41" s="688">
        <f>huishoudens!E12</f>
        <v>185.36519350363434</v>
      </c>
      <c r="G41" s="688">
        <f>huishoudens!F12</f>
        <v>1958.0089926312473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38328.785763898457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632.16294058384221</v>
      </c>
      <c r="D43" s="688">
        <f ca="1">industrie!C22</f>
        <v>0</v>
      </c>
      <c r="E43" s="688">
        <f>industrie!D22</f>
        <v>80412.977790326753</v>
      </c>
      <c r="F43" s="688">
        <f>industrie!E22</f>
        <v>6.0813781307488481</v>
      </c>
      <c r="G43" s="688">
        <f>industrie!F22</f>
        <v>290.41955181450464</v>
      </c>
      <c r="H43" s="688">
        <f>industrie!G22</f>
        <v>0</v>
      </c>
      <c r="I43" s="688">
        <f>industrie!H22</f>
        <v>0</v>
      </c>
      <c r="J43" s="688">
        <f>industrie!I22</f>
        <v>0</v>
      </c>
      <c r="K43" s="688">
        <f>industrie!J22</f>
        <v>2.6327314213407966</v>
      </c>
      <c r="L43" s="688">
        <f>industrie!K22</f>
        <v>0</v>
      </c>
      <c r="M43" s="688">
        <f>industrie!L22</f>
        <v>0</v>
      </c>
      <c r="N43" s="688">
        <f>industrie!M22</f>
        <v>0</v>
      </c>
      <c r="O43" s="688">
        <f>industrie!N22</f>
        <v>0</v>
      </c>
      <c r="P43" s="688">
        <f>industrie!O22</f>
        <v>0</v>
      </c>
      <c r="Q43" s="763">
        <f>industrie!P22</f>
        <v>0</v>
      </c>
      <c r="R43" s="843">
        <f t="shared" ca="1" si="4"/>
        <v>81344.274392277192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15388.238093420727</v>
      </c>
      <c r="D46" s="721">
        <f t="shared" ref="D46:Q46" ca="1" si="5">SUM(D39:D45)</f>
        <v>0</v>
      </c>
      <c r="E46" s="721">
        <f t="shared" ca="1" si="5"/>
        <v>118418.49882693411</v>
      </c>
      <c r="F46" s="721">
        <f t="shared" si="5"/>
        <v>257.12342115897803</v>
      </c>
      <c r="G46" s="721">
        <f t="shared" ca="1" si="5"/>
        <v>3936.2191035748942</v>
      </c>
      <c r="H46" s="721">
        <f t="shared" si="5"/>
        <v>0</v>
      </c>
      <c r="I46" s="721">
        <f t="shared" si="5"/>
        <v>0</v>
      </c>
      <c r="J46" s="721">
        <f t="shared" si="5"/>
        <v>0</v>
      </c>
      <c r="K46" s="721">
        <f t="shared" si="5"/>
        <v>2.6327314213407966</v>
      </c>
      <c r="L46" s="721">
        <f t="shared" si="5"/>
        <v>0</v>
      </c>
      <c r="M46" s="721">
        <f t="shared" ca="1" si="5"/>
        <v>0</v>
      </c>
      <c r="N46" s="721">
        <f t="shared" si="5"/>
        <v>0</v>
      </c>
      <c r="O46" s="721">
        <f t="shared" ca="1" si="5"/>
        <v>0</v>
      </c>
      <c r="P46" s="721">
        <f t="shared" si="5"/>
        <v>0</v>
      </c>
      <c r="Q46" s="721">
        <f t="shared" si="5"/>
        <v>0</v>
      </c>
      <c r="R46" s="721">
        <f ca="1">SUM(R39:R45)</f>
        <v>138002.71217651005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315.99675681107936</v>
      </c>
      <c r="D49" s="688">
        <f ca="1">transport!C58</f>
        <v>0</v>
      </c>
      <c r="E49" s="688">
        <f>transport!D58</f>
        <v>0</v>
      </c>
      <c r="F49" s="688">
        <f>transport!E58</f>
        <v>0</v>
      </c>
      <c r="G49" s="688">
        <f>transport!F58</f>
        <v>0</v>
      </c>
      <c r="H49" s="688">
        <f>transport!G58</f>
        <v>698.02495004495643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1014.0217068560357</v>
      </c>
    </row>
    <row r="50" spans="1:18">
      <c r="A50" s="819" t="s">
        <v>307</v>
      </c>
      <c r="B50" s="829"/>
      <c r="C50" s="1008">
        <f ca="1">transport!B18</f>
        <v>0.27780548013836981</v>
      </c>
      <c r="D50" s="1008">
        <f>transport!C18</f>
        <v>0</v>
      </c>
      <c r="E50" s="1008">
        <f>transport!D18</f>
        <v>0.78128351105461402</v>
      </c>
      <c r="F50" s="1008">
        <f>transport!E18</f>
        <v>50.23725015294319</v>
      </c>
      <c r="G50" s="1008">
        <f>transport!F18</f>
        <v>0</v>
      </c>
      <c r="H50" s="1008">
        <f>transport!G18</f>
        <v>10581.61089513888</v>
      </c>
      <c r="I50" s="1008">
        <f>transport!H18</f>
        <v>2125.0304045155731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12757.937638798589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316.27456229121776</v>
      </c>
      <c r="D52" s="721">
        <f t="shared" ref="D52:Q52" ca="1" si="6">SUM(D48:D51)</f>
        <v>0</v>
      </c>
      <c r="E52" s="721">
        <f t="shared" si="6"/>
        <v>0.78128351105461402</v>
      </c>
      <c r="F52" s="721">
        <f t="shared" si="6"/>
        <v>50.23725015294319</v>
      </c>
      <c r="G52" s="721">
        <f t="shared" si="6"/>
        <v>0</v>
      </c>
      <c r="H52" s="721">
        <f t="shared" si="6"/>
        <v>11279.635845183837</v>
      </c>
      <c r="I52" s="721">
        <f t="shared" si="6"/>
        <v>2125.0304045155731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13771.959345654624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36.160577790019801</v>
      </c>
      <c r="D54" s="1008">
        <f ca="1">+landbouw!C12</f>
        <v>0</v>
      </c>
      <c r="E54" s="1008">
        <f>+landbouw!D12</f>
        <v>14.846530497822007</v>
      </c>
      <c r="F54" s="1008">
        <f>+landbouw!E12</f>
        <v>0.35894306982525248</v>
      </c>
      <c r="G54" s="1008">
        <f>+landbouw!F12</f>
        <v>146.2481655842748</v>
      </c>
      <c r="H54" s="1008">
        <f>+landbouw!G12</f>
        <v>0</v>
      </c>
      <c r="I54" s="1008">
        <f>+landbouw!H12</f>
        <v>0</v>
      </c>
      <c r="J54" s="1008">
        <f>+landbouw!I12</f>
        <v>0</v>
      </c>
      <c r="K54" s="1008">
        <f>+landbouw!J12</f>
        <v>7.3503490258508712</v>
      </c>
      <c r="L54" s="1008">
        <f>+landbouw!K12</f>
        <v>0</v>
      </c>
      <c r="M54" s="1008">
        <f>+landbouw!L12</f>
        <v>0</v>
      </c>
      <c r="N54" s="1008">
        <f>+landbouw!M12</f>
        <v>0</v>
      </c>
      <c r="O54" s="1008">
        <f>+landbouw!N12</f>
        <v>0</v>
      </c>
      <c r="P54" s="1008">
        <f>+landbouw!O12</f>
        <v>0</v>
      </c>
      <c r="Q54" s="1009">
        <f>+landbouw!P12</f>
        <v>0</v>
      </c>
      <c r="R54" s="720">
        <f ca="1">SUM(C54:Q54)</f>
        <v>204.96456596779274</v>
      </c>
    </row>
    <row r="55" spans="1:18" ht="15" thickBot="1">
      <c r="A55" s="819" t="s">
        <v>912</v>
      </c>
      <c r="B55" s="829"/>
      <c r="C55" s="1008">
        <f ca="1">C25*'EF ele_warmte'!B12</f>
        <v>304.60577068027322</v>
      </c>
      <c r="D55" s="1008"/>
      <c r="E55" s="1008">
        <f>E25*EF_CO2_aardgas</f>
        <v>1287.6403132529113</v>
      </c>
      <c r="F55" s="1008"/>
      <c r="G55" s="1008"/>
      <c r="H55" s="1008"/>
      <c r="I55" s="1008"/>
      <c r="J55" s="1008"/>
      <c r="K55" s="1008"/>
      <c r="L55" s="1008"/>
      <c r="M55" s="1008"/>
      <c r="N55" s="1008"/>
      <c r="O55" s="1008"/>
      <c r="P55" s="1008"/>
      <c r="Q55" s="1009"/>
      <c r="R55" s="720">
        <f ca="1">SUM(C55:Q55)</f>
        <v>1592.2460839331845</v>
      </c>
    </row>
    <row r="56" spans="1:18" ht="15.75" thickBot="1">
      <c r="A56" s="817" t="s">
        <v>913</v>
      </c>
      <c r="B56" s="830"/>
      <c r="C56" s="721">
        <f ca="1">SUM(C54:C55)</f>
        <v>340.766348470293</v>
      </c>
      <c r="D56" s="721">
        <f t="shared" ref="D56:Q56" ca="1" si="7">SUM(D54:D55)</f>
        <v>0</v>
      </c>
      <c r="E56" s="721">
        <f t="shared" si="7"/>
        <v>1302.4868437507332</v>
      </c>
      <c r="F56" s="721">
        <f t="shared" si="7"/>
        <v>0.35894306982525248</v>
      </c>
      <c r="G56" s="721">
        <f t="shared" si="7"/>
        <v>146.2481655842748</v>
      </c>
      <c r="H56" s="721">
        <f t="shared" si="7"/>
        <v>0</v>
      </c>
      <c r="I56" s="721">
        <f t="shared" si="7"/>
        <v>0</v>
      </c>
      <c r="J56" s="721">
        <f t="shared" si="7"/>
        <v>0</v>
      </c>
      <c r="K56" s="721">
        <f t="shared" si="7"/>
        <v>7.3503490258508712</v>
      </c>
      <c r="L56" s="721">
        <f t="shared" si="7"/>
        <v>0</v>
      </c>
      <c r="M56" s="721">
        <f t="shared" si="7"/>
        <v>0</v>
      </c>
      <c r="N56" s="721">
        <f t="shared" si="7"/>
        <v>0</v>
      </c>
      <c r="O56" s="721">
        <f t="shared" si="7"/>
        <v>0</v>
      </c>
      <c r="P56" s="721">
        <f t="shared" si="7"/>
        <v>0</v>
      </c>
      <c r="Q56" s="722">
        <f t="shared" si="7"/>
        <v>0</v>
      </c>
      <c r="R56" s="723">
        <f ca="1">SUM(R54:R55)</f>
        <v>1797.2106499009774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16045.279004182237</v>
      </c>
      <c r="D61" s="729">
        <f t="shared" ref="D61:Q61" ca="1" si="8">D46+D52+D56</f>
        <v>0</v>
      </c>
      <c r="E61" s="729">
        <f t="shared" ca="1" si="8"/>
        <v>119721.7669541959</v>
      </c>
      <c r="F61" s="729">
        <f t="shared" si="8"/>
        <v>307.71961438174651</v>
      </c>
      <c r="G61" s="729">
        <f t="shared" ca="1" si="8"/>
        <v>4082.4672691591691</v>
      </c>
      <c r="H61" s="729">
        <f t="shared" si="8"/>
        <v>11279.635845183837</v>
      </c>
      <c r="I61" s="729">
        <f t="shared" si="8"/>
        <v>2125.0304045155731</v>
      </c>
      <c r="J61" s="729">
        <f t="shared" si="8"/>
        <v>0</v>
      </c>
      <c r="K61" s="729">
        <f t="shared" si="8"/>
        <v>9.9830804471916679</v>
      </c>
      <c r="L61" s="729">
        <f t="shared" si="8"/>
        <v>0</v>
      </c>
      <c r="M61" s="729">
        <f t="shared" ca="1" si="8"/>
        <v>0</v>
      </c>
      <c r="N61" s="729">
        <f t="shared" si="8"/>
        <v>0</v>
      </c>
      <c r="O61" s="729">
        <f t="shared" ca="1" si="8"/>
        <v>0</v>
      </c>
      <c r="P61" s="729">
        <f t="shared" si="8"/>
        <v>0</v>
      </c>
      <c r="Q61" s="729">
        <f t="shared" si="8"/>
        <v>0</v>
      </c>
      <c r="R61" s="729">
        <f ca="1">R46+R52+R56</f>
        <v>153571.88217206564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0.2154355836758339</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1875.2413805060644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1875.2413805060644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1875.2413805060644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1875.2413805060644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37309.48120397624</v>
      </c>
      <c r="C4" s="461">
        <f>huishoudens!C8</f>
        <v>0</v>
      </c>
      <c r="D4" s="461">
        <f>huishoudens!D8</f>
        <v>139344.66197001186</v>
      </c>
      <c r="E4" s="461">
        <f>huishoudens!E8</f>
        <v>816.5867555226182</v>
      </c>
      <c r="F4" s="461">
        <f>huishoudens!F8</f>
        <v>7333.3670136001765</v>
      </c>
      <c r="G4" s="461">
        <f>huishoudens!G8</f>
        <v>0</v>
      </c>
      <c r="H4" s="461">
        <f>huishoudens!H8</f>
        <v>0</v>
      </c>
      <c r="I4" s="461">
        <f>huishoudens!I8</f>
        <v>0</v>
      </c>
      <c r="J4" s="461">
        <f>huishoudens!J8</f>
        <v>0</v>
      </c>
      <c r="K4" s="461">
        <f>huishoudens!K8</f>
        <v>0</v>
      </c>
      <c r="L4" s="461">
        <f>huishoudens!L8</f>
        <v>0</v>
      </c>
      <c r="M4" s="461">
        <f>huishoudens!M8</f>
        <v>0</v>
      </c>
      <c r="N4" s="461">
        <f>huishoudens!N8</f>
        <v>5469.5440381023345</v>
      </c>
      <c r="O4" s="461">
        <f>huishoudens!O8</f>
        <v>92.236666666666679</v>
      </c>
      <c r="P4" s="462">
        <f>huishoudens!P8</f>
        <v>19.066666666666666</v>
      </c>
      <c r="Q4" s="463">
        <f>SUM(B4:P4)</f>
        <v>190384.94431454656</v>
      </c>
    </row>
    <row r="5" spans="1:17">
      <c r="A5" s="460" t="s">
        <v>156</v>
      </c>
      <c r="B5" s="461">
        <f ca="1">tertiair!B16</f>
        <v>30133.855369571535</v>
      </c>
      <c r="C5" s="461">
        <f ca="1">tertiair!C16</f>
        <v>0</v>
      </c>
      <c r="D5" s="461">
        <f ca="1">tertiair!D16</f>
        <v>48801.481775569096</v>
      </c>
      <c r="E5" s="461">
        <f>tertiair!E16</f>
        <v>289.32532830217991</v>
      </c>
      <c r="F5" s="461">
        <f ca="1">tertiair!F16</f>
        <v>6321.3129555398591</v>
      </c>
      <c r="G5" s="461">
        <f>tertiair!G16</f>
        <v>0</v>
      </c>
      <c r="H5" s="461">
        <f>tertiair!H16</f>
        <v>0</v>
      </c>
      <c r="I5" s="461">
        <f>tertiair!I16</f>
        <v>0</v>
      </c>
      <c r="J5" s="461">
        <f>tertiair!J16</f>
        <v>0</v>
      </c>
      <c r="K5" s="461">
        <f>tertiair!K16</f>
        <v>0</v>
      </c>
      <c r="L5" s="461">
        <f ca="1">tertiair!L16</f>
        <v>0</v>
      </c>
      <c r="M5" s="461">
        <f>tertiair!M16</f>
        <v>0</v>
      </c>
      <c r="N5" s="461">
        <f ca="1">tertiair!N16</f>
        <v>1150.0735832837872</v>
      </c>
      <c r="O5" s="461">
        <f>tertiair!O16</f>
        <v>0</v>
      </c>
      <c r="P5" s="462">
        <f>tertiair!P16</f>
        <v>0</v>
      </c>
      <c r="Q5" s="460">
        <f t="shared" ref="Q5:Q14" ca="1" si="0">SUM(B5:P5)</f>
        <v>86696.049012266449</v>
      </c>
    </row>
    <row r="6" spans="1:17">
      <c r="A6" s="460" t="s">
        <v>194</v>
      </c>
      <c r="B6" s="461">
        <f>'openbare verlichting'!B8</f>
        <v>1050.8040000000001</v>
      </c>
      <c r="C6" s="461"/>
      <c r="D6" s="461"/>
      <c r="E6" s="461"/>
      <c r="F6" s="461"/>
      <c r="G6" s="461"/>
      <c r="H6" s="461"/>
      <c r="I6" s="461"/>
      <c r="J6" s="461"/>
      <c r="K6" s="461"/>
      <c r="L6" s="461"/>
      <c r="M6" s="461"/>
      <c r="N6" s="461"/>
      <c r="O6" s="461"/>
      <c r="P6" s="462"/>
      <c r="Q6" s="460">
        <f t="shared" si="0"/>
        <v>1050.8040000000001</v>
      </c>
    </row>
    <row r="7" spans="1:17">
      <c r="A7" s="460" t="s">
        <v>112</v>
      </c>
      <c r="B7" s="461">
        <f>landbouw!B8</f>
        <v>167.84867742383099</v>
      </c>
      <c r="C7" s="461">
        <f>landbouw!C8</f>
        <v>0</v>
      </c>
      <c r="D7" s="461">
        <f>landbouw!D8</f>
        <v>73.497675731792114</v>
      </c>
      <c r="E7" s="461">
        <f>landbouw!E8</f>
        <v>1.5812470036354735</v>
      </c>
      <c r="F7" s="461">
        <f>landbouw!F8</f>
        <v>547.74593851788313</v>
      </c>
      <c r="G7" s="461">
        <f>landbouw!G8</f>
        <v>0</v>
      </c>
      <c r="H7" s="461">
        <f>landbouw!H8</f>
        <v>0</v>
      </c>
      <c r="I7" s="461">
        <f>landbouw!I8</f>
        <v>0</v>
      </c>
      <c r="J7" s="461">
        <f>landbouw!J8</f>
        <v>20.763697813138055</v>
      </c>
      <c r="K7" s="461">
        <f>landbouw!K8</f>
        <v>0</v>
      </c>
      <c r="L7" s="461">
        <f>landbouw!L8</f>
        <v>0</v>
      </c>
      <c r="M7" s="461">
        <f>landbouw!M8</f>
        <v>0</v>
      </c>
      <c r="N7" s="461">
        <f>landbouw!N8</f>
        <v>0</v>
      </c>
      <c r="O7" s="461">
        <f>landbouw!O8</f>
        <v>0</v>
      </c>
      <c r="P7" s="462">
        <f>landbouw!P8</f>
        <v>0</v>
      </c>
      <c r="Q7" s="460">
        <f t="shared" si="0"/>
        <v>811.4372364902797</v>
      </c>
    </row>
    <row r="8" spans="1:17">
      <c r="A8" s="460" t="s">
        <v>685</v>
      </c>
      <c r="B8" s="461">
        <f>industrie!B18</f>
        <v>2934.3478444817092</v>
      </c>
      <c r="C8" s="461">
        <f>industrie!C18</f>
        <v>0</v>
      </c>
      <c r="D8" s="461">
        <f>industrie!D18</f>
        <v>398084.0484669641</v>
      </c>
      <c r="E8" s="461">
        <f>industrie!E18</f>
        <v>26.790212029730608</v>
      </c>
      <c r="F8" s="461">
        <f>industrie!F18</f>
        <v>1087.7136772078825</v>
      </c>
      <c r="G8" s="461">
        <f>industrie!G18</f>
        <v>0</v>
      </c>
      <c r="H8" s="461">
        <f>industrie!H18</f>
        <v>0</v>
      </c>
      <c r="I8" s="461">
        <f>industrie!I18</f>
        <v>0</v>
      </c>
      <c r="J8" s="461">
        <f>industrie!J18</f>
        <v>7.4370944105672221</v>
      </c>
      <c r="K8" s="461">
        <f>industrie!K18</f>
        <v>0</v>
      </c>
      <c r="L8" s="461">
        <f>industrie!L18</f>
        <v>0</v>
      </c>
      <c r="M8" s="461">
        <f>industrie!M18</f>
        <v>0</v>
      </c>
      <c r="N8" s="461">
        <f>industrie!N18</f>
        <v>159.38174199194947</v>
      </c>
      <c r="O8" s="461">
        <f>industrie!O18</f>
        <v>0</v>
      </c>
      <c r="P8" s="462">
        <f>industrie!P18</f>
        <v>0</v>
      </c>
      <c r="Q8" s="460">
        <f t="shared" si="0"/>
        <v>402299.71903708595</v>
      </c>
    </row>
    <row r="9" spans="1:17" s="466" customFormat="1">
      <c r="A9" s="464" t="s">
        <v>579</v>
      </c>
      <c r="B9" s="465">
        <f>transport!B14</f>
        <v>1.2895060110236196</v>
      </c>
      <c r="C9" s="465">
        <f>transport!C14</f>
        <v>0</v>
      </c>
      <c r="D9" s="465">
        <f>transport!D14</f>
        <v>3.8677401537357126</v>
      </c>
      <c r="E9" s="465">
        <f>transport!E14</f>
        <v>221.30947203939732</v>
      </c>
      <c r="F9" s="465">
        <f>transport!F14</f>
        <v>0</v>
      </c>
      <c r="G9" s="465">
        <f>transport!G14</f>
        <v>39631.501479920895</v>
      </c>
      <c r="H9" s="465">
        <f>transport!H14</f>
        <v>8534.2586526729847</v>
      </c>
      <c r="I9" s="465">
        <f>transport!I14</f>
        <v>0</v>
      </c>
      <c r="J9" s="465">
        <f>transport!J14</f>
        <v>0</v>
      </c>
      <c r="K9" s="465">
        <f>transport!K14</f>
        <v>0</v>
      </c>
      <c r="L9" s="465">
        <f>transport!L14</f>
        <v>0</v>
      </c>
      <c r="M9" s="465">
        <f>transport!M14</f>
        <v>2155.1804557961486</v>
      </c>
      <c r="N9" s="465">
        <f>transport!N14</f>
        <v>0</v>
      </c>
      <c r="O9" s="465">
        <f>transport!O14</f>
        <v>0</v>
      </c>
      <c r="P9" s="465">
        <f>transport!P14</f>
        <v>0</v>
      </c>
      <c r="Q9" s="464">
        <f>SUM(B9:P9)</f>
        <v>50547.407306594192</v>
      </c>
    </row>
    <row r="10" spans="1:17">
      <c r="A10" s="460" t="s">
        <v>569</v>
      </c>
      <c r="B10" s="461">
        <f>transport!B54</f>
        <v>1466.7807027021122</v>
      </c>
      <c r="C10" s="461">
        <f>transport!C54</f>
        <v>0</v>
      </c>
      <c r="D10" s="461">
        <f>transport!D54</f>
        <v>0</v>
      </c>
      <c r="E10" s="461">
        <f>transport!E54</f>
        <v>0</v>
      </c>
      <c r="F10" s="461">
        <f>transport!F54</f>
        <v>0</v>
      </c>
      <c r="G10" s="461">
        <f>transport!G54</f>
        <v>2614.3256555990874</v>
      </c>
      <c r="H10" s="461">
        <f>transport!H54</f>
        <v>0</v>
      </c>
      <c r="I10" s="461">
        <f>transport!I54</f>
        <v>0</v>
      </c>
      <c r="J10" s="461">
        <f>transport!J54</f>
        <v>0</v>
      </c>
      <c r="K10" s="461">
        <f>transport!K54</f>
        <v>0</v>
      </c>
      <c r="L10" s="461">
        <f>transport!L54</f>
        <v>0</v>
      </c>
      <c r="M10" s="461">
        <f>transport!M54</f>
        <v>114.79935213728267</v>
      </c>
      <c r="N10" s="461">
        <f>transport!N54</f>
        <v>0</v>
      </c>
      <c r="O10" s="461">
        <f>transport!O54</f>
        <v>0</v>
      </c>
      <c r="P10" s="462">
        <f>transport!P54</f>
        <v>0</v>
      </c>
      <c r="Q10" s="460">
        <f t="shared" si="0"/>
        <v>4195.9057104384819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1413.9064934538101</v>
      </c>
      <c r="C14" s="468"/>
      <c r="D14" s="468">
        <f>'SEAP template'!E25</f>
        <v>6374.4569963015401</v>
      </c>
      <c r="E14" s="468"/>
      <c r="F14" s="468"/>
      <c r="G14" s="468"/>
      <c r="H14" s="468"/>
      <c r="I14" s="468"/>
      <c r="J14" s="468"/>
      <c r="K14" s="468"/>
      <c r="L14" s="468"/>
      <c r="M14" s="468"/>
      <c r="N14" s="468"/>
      <c r="O14" s="468"/>
      <c r="P14" s="469"/>
      <c r="Q14" s="460">
        <f t="shared" si="0"/>
        <v>7788.3634897553502</v>
      </c>
    </row>
    <row r="15" spans="1:17" s="473" customFormat="1">
      <c r="A15" s="470" t="s">
        <v>573</v>
      </c>
      <c r="B15" s="471">
        <f ca="1">SUM(B4:B14)</f>
        <v>74478.313797620256</v>
      </c>
      <c r="C15" s="471">
        <f t="shared" ref="C15:Q15" ca="1" si="1">SUM(C4:C14)</f>
        <v>0</v>
      </c>
      <c r="D15" s="471">
        <f t="shared" ca="1" si="1"/>
        <v>592682.01462473208</v>
      </c>
      <c r="E15" s="471">
        <f t="shared" si="1"/>
        <v>1355.5930148975617</v>
      </c>
      <c r="F15" s="471">
        <f t="shared" ca="1" si="1"/>
        <v>15290.139584865801</v>
      </c>
      <c r="G15" s="471">
        <f t="shared" si="1"/>
        <v>42245.827135519983</v>
      </c>
      <c r="H15" s="471">
        <f t="shared" si="1"/>
        <v>8534.2586526729847</v>
      </c>
      <c r="I15" s="471">
        <f t="shared" si="1"/>
        <v>0</v>
      </c>
      <c r="J15" s="471">
        <f t="shared" si="1"/>
        <v>28.200792223705278</v>
      </c>
      <c r="K15" s="471">
        <f t="shared" si="1"/>
        <v>0</v>
      </c>
      <c r="L15" s="471">
        <f t="shared" ca="1" si="1"/>
        <v>0</v>
      </c>
      <c r="M15" s="471">
        <f t="shared" si="1"/>
        <v>2269.9798079334314</v>
      </c>
      <c r="N15" s="471">
        <f t="shared" ca="1" si="1"/>
        <v>6778.9993633780714</v>
      </c>
      <c r="O15" s="471">
        <f t="shared" si="1"/>
        <v>92.236666666666679</v>
      </c>
      <c r="P15" s="471">
        <f t="shared" si="1"/>
        <v>19.066666666666666</v>
      </c>
      <c r="Q15" s="471">
        <f t="shared" ca="1" si="1"/>
        <v>743774.63010717719</v>
      </c>
    </row>
    <row r="17" spans="1:17">
      <c r="A17" s="474" t="s">
        <v>574</v>
      </c>
      <c r="B17" s="778">
        <f ca="1">huishoudens!B10</f>
        <v>0.21543558367583393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8037.7898598211768</v>
      </c>
      <c r="C22" s="461">
        <f t="shared" ref="C22:C32" ca="1" si="3">C4*$C$17</f>
        <v>0</v>
      </c>
      <c r="D22" s="461">
        <f t="shared" ref="D22:D32" si="4">D4*$D$17</f>
        <v>28147.621717942398</v>
      </c>
      <c r="E22" s="461">
        <f t="shared" ref="E22:E32" si="5">E4*$E$17</f>
        <v>185.36519350363434</v>
      </c>
      <c r="F22" s="461">
        <f t="shared" ref="F22:F32" si="6">F4*$F$17</f>
        <v>1958.0089926312473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38328.785763898457</v>
      </c>
    </row>
    <row r="23" spans="1:17">
      <c r="A23" s="460" t="s">
        <v>156</v>
      </c>
      <c r="B23" s="461">
        <f t="shared" ca="1" si="2"/>
        <v>6491.9047199468059</v>
      </c>
      <c r="C23" s="461">
        <f t="shared" ca="1" si="3"/>
        <v>0</v>
      </c>
      <c r="D23" s="461">
        <f t="shared" ca="1" si="4"/>
        <v>9857.8993186649586</v>
      </c>
      <c r="E23" s="461">
        <f t="shared" si="5"/>
        <v>65.676849524594843</v>
      </c>
      <c r="F23" s="461">
        <f t="shared" ca="1" si="6"/>
        <v>1687.7905591291424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18103.271447265503</v>
      </c>
    </row>
    <row r="24" spans="1:17">
      <c r="A24" s="460" t="s">
        <v>194</v>
      </c>
      <c r="B24" s="461">
        <f t="shared" ca="1" si="2"/>
        <v>226.38057306890101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226.38057306890101</v>
      </c>
    </row>
    <row r="25" spans="1:17">
      <c r="A25" s="460" t="s">
        <v>112</v>
      </c>
      <c r="B25" s="461">
        <f t="shared" ca="1" si="2"/>
        <v>36.160577790019801</v>
      </c>
      <c r="C25" s="461">
        <f t="shared" ca="1" si="3"/>
        <v>0</v>
      </c>
      <c r="D25" s="461">
        <f t="shared" si="4"/>
        <v>14.846530497822007</v>
      </c>
      <c r="E25" s="461">
        <f t="shared" si="5"/>
        <v>0.35894306982525248</v>
      </c>
      <c r="F25" s="461">
        <f t="shared" si="6"/>
        <v>146.2481655842748</v>
      </c>
      <c r="G25" s="461">
        <f t="shared" si="7"/>
        <v>0</v>
      </c>
      <c r="H25" s="461">
        <f t="shared" si="8"/>
        <v>0</v>
      </c>
      <c r="I25" s="461">
        <f t="shared" si="9"/>
        <v>0</v>
      </c>
      <c r="J25" s="461">
        <f t="shared" si="10"/>
        <v>7.3503490258508712</v>
      </c>
      <c r="K25" s="461">
        <f t="shared" si="11"/>
        <v>0</v>
      </c>
      <c r="L25" s="461">
        <f t="shared" si="12"/>
        <v>0</v>
      </c>
      <c r="M25" s="461">
        <f t="shared" si="13"/>
        <v>0</v>
      </c>
      <c r="N25" s="461">
        <f t="shared" si="14"/>
        <v>0</v>
      </c>
      <c r="O25" s="461">
        <f t="shared" si="15"/>
        <v>0</v>
      </c>
      <c r="P25" s="462">
        <f t="shared" si="16"/>
        <v>0</v>
      </c>
      <c r="Q25" s="460">
        <f t="shared" ca="1" si="17"/>
        <v>204.96456596779274</v>
      </c>
    </row>
    <row r="26" spans="1:17">
      <c r="A26" s="460" t="s">
        <v>685</v>
      </c>
      <c r="B26" s="461">
        <f t="shared" ca="1" si="2"/>
        <v>632.16294058384221</v>
      </c>
      <c r="C26" s="461">
        <f t="shared" ca="1" si="3"/>
        <v>0</v>
      </c>
      <c r="D26" s="461">
        <f t="shared" si="4"/>
        <v>80412.977790326753</v>
      </c>
      <c r="E26" s="461">
        <f t="shared" si="5"/>
        <v>6.0813781307488481</v>
      </c>
      <c r="F26" s="461">
        <f t="shared" si="6"/>
        <v>290.41955181450464</v>
      </c>
      <c r="G26" s="461">
        <f t="shared" si="7"/>
        <v>0</v>
      </c>
      <c r="H26" s="461">
        <f t="shared" si="8"/>
        <v>0</v>
      </c>
      <c r="I26" s="461">
        <f t="shared" si="9"/>
        <v>0</v>
      </c>
      <c r="J26" s="461">
        <f t="shared" si="10"/>
        <v>2.6327314213407966</v>
      </c>
      <c r="K26" s="461">
        <f t="shared" si="11"/>
        <v>0</v>
      </c>
      <c r="L26" s="461">
        <f t="shared" si="12"/>
        <v>0</v>
      </c>
      <c r="M26" s="461">
        <f t="shared" si="13"/>
        <v>0</v>
      </c>
      <c r="N26" s="461">
        <f t="shared" si="14"/>
        <v>0</v>
      </c>
      <c r="O26" s="461">
        <f t="shared" si="15"/>
        <v>0</v>
      </c>
      <c r="P26" s="462">
        <f t="shared" si="16"/>
        <v>0</v>
      </c>
      <c r="Q26" s="460">
        <f t="shared" ca="1" si="17"/>
        <v>81344.274392277192</v>
      </c>
    </row>
    <row r="27" spans="1:17" s="466" customFormat="1">
      <c r="A27" s="464" t="s">
        <v>579</v>
      </c>
      <c r="B27" s="772">
        <f t="shared" ca="1" si="2"/>
        <v>0.27780548013836981</v>
      </c>
      <c r="C27" s="465">
        <f t="shared" ca="1" si="3"/>
        <v>0</v>
      </c>
      <c r="D27" s="465">
        <f t="shared" si="4"/>
        <v>0.78128351105461402</v>
      </c>
      <c r="E27" s="465">
        <f t="shared" si="5"/>
        <v>50.23725015294319</v>
      </c>
      <c r="F27" s="465">
        <f t="shared" si="6"/>
        <v>0</v>
      </c>
      <c r="G27" s="465">
        <f t="shared" si="7"/>
        <v>10581.61089513888</v>
      </c>
      <c r="H27" s="465">
        <f t="shared" si="8"/>
        <v>2125.0304045155731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12757.937638798589</v>
      </c>
    </row>
    <row r="28" spans="1:17">
      <c r="A28" s="460" t="s">
        <v>569</v>
      </c>
      <c r="B28" s="461">
        <f t="shared" ca="1" si="2"/>
        <v>315.99675681107936</v>
      </c>
      <c r="C28" s="461">
        <f t="shared" ca="1" si="3"/>
        <v>0</v>
      </c>
      <c r="D28" s="461">
        <f t="shared" si="4"/>
        <v>0</v>
      </c>
      <c r="E28" s="461">
        <f t="shared" si="5"/>
        <v>0</v>
      </c>
      <c r="F28" s="461">
        <f t="shared" si="6"/>
        <v>0</v>
      </c>
      <c r="G28" s="461">
        <f t="shared" si="7"/>
        <v>698.02495004495643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1014.0217068560357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304.60577068027322</v>
      </c>
      <c r="C32" s="461">
        <f t="shared" ca="1" si="3"/>
        <v>0</v>
      </c>
      <c r="D32" s="461">
        <f t="shared" si="4"/>
        <v>1287.6403132529113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1592.2460839331845</v>
      </c>
    </row>
    <row r="33" spans="1:17" s="473" customFormat="1">
      <c r="A33" s="470" t="s">
        <v>573</v>
      </c>
      <c r="B33" s="471">
        <f ca="1">SUM(B22:B32)</f>
        <v>16045.279004182239</v>
      </c>
      <c r="C33" s="471">
        <f t="shared" ref="C33:Q33" ca="1" si="18">SUM(C22:C32)</f>
        <v>0</v>
      </c>
      <c r="D33" s="471">
        <f t="shared" ca="1" si="18"/>
        <v>119721.7669541959</v>
      </c>
      <c r="E33" s="471">
        <f t="shared" si="18"/>
        <v>307.71961438174651</v>
      </c>
      <c r="F33" s="471">
        <f t="shared" ca="1" si="18"/>
        <v>4082.4672691591691</v>
      </c>
      <c r="G33" s="471">
        <f t="shared" si="18"/>
        <v>11279.635845183837</v>
      </c>
      <c r="H33" s="471">
        <f t="shared" si="18"/>
        <v>2125.0304045155731</v>
      </c>
      <c r="I33" s="471">
        <f t="shared" si="18"/>
        <v>0</v>
      </c>
      <c r="J33" s="471">
        <f t="shared" si="18"/>
        <v>9.9830804471916679</v>
      </c>
      <c r="K33" s="471">
        <f t="shared" si="18"/>
        <v>0</v>
      </c>
      <c r="L33" s="471">
        <f t="shared" ca="1" si="18"/>
        <v>0</v>
      </c>
      <c r="M33" s="471">
        <f t="shared" si="18"/>
        <v>0</v>
      </c>
      <c r="N33" s="471">
        <f t="shared" ca="1" si="18"/>
        <v>0</v>
      </c>
      <c r="O33" s="471">
        <f t="shared" si="18"/>
        <v>0</v>
      </c>
      <c r="P33" s="471">
        <f t="shared" si="18"/>
        <v>0</v>
      </c>
      <c r="Q33" s="471">
        <f t="shared" ca="1" si="18"/>
        <v>153571.88217206564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1875.2413805060644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1875.2413805060644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0.21543558367583393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0.21543558367583393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2019-08-12T07:52:24Z</dcterms:modified>
</cp:coreProperties>
</file>