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C8" i="56" l="1"/>
  <c r="C10" s="1"/>
  <c r="C78" i="14"/>
  <c r="B90"/>
  <c r="B17" i="56"/>
  <c r="B20" s="1"/>
  <c r="B8"/>
  <c r="B10" s="1"/>
  <c r="B78" i="14"/>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29"/>
  <c r="D32"/>
  <c r="D31"/>
  <c r="L28"/>
  <c r="L32"/>
  <c r="L27"/>
  <c r="L31"/>
  <c r="L22"/>
  <c r="L29"/>
  <c r="L30"/>
  <c r="L24"/>
  <c r="P5"/>
  <c r="P23" s="1"/>
  <c r="Q10" i="14"/>
  <c r="K28" i="48"/>
  <c r="K32"/>
  <c r="K27"/>
  <c r="K31"/>
  <c r="K25"/>
  <c r="K26"/>
  <c r="K30"/>
  <c r="K24"/>
  <c r="K29"/>
  <c r="K22"/>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30"/>
  <c r="M29"/>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<sst xmlns="http://schemas.openxmlformats.org/spreadsheetml/2006/main" count="2522" uniqueCount="964">
  <si>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</si>
  <si>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</si>
  <si>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</si>
  <si>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</si>
  <si>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</si>
  <si>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</si>
  <si>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</si>
  <si>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</si>
  <si>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</si>
  <si>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</si>
  <si>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</si>
  <si>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</si>
  <si>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</si>
  <si>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</si>
  <si>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</si>
  <si>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</si>
  <si>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</si>
  <si>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</si>
  <si>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</si>
  <si>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</si>
  <si>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</si>
  <si>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</si>
  <si>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</si>
  <si>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</si>
  <si>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</si>
  <si>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</si>
  <si>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</si>
  <si>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</si>
  <si>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</si>
  <si>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</si>
  <si>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</si>
  <si>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</si>
  <si>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</si>
  <si>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</si>
  <si>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</si>
  <si>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</si>
  <si>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</si>
  <si>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</si>
  <si>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</si>
  <si>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</si>
  <si>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</si>
  <si>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</si>
  <si>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</si>
  <si>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</si>
  <si>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</si>
  <si>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</si>
  <si>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</si>
  <si>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</si>
  <si>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</si>
  <si>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</si>
  <si>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</si>
  <si>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</si>
  <si>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</si>
  <si>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</si>
  <si>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</si>
  <si>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</si>
  <si>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</si>
  <si>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</si>
  <si>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</si>
  <si>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</si>
  <si>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</si>
  <si>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</si>
  <si>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</si>
  <si>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</si>
  <si>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</si>
  <si>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</si>
  <si>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</si>
  <si>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</si>
  <si>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</si>
  <si>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</si>
  <si>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</si>
  <si>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</si>
  <si>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</si>
  <si>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</si>
  <si>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</si>
  <si>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</si>
  <si>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</si>
  <si>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</si>
  <si>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</si>
  <si>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</si>
  <si>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</si>
  <si>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</si>
  <si>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</si>
  <si>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</si>
  <si>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</si>
  <si>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</si>
  <si>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</si>
  <si>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</si>
  <si>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</si>
  <si>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</si>
  <si>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</si>
  <si>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</si>
  <si>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</si>
  <si>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</si>
  <si>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</si>
  <si>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</si>
  <si>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</si>
  <si>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</si>
  <si>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</si>
  <si>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</si>
  <si>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</si>
  <si>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</si>
  <si>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</si>
  <si>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</si>
  <si>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</si>
  <si>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</si>
  <si>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</si>
  <si>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</si>
  <si>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</si>
  <si>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</si>
  <si>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</si>
  <si>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</si>
  <si>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</si>
  <si>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</si>
  <si>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</si>
  <si>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</si>
  <si>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</si>
  <si>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</si>
  <si>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</si>
  <si>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</si>
  <si>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</si>
  <si>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</si>
  <si>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</si>
  <si>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</si>
  <si>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</si>
  <si>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</si>
  <si>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</si>
  <si>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</si>
  <si>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</si>
  <si>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</si>
  <si>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</si>
  <si>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</si>
  <si>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</si>
  <si>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</si>
  <si>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</si>
  <si>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</si>
  <si>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</si>
  <si>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</si>
  <si>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</si>
  <si>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</si>
  <si>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</si>
  <si>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</si>
  <si>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</si>
  <si>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</si>
  <si>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</si>
  <si>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</si>
  <si>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</si>
  <si>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</si>
  <si>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</si>
  <si>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</si>
  <si>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</si>
  <si>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</si>
  <si>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</si>
  <si>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</si>
  <si>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</si>
  <si>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</si>
  <si>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</si>
  <si>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</si>
  <si>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</si>
  <si>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</si>
  <si>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</si>
  <si>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</si>
  <si>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</si>
  <si>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</si>
  <si>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</si>
  <si>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</si>
  <si>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</si>
  <si>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</si>
  <si>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</si>
  <si>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</si>
  <si>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</si>
  <si>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</si>
  <si>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</si>
  <si>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</si>
  <si>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</si>
  <si>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</si>
  <si>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</si>
  <si>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</si>
  <si>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</si>
  <si>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</si>
  <si>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</si>
  <si>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</si>
  <si>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</si>
  <si>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</si>
  <si>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</si>
  <si>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</si>
  <si>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</si>
  <si>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</si>
  <si>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</si>
  <si>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</si>
  <si>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</si>
  <si>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</si>
  <si>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</si>
  <si>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</si>
  <si>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</si>
  <si>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</si>
  <si>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</si>
  <si>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</si>
  <si>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</si>
  <si>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</si>
  <si>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</si>
  <si>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</si>
  <si>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</si>
  <si>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</si>
  <si>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</si>
  <si>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</si>
  <si>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</si>
  <si>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</si>
  <si>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</si>
  <si>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</si>
  <si>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</si>
  <si>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</si>
  <si>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</si>
  <si>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</si>
  <si>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</si>
  <si>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</si>
  <si>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</si>
  <si>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</si>
  <si>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</si>
  <si>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</si>
  <si>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</si>
  <si>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</si>
  <si>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</si>
  <si>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</si>
  <si>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</si>
  <si>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</si>
  <si>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</si>
  <si>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</si>
  <si>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</si>
  <si>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</si>
  <si>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</si>
  <si>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</si>
  <si>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</si>
  <si>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</si>
  <si>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</si>
  <si>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</si>
  <si>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</si>
  <si>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</si>
  <si>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</si>
  <si>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</si>
  <si>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</si>
  <si>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</si>
  <si>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</si>
  <si>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</si>
  <si>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</si>
  <si>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</si>
  <si>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</si>
  <si>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</si>
  <si>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</si>
  <si>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</si>
  <si>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</si>
  <si>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</si>
  <si>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</si>
  <si>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</si>
  <si>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</si>
  <si>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</si>
  <si>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</si>
  <si>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</si>
  <si>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</si>
  <si>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</si>
  <si>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</si>
  <si>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</si>
  <si>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</si>
  <si>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</si>
  <si>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</si>
  <si>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</si>
  <si>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</si>
  <si>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</si>
  <si>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</si>
  <si>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</si>
  <si>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</si>
  <si>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</si>
  <si>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</si>
  <si>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</si>
  <si>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</si>
  <si>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</si>
  <si>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</si>
  <si>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</si>
  <si>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</si>
  <si>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</si>
  <si>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</si>
  <si>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</si>
  <si>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</si>
  <si>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</si>
  <si>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</si>
  <si>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</si>
  <si>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</si>
  <si>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</si>
  <si>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</si>
  <si>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</si>
  <si>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</si>
  <si>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</si>
  <si>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</si>
  <si>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</si>
  <si>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</si>
  <si>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</si>
  <si>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</si>
  <si>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</si>
  <si>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</si>
  <si>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</si>
  <si>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</si>
  <si>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</si>
  <si>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</si>
  <si>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</si>
  <si>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</si>
  <si>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</si>
  <si>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</si>
  <si>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</si>
  <si>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</si>
  <si>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</si>
  <si>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</si>
  <si>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</si>
  <si>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</si>
  <si>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</si>
  <si>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</si>
  <si>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</si>
  <si>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</si>
  <si>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</si>
  <si>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</si>
  <si>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</si>
  <si>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</si>
  <si>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</si>
  <si>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</si>
  <si>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</si>
  <si>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</si>
  <si>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</si>
  <si>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</si>
  <si>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</si>
  <si>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</si>
  <si>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</si>
  <si>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</si>
  <si>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</si>
  <si>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</si>
  <si>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</si>
  <si>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</si>
  <si>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</si>
  <si>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</si>
  <si>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</si>
  <si>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</si>
  <si>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</si>
  <si>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</si>
  <si>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</si>
  <si>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</si>
  <si>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</si>
  <si>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</si>
  <si>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</si>
  <si>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</si>
  <si>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</si>
  <si>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</si>
  <si>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</si>
  <si>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</si>
  <si>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</si>
  <si>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</si>
  <si>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</si>
  <si>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</si>
  <si>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</si>
  <si>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</si>
  <si>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</si>
  <si>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</si>
  <si>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</si>
  <si>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</si>
  <si>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</si>
  <si>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</si>
  <si>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</si>
  <si>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</si>
  <si>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</si>
  <si>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</si>
  <si>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</si>
  <si>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</si>
  <si>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</si>
  <si>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</si>
  <si>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</si>
  <si>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</si>
  <si>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</si>
  <si>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</si>
  <si>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</si>
  <si>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</si>
  <si>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</si>
  <si>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</si>
  <si>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</si>
  <si>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</si>
  <si>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</si>
  <si>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</si>
  <si>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</si>
  <si>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</si>
  <si>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</si>
  <si>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</si>
  <si>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</si>
  <si>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</si>
  <si>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</si>
  <si>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</si>
  <si>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</si>
  <si>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</si>
  <si>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</si>
  <si>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</si>
  <si>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</si>
  <si>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</si>
  <si>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</si>
  <si>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</si>
  <si>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</si>
  <si>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</si>
  <si>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</si>
  <si>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</si>
  <si>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</si>
  <si>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</si>
  <si>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</si>
  <si>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</si>
  <si>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</si>
  <si>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</si>
  <si>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</si>
  <si>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</si>
  <si>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</si>
  <si>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</si>
  <si>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</si>
  <si>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</si>
  <si>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</si>
  <si>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</si>
  <si>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</si>
  <si>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</si>
  <si>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</si>
  <si>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</si>
  <si>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</si>
  <si>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</si>
  <si>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</si>
  <si>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</si>
  <si>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</si>
  <si>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</si>
  <si>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</si>
  <si>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</si>
  <si>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</si>
  <si>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</si>
  <si>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</si>
  <si>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</si>
  <si>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</si>
  <si>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</si>
  <si>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</si>
  <si>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</si>
  <si>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</si>
  <si>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</si>
  <si>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</si>
  <si>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</si>
  <si>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</si>
  <si>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</si>
  <si>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</si>
  <si>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</si>
  <si>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</si>
  <si>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</si>
  <si>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</si>
  <si>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</si>
  <si>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</si>
  <si>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</si>
  <si>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</si>
  <si>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</si>
  <si>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</si>
  <si>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</si>
  <si>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</si>
  <si>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</si>
  <si>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</si>
  <si>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</si>
  <si>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</si>
  <si>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</si>
  <si>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</si>
  <si>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</si>
  <si>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</si>
  <si>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</si>
  <si>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</si>
  <si>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</si>
  <si>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</si>
  <si>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</si>
  <si>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</si>
  <si>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</si>
  <si>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</si>
  <si>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</si>
  <si>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</si>
  <si>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</si>
  <si>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</si>
  <si>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</si>
  <si>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</si>
  <si>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</si>
  <si>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</si>
  <si>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</si>
  <si>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</si>
  <si>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</si>
  <si>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</si>
  <si>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</si>
  <si>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</si>
  <si>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</si>
  <si>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</si>
  <si>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</si>
  <si>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</si>
  <si>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</si>
  <si>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</si>
  <si>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</si>
  <si>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</si>
  <si>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</si>
  <si>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</si>
  <si>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</si>
  <si>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</si>
  <si>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</si>
  <si>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</si>
  <si>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</si>
  <si>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</si>
  <si>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</si>
  <si>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</si>
  <si>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</si>
  <si>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</si>
  <si>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</si>
  <si>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</si>
  <si>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</si>
  <si>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</si>
  <si>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</si>
  <si>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</si>
  <si>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</si>
  <si>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</si>
  <si>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</si>
  <si>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</si>
  <si>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</si>
  <si>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</si>
  <si>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</si>
  <si>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</si>
  <si>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</si>
  <si>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</si>
  <si>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</si>
  <si>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</si>
  <si>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</si>
  <si>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</si>
  <si>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</si>
  <si>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</si>
  <si>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</si>
  <si>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</si>
  <si>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</si>
  <si>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</si>
  <si>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</si>
  <si>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</si>
  <si>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</si>
  <si>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</si>
  <si>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</si>
  <si>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</si>
  <si>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</si>
  <si>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</si>
  <si>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</si>
  <si>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</si>
  <si>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</si>
  <si>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</si>
  <si>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</si>
  <si>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</si>
  <si>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</si>
  <si>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</si>
  <si>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</si>
  <si>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</si>
  <si>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</si>
  <si>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</si>
  <si>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</si>
  <si>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</si>
  <si>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</si>
  <si>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</si>
  <si>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</si>
  <si>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</si>
  <si>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</si>
  <si>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</si>
  <si>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</si>
  <si>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</si>
  <si>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</si>
  <si>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</si>
  <si>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</si>
  <si>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</si>
  <si>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</si>
  <si>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</si>
  <si>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</si>
  <si>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</si>
  <si>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</si>
  <si>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</si>
  <si>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</si>
  <si>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</si>
  <si>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</si>
  <si>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</si>
  <si>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</si>
  <si>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</si>
  <si>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</si>
  <si>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</si>
  <si>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</si>
  <si>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</si>
  <si>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</si>
  <si>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</si>
  <si>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</si>
  <si>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</si>
  <si>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</si>
  <si>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</si>
  <si>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</si>
  <si>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</si>
  <si>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</si>
  <si>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</si>
  <si>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</si>
  <si>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</si>
  <si>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</si>
  <si>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</si>
  <si>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</si>
  <si>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</si>
  <si>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</si>
  <si>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</si>
  <si>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</si>
  <si>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</si>
  <si>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</si>
  <si>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</si>
  <si>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</si>
  <si>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</si>
  <si>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</si>
  <si>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</si>
  <si>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</si>
  <si>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</si>
  <si>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</si>
  <si>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</si>
  <si>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</si>
  <si>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</si>
  <si>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</si>
  <si>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</si>
  <si>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</si>
  <si>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</si>
  <si>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</si>
  <si>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</si>
  <si>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</si>
  <si>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</si>
  <si>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</si>
  <si>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</si>
  <si>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</si>
  <si>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</si>
  <si>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</si>
  <si>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</si>
  <si>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</si>
  <si>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</si>
  <si>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</si>
  <si>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</si>
  <si>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</si>
  <si>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</si>
  <si>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</si>
  <si>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</si>
  <si>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</si>
  <si>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</si>
  <si>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</si>
  <si>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</si>
  <si>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</si>
  <si>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</si>
  <si>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</si>
  <si>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</si>
  <si>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</si>
  <si>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</si>
  <si>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</si>
  <si>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</si>
  <si>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</si>
  <si>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</si>
  <si>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</si>
  <si>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</si>
  <si>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</si>
  <si>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</si>
  <si>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</si>
  <si>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</si>
  <si>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</si>
  <si>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</si>
  <si>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</si>
  <si>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</si>
  <si>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</si>
  <si>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</si>
  <si>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</si>
  <si>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</si>
  <si>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</si>
  <si>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</si>
  <si>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</si>
  <si>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</si>
  <si>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</si>
  <si>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</si>
  <si>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</si>
  <si>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</si>
  <si>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</si>
  <si>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</si>
  <si>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</si>
  <si>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</si>
  <si>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</si>
  <si>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</si>
  <si>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</si>
  <si>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</si>
  <si>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</si>
  <si>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</si>
  <si>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</si>
  <si>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</si>
  <si>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</si>
  <si>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</si>
  <si>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</si>
  <si>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</si>
  <si>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</si>
  <si>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</si>
  <si>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</si>
  <si>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</si>
  <si>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</si>
  <si>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</si>
  <si>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</si>
  <si>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</si>
  <si>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</si>
  <si>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</si>
  <si>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</si>
  <si>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</si>
  <si>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</si>
  <si>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</si>
  <si>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</si>
  <si>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</si>
  <si>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</si>
  <si>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</si>
  <si>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</si>
  <si>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</si>
  <si>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</si>
  <si>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</si>
  <si>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</si>
  <si>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</si>
  <si>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</si>
  <si>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</si>
  <si>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</si>
  <si>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</si>
  <si>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</si>
  <si>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</si>
  <si>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</si>
  <si>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</si>
  <si>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</si>
  <si>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</si>
  <si>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</si>
  <si>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</si>
  <si>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</si>
  <si>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</si>
  <si>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</si>
  <si>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</si>
  <si>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</si>
  <si>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</si>
  <si>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</si>
  <si>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</si>
  <si>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</si>
  <si>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</si>
  <si>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</si>
  <si>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</si>
  <si>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</si>
  <si>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</si>
  <si>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</si>
  <si>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</si>
  <si>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</si>
  <si>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</si>
  <si>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</si>
  <si>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</si>
  <si>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</si>
  <si>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</si>
  <si>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</si>
  <si>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</si>
  <si>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</si>
  <si>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</si>
  <si>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</si>
  <si>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</si>
  <si>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</si>
  <si>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</si>
  <si>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</si>
  <si>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</si>
  <si>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</si>
  <si>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</si>
  <si>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</si>
  <si>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</si>
  <si>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</si>
  <si>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</si>
  <si>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</si>
  <si>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</si>
  <si>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</si>
  <si>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</si>
  <si>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</si>
  <si>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</si>
  <si>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</si>
  <si>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</si>
  <si>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</si>
  <si>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</si>
  <si>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</si>
  <si>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</si>
  <si>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</si>
  <si>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</si>
  <si>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</si>
  <si>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</si>
  <si>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</si>
  <si>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</si>
  <si>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</si>
  <si>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</si>
  <si>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</si>
  <si>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</si>
  <si>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</si>
  <si>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</si>
  <si>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</si>
  <si>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</si>
  <si>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</si>
  <si>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</si>
  <si>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</si>
  <si>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</si>
  <si>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</si>
  <si>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</si>
  <si>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</si>
  <si>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</si>
  <si>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</si>
  <si>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</si>
  <si>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</si>
  <si>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</si>
  <si>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</si>
  <si>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</si>
  <si>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</si>
  <si>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</si>
  <si>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</si>
  <si>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</si>
  <si>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</si>
  <si>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</si>
  <si>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</si>
  <si>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</si>
  <si>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</si>
  <si>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</si>
  <si>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</si>
  <si>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</si>
  <si>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</si>
  <si>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</si>
  <si>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</si>
  <si>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</si>
  <si>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</si>
  <si>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</si>
  <si>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</si>
  <si>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</si>
  <si>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</si>
  <si>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</si>
  <si>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</si>
  <si>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</si>
  <si>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</si>
  <si>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</si>
  <si>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</si>
  <si>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</si>
  <si>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</si>
  <si>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</si>
  <si>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</si>
  <si>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</si>
  <si>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</si>
  <si>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</si>
  <si>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</si>
  <si>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</si>
  <si>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</si>
  <si>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</si>
  <si>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</si>
  <si>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</si>
  <si>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</si>
  <si>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</si>
  <si>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</si>
  <si>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</si>
  <si>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</si>
  <si>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</si>
  <si>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</si>
  <si>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</si>
  <si>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</si>
  <si>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</si>
  <si>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</si>
  <si>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</si>
  <si>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</si>
  <si>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</si>
  <si>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</si>
  <si>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</si>
  <si>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</si>
  <si>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</si>
  <si>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</si>
  <si>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</si>
  <si>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</si>
  <si>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</si>
  <si>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</si>
  <si>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</si>
  <si>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</si>
  <si>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</si>
  <si>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</si>
  <si>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</si>
  <si>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</si>
  <si>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</si>
  <si>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</si>
  <si>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</si>
  <si>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</si>
  <si>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</si>
  <si>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</si>
  <si>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</si>
  <si>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</si>
  <si>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</si>
  <si>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</si>
  <si>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</si>
  <si>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</si>
  <si>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</si>
  <si>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</si>
  <si>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</si>
  <si>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</si>
  <si>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</si>
  <si>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</si>
  <si>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</si>
  <si>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</si>
  <si>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</si>
  <si>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</si>
  <si>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</si>
  <si>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</si>
  <si>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</si>
  <si>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</si>
  <si>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</si>
  <si>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</si>
  <si>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</si>
  <si>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</si>
  <si>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</si>
  <si>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</si>
  <si>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</si>
  <si>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</si>
  <si>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</si>
  <si>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</si>
  <si>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</si>
  <si>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</si>
  <si>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</si>
  <si>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</si>
  <si>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</si>
  <si>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</si>
  <si>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</si>
  <si>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</si>
  <si>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</si>
  <si>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</si>
  <si>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</si>
  <si>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</si>
  <si>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</si>
  <si>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</si>
  <si>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</si>
  <si>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</si>
  <si>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</si>
  <si>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</si>
  <si>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</si>
  <si>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</si>
  <si>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</si>
  <si>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</si>
  <si>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</si>
  <si>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</si>
  <si>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</si>
  <si>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</si>
  <si>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</si>
  <si>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</si>
  <si>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</si>
  <si>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</si>
  <si>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</si>
  <si>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</si>
  <si>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</si>
  <si>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</si>
  <si>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</si>
  <si>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11024</t>
  </si>
  <si>
    <t>KONTICH</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</si>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</sst>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11024</v>
      </c>
      <c r="B6" s="397"/>
      <c r="C6" s="398"/>
    </row>
    <row r="7" spans="1:7" s="395" customFormat="1" ht="15.75" customHeight="1">
      <c r="A7" s="399" t="str">
        <f>txtMunicipality</f>
        <v>KONTICH</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0.21487296517501908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0.21487296517501908</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8361</v>
      </c>
      <c r="C9" s="338">
        <v>8491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900</v>
      </c>
    </row>
    <row r="15" spans="1:6">
      <c r="A15" s="1286" t="s">
        <v>184</v>
      </c>
      <c r="B15" s="335">
        <v>349</v>
      </c>
    </row>
    <row r="16" spans="1:6">
      <c r="A16" s="1286" t="s">
        <v>6</v>
      </c>
      <c r="B16" s="335">
        <v>760</v>
      </c>
    </row>
    <row r="17" spans="1:6">
      <c r="A17" s="1286" t="s">
        <v>7</v>
      </c>
      <c r="B17" s="335">
        <v>77</v>
      </c>
    </row>
    <row r="18" spans="1:6">
      <c r="A18" s="1286" t="s">
        <v>8</v>
      </c>
      <c r="B18" s="335">
        <v>488</v>
      </c>
    </row>
    <row r="19" spans="1:6">
      <c r="A19" s="1286" t="s">
        <v>9</v>
      </c>
      <c r="B19" s="335">
        <v>457</v>
      </c>
    </row>
    <row r="20" spans="1:6">
      <c r="A20" s="1286" t="s">
        <v>10</v>
      </c>
      <c r="B20" s="335">
        <v>392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168</v>
      </c>
    </row>
    <row r="27" spans="1:6">
      <c r="A27" s="1286" t="s">
        <v>17</v>
      </c>
      <c r="B27" s="335">
        <v>3</v>
      </c>
    </row>
    <row r="28" spans="1:6" s="341" customFormat="1">
      <c r="A28" s="1287" t="s">
        <v>18</v>
      </c>
      <c r="B28" s="1287">
        <v>0</v>
      </c>
    </row>
    <row r="29" spans="1:6">
      <c r="A29" s="1287" t="s">
        <v>944</v>
      </c>
      <c r="B29" s="1287">
        <v>67</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24875787.227079701</v>
      </c>
      <c r="E38" s="335">
        <v>5</v>
      </c>
      <c r="F38" s="335">
        <v>332242.16489653703</v>
      </c>
    </row>
    <row r="39" spans="1:6">
      <c r="A39" s="1286" t="s">
        <v>30</v>
      </c>
      <c r="B39" s="1286" t="s">
        <v>31</v>
      </c>
      <c r="C39" s="335">
        <v>6702</v>
      </c>
      <c r="D39" s="335">
        <v>125233175.972124</v>
      </c>
      <c r="E39" s="335">
        <v>8329</v>
      </c>
      <c r="F39" s="335">
        <v>36564989.051231898</v>
      </c>
    </row>
    <row r="40" spans="1:6">
      <c r="A40" s="1286" t="s">
        <v>30</v>
      </c>
      <c r="B40" s="1286" t="s">
        <v>29</v>
      </c>
      <c r="C40" s="335">
        <v>0</v>
      </c>
      <c r="D40" s="335">
        <v>0</v>
      </c>
      <c r="E40" s="335">
        <v>1</v>
      </c>
      <c r="F40" s="335">
        <v>0.33558744629999998</v>
      </c>
    </row>
    <row r="41" spans="1:6">
      <c r="A41" s="1286" t="s">
        <v>32</v>
      </c>
      <c r="B41" s="1286" t="s">
        <v>33</v>
      </c>
      <c r="C41" s="335">
        <v>71</v>
      </c>
      <c r="D41" s="335">
        <v>5702413.0648296103</v>
      </c>
      <c r="E41" s="335">
        <v>144</v>
      </c>
      <c r="F41" s="335">
        <v>3516360.4101148802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195120.71944039001</v>
      </c>
      <c r="E44" s="335">
        <v>20</v>
      </c>
      <c r="F44" s="335">
        <v>437476.150985574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145236.57982493201</v>
      </c>
      <c r="E47" s="335">
        <v>5</v>
      </c>
      <c r="F47" s="335">
        <v>1644127.26585828</v>
      </c>
    </row>
    <row r="48" spans="1:6">
      <c r="A48" s="1286" t="s">
        <v>32</v>
      </c>
      <c r="B48" s="1286" t="s">
        <v>29</v>
      </c>
      <c r="C48" s="335">
        <v>39</v>
      </c>
      <c r="D48" s="335">
        <v>5693090.5754053704</v>
      </c>
      <c r="E48" s="335">
        <v>36</v>
      </c>
      <c r="F48" s="335">
        <v>4288478.0836240798</v>
      </c>
    </row>
    <row r="49" spans="1:6">
      <c r="A49" s="1286" t="s">
        <v>32</v>
      </c>
      <c r="B49" s="1286" t="s">
        <v>40</v>
      </c>
      <c r="C49" s="335">
        <v>0</v>
      </c>
      <c r="D49" s="335">
        <v>0</v>
      </c>
      <c r="E49" s="335">
        <v>4</v>
      </c>
      <c r="F49" s="335">
        <v>164504.86154821399</v>
      </c>
    </row>
    <row r="50" spans="1:6">
      <c r="A50" s="1286" t="s">
        <v>32</v>
      </c>
      <c r="B50" s="1286" t="s">
        <v>41</v>
      </c>
      <c r="C50" s="335">
        <v>16</v>
      </c>
      <c r="D50" s="335">
        <v>2320409.5466237799</v>
      </c>
      <c r="E50" s="335">
        <v>17</v>
      </c>
      <c r="F50" s="335">
        <v>1787882.3104236701</v>
      </c>
    </row>
    <row r="51" spans="1:6">
      <c r="A51" s="1286" t="s">
        <v>42</v>
      </c>
      <c r="B51" s="1286" t="s">
        <v>43</v>
      </c>
      <c r="C51" s="335">
        <v>7</v>
      </c>
      <c r="D51" s="335">
        <v>71550069.108834594</v>
      </c>
      <c r="E51" s="335">
        <v>54</v>
      </c>
      <c r="F51" s="335">
        <v>1286832.17113183</v>
      </c>
    </row>
    <row r="52" spans="1:6">
      <c r="A52" s="1286" t="s">
        <v>42</v>
      </c>
      <c r="B52" s="1286" t="s">
        <v>29</v>
      </c>
      <c r="C52" s="335">
        <v>3</v>
      </c>
      <c r="D52" s="335">
        <v>28776.3997643984</v>
      </c>
      <c r="E52" s="335">
        <v>8</v>
      </c>
      <c r="F52" s="335">
        <v>198735.99566356899</v>
      </c>
    </row>
    <row r="53" spans="1:6">
      <c r="A53" s="1286" t="s">
        <v>44</v>
      </c>
      <c r="B53" s="1286" t="s">
        <v>45</v>
      </c>
      <c r="C53" s="335">
        <v>133</v>
      </c>
      <c r="D53" s="335">
        <v>4128531.9186262698</v>
      </c>
      <c r="E53" s="335">
        <v>243</v>
      </c>
      <c r="F53" s="335">
        <v>1220147.4369075701</v>
      </c>
    </row>
    <row r="54" spans="1:6">
      <c r="A54" s="1286" t="s">
        <v>46</v>
      </c>
      <c r="B54" s="1286" t="s">
        <v>47</v>
      </c>
      <c r="C54" s="335">
        <v>0</v>
      </c>
      <c r="D54" s="335">
        <v>0</v>
      </c>
      <c r="E54" s="335">
        <v>1</v>
      </c>
      <c r="F54" s="335">
        <v>1347917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4197863.76932975</v>
      </c>
      <c r="E57" s="335">
        <v>66</v>
      </c>
      <c r="F57" s="335">
        <v>2520477.4728961098</v>
      </c>
    </row>
    <row r="58" spans="1:6">
      <c r="A58" s="1286" t="s">
        <v>49</v>
      </c>
      <c r="B58" s="1286" t="s">
        <v>51</v>
      </c>
      <c r="C58" s="335">
        <v>38</v>
      </c>
      <c r="D58" s="335">
        <v>3015839.1981084002</v>
      </c>
      <c r="E58" s="335">
        <v>47</v>
      </c>
      <c r="F58" s="335">
        <v>1163472.23510105</v>
      </c>
    </row>
    <row r="59" spans="1:6">
      <c r="A59" s="1286" t="s">
        <v>49</v>
      </c>
      <c r="B59" s="1286" t="s">
        <v>52</v>
      </c>
      <c r="C59" s="335">
        <v>168</v>
      </c>
      <c r="D59" s="335">
        <v>21348851.746643499</v>
      </c>
      <c r="E59" s="335">
        <v>302</v>
      </c>
      <c r="F59" s="335">
        <v>17189635.330011699</v>
      </c>
    </row>
    <row r="60" spans="1:6">
      <c r="A60" s="1286" t="s">
        <v>49</v>
      </c>
      <c r="B60" s="1286" t="s">
        <v>53</v>
      </c>
      <c r="C60" s="335">
        <v>56</v>
      </c>
      <c r="D60" s="335">
        <v>3232869.99320644</v>
      </c>
      <c r="E60" s="335">
        <v>64</v>
      </c>
      <c r="F60" s="335">
        <v>2358016.76242417</v>
      </c>
    </row>
    <row r="61" spans="1:6">
      <c r="A61" s="1286" t="s">
        <v>49</v>
      </c>
      <c r="B61" s="1286" t="s">
        <v>54</v>
      </c>
      <c r="C61" s="335">
        <v>251</v>
      </c>
      <c r="D61" s="335">
        <v>18788387.327971499</v>
      </c>
      <c r="E61" s="335">
        <v>508</v>
      </c>
      <c r="F61" s="335">
        <v>17906136.2175292</v>
      </c>
    </row>
    <row r="62" spans="1:6">
      <c r="A62" s="1286" t="s">
        <v>49</v>
      </c>
      <c r="B62" s="1286" t="s">
        <v>55</v>
      </c>
      <c r="C62" s="335">
        <v>10</v>
      </c>
      <c r="D62" s="335">
        <v>1544735.0887653099</v>
      </c>
      <c r="E62" s="335">
        <v>12</v>
      </c>
      <c r="F62" s="335">
        <v>794755.13464083802</v>
      </c>
    </row>
    <row r="63" spans="1:6">
      <c r="A63" s="1286" t="s">
        <v>49</v>
      </c>
      <c r="B63" s="1286" t="s">
        <v>29</v>
      </c>
      <c r="C63" s="335">
        <v>115</v>
      </c>
      <c r="D63" s="335">
        <v>18421495.409244999</v>
      </c>
      <c r="E63" s="335">
        <v>113</v>
      </c>
      <c r="F63" s="335">
        <v>3525379.3838026598</v>
      </c>
    </row>
    <row r="64" spans="1:6">
      <c r="A64" s="1286" t="s">
        <v>56</v>
      </c>
      <c r="B64" s="1286" t="s">
        <v>57</v>
      </c>
      <c r="C64" s="335">
        <v>0</v>
      </c>
      <c r="D64" s="335">
        <v>0</v>
      </c>
      <c r="E64" s="335">
        <v>0</v>
      </c>
      <c r="F64" s="335">
        <v>0</v>
      </c>
    </row>
    <row r="65" spans="1:6">
      <c r="A65" s="1286" t="s">
        <v>56</v>
      </c>
      <c r="B65" s="1286" t="s">
        <v>29</v>
      </c>
      <c r="C65" s="335">
        <v>1</v>
      </c>
      <c r="D65" s="335">
        <v>36561.283324118398</v>
      </c>
      <c r="E65" s="335">
        <v>1</v>
      </c>
      <c r="F65" s="335">
        <v>6233.4696916231997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45813.591112468501</v>
      </c>
      <c r="E68" s="335">
        <v>8</v>
      </c>
      <c r="F68" s="335">
        <v>231225.80618697501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134354633</v>
      </c>
      <c r="E73" s="335">
        <v>148925219.32812622</v>
      </c>
    </row>
    <row r="74" spans="1:6">
      <c r="A74" s="1286" t="s">
        <v>64</v>
      </c>
      <c r="B74" s="1286" t="s">
        <v>772</v>
      </c>
      <c r="C74" s="1297" t="s">
        <v>766</v>
      </c>
      <c r="D74" s="335">
        <v>22317768.940452613</v>
      </c>
      <c r="E74" s="335">
        <v>23405748.638200089</v>
      </c>
    </row>
    <row r="75" spans="1:6">
      <c r="A75" s="1286" t="s">
        <v>65</v>
      </c>
      <c r="B75" s="1286" t="s">
        <v>771</v>
      </c>
      <c r="C75" s="1297" t="s">
        <v>767</v>
      </c>
      <c r="D75" s="335">
        <v>32312562</v>
      </c>
      <c r="E75" s="335">
        <v>34751155.99941092</v>
      </c>
    </row>
    <row r="76" spans="1:6">
      <c r="A76" s="1286" t="s">
        <v>65</v>
      </c>
      <c r="B76" s="1286" t="s">
        <v>772</v>
      </c>
      <c r="C76" s="1297" t="s">
        <v>768</v>
      </c>
      <c r="D76" s="335">
        <v>3503060.9404526134</v>
      </c>
      <c r="E76" s="335">
        <v>3670357.6113872821</v>
      </c>
    </row>
    <row r="77" spans="1:6">
      <c r="A77" s="1286" t="s">
        <v>66</v>
      </c>
      <c r="B77" s="1286" t="s">
        <v>771</v>
      </c>
      <c r="C77" s="1297" t="s">
        <v>769</v>
      </c>
      <c r="D77" s="335">
        <v>195309524</v>
      </c>
      <c r="E77" s="335">
        <v>229290403.7434665</v>
      </c>
    </row>
    <row r="78" spans="1:6">
      <c r="A78" s="1282" t="s">
        <v>66</v>
      </c>
      <c r="B78" s="1282" t="s">
        <v>772</v>
      </c>
      <c r="C78" s="1282" t="s">
        <v>770</v>
      </c>
      <c r="D78" s="1282">
        <v>21085727</v>
      </c>
      <c r="E78" s="1282">
        <v>26157884.905600578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581896.11909477331</v>
      </c>
      <c r="C83" s="335">
        <v>547762.94476341119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2522.9604743292907</v>
      </c>
    </row>
    <row r="92" spans="1:6">
      <c r="A92" s="1282" t="s">
        <v>69</v>
      </c>
      <c r="B92" s="338">
        <v>4077.3720809422566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5036</v>
      </c>
    </row>
    <row r="98" spans="1:6">
      <c r="A98" s="1286" t="s">
        <v>72</v>
      </c>
      <c r="B98" s="335">
        <v>8</v>
      </c>
    </row>
    <row r="99" spans="1:6">
      <c r="A99" s="1286" t="s">
        <v>73</v>
      </c>
      <c r="B99" s="335">
        <v>24</v>
      </c>
    </row>
    <row r="100" spans="1:6">
      <c r="A100" s="1286" t="s">
        <v>74</v>
      </c>
      <c r="B100" s="335">
        <v>636</v>
      </c>
    </row>
    <row r="101" spans="1:6">
      <c r="A101" s="1286" t="s">
        <v>75</v>
      </c>
      <c r="B101" s="335">
        <v>60</v>
      </c>
    </row>
    <row r="102" spans="1:6">
      <c r="A102" s="1286" t="s">
        <v>76</v>
      </c>
      <c r="B102" s="335">
        <v>89</v>
      </c>
    </row>
    <row r="103" spans="1:6">
      <c r="A103" s="1286" t="s">
        <v>77</v>
      </c>
      <c r="B103" s="335">
        <v>100</v>
      </c>
    </row>
    <row r="104" spans="1:6">
      <c r="A104" s="1286" t="s">
        <v>78</v>
      </c>
      <c r="B104" s="335">
        <v>1453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109571.90008435701</v>
      </c>
      <c r="C3" s="44" t="s">
        <v>170</v>
      </c>
      <c r="D3" s="44"/>
      <c r="E3" s="157"/>
      <c r="F3" s="44"/>
      <c r="G3" s="44"/>
      <c r="H3" s="44"/>
      <c r="I3" s="44"/>
      <c r="J3" s="44"/>
      <c r="K3" s="97"/>
    </row>
    <row r="4" spans="1:11">
      <c r="A4" s="365" t="s">
        <v>171</v>
      </c>
      <c r="B4" s="50">
        <f>IF(ISERROR('SEAP template'!B78+'SEAP template'!C78),0,'SEAP template'!B78+'SEAP template'!C78)</f>
        <v>53895.332555271547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11239.517647058825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0.21487296517501908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16056.453781512606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1347.9169999999999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1347.9169999999999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0.21487296517501908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289.63092259981619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36564.989386819347</v>
      </c>
      <c r="C5" s="18">
        <f>IF(ISERROR('Eigen informatie GS &amp; warmtenet'!B57),0,'Eigen informatie GS &amp; warmtenet'!B57)</f>
        <v>0</v>
      </c>
      <c r="D5" s="31">
        <f>(SUM(HH_hh_gas_kWh,HH_rest_gas_kWh)/1000)*0.902</f>
        <v>112960.32472685585</v>
      </c>
      <c r="E5" s="18">
        <f>B46*B57</f>
        <v>1212.7381980000671</v>
      </c>
      <c r="F5" s="18">
        <f>B51*B62</f>
        <v>0</v>
      </c>
      <c r="G5" s="19"/>
      <c r="H5" s="18"/>
      <c r="I5" s="18"/>
      <c r="J5" s="18">
        <f>B50*B61+C50*C61</f>
        <v>0</v>
      </c>
      <c r="K5" s="18"/>
      <c r="L5" s="18"/>
      <c r="M5" s="18"/>
      <c r="N5" s="18">
        <f>B48*B59+C48*C59</f>
        <v>9846.046898656261</v>
      </c>
      <c r="O5" s="18">
        <f>B69*B70*B71</f>
        <v>107.87</v>
      </c>
      <c r="P5" s="18">
        <f>B77*B78*B79/1000-B77*B78*B79/1000/B80</f>
        <v>152.53333333333333</v>
      </c>
    </row>
    <row r="6" spans="1:16">
      <c r="A6" s="17" t="s">
        <v>639</v>
      </c>
      <c r="B6" s="780">
        <f>kWh_PV_kleiner_dan_10kW</f>
        <v>2522.9604743292907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39087.949861148634</v>
      </c>
      <c r="C8" s="22">
        <f>C5</f>
        <v>0</v>
      </c>
      <c r="D8" s="22">
        <f>D5</f>
        <v>112960.32472685585</v>
      </c>
      <c r="E8" s="22">
        <f>E5</f>
        <v>1212.7381980000671</v>
      </c>
      <c r="F8" s="22">
        <f>F5</f>
        <v>0</v>
      </c>
      <c r="G8" s="22"/>
      <c r="H8" s="22"/>
      <c r="I8" s="22"/>
      <c r="J8" s="22">
        <f>J5</f>
        <v>0</v>
      </c>
      <c r="K8" s="22"/>
      <c r="L8" s="22">
        <f>L5</f>
        <v>0</v>
      </c>
      <c r="M8" s="22">
        <f>M5</f>
        <v>0</v>
      </c>
      <c r="N8" s="22">
        <f>N5</f>
        <v>9846.046898656261</v>
      </c>
      <c r="O8" s="22">
        <f>O5</f>
        <v>107.87</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0.21487296517501908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8398.9436892774829</v>
      </c>
      <c r="C12" s="24">
        <f ca="1">C10*C8</f>
        <v>0</v>
      </c>
      <c r="D12" s="24">
        <f>D8*D10</f>
        <v>22817.985594824884</v>
      </c>
      <c r="E12" s="24">
        <f>E10*E8</f>
        <v>275.29157094601521</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5036</v>
      </c>
      <c r="C18" s="169" t="s">
        <v>111</v>
      </c>
      <c r="D18" s="231"/>
      <c r="E18" s="16"/>
    </row>
    <row r="19" spans="1:7">
      <c r="A19" s="174" t="s">
        <v>72</v>
      </c>
      <c r="B19" s="38">
        <f>aantalw2001_ander</f>
        <v>8</v>
      </c>
      <c r="C19" s="169" t="s">
        <v>111</v>
      </c>
      <c r="D19" s="232"/>
      <c r="E19" s="16"/>
    </row>
    <row r="20" spans="1:7">
      <c r="A20" s="174" t="s">
        <v>73</v>
      </c>
      <c r="B20" s="38">
        <f>aantalw2001_propaan</f>
        <v>24</v>
      </c>
      <c r="C20" s="170">
        <f>IF(ISERROR(B20/SUM($B$20,$B$21,$B$22)*100),0,B20/SUM($B$20,$B$21,$B$22)*100)</f>
        <v>3.3333333333333335</v>
      </c>
      <c r="D20" s="232"/>
      <c r="E20" s="16"/>
    </row>
    <row r="21" spans="1:7">
      <c r="A21" s="174" t="s">
        <v>74</v>
      </c>
      <c r="B21" s="38">
        <f>aantalw2001_elektriciteit</f>
        <v>636</v>
      </c>
      <c r="C21" s="170">
        <f>IF(ISERROR(B21/SUM($B$20,$B$21,$B$22)*100),0,B21/SUM($B$20,$B$21,$B$22)*100)</f>
        <v>88.333333333333329</v>
      </c>
      <c r="D21" s="232"/>
      <c r="E21" s="16"/>
    </row>
    <row r="22" spans="1:7">
      <c r="A22" s="174" t="s">
        <v>75</v>
      </c>
      <c r="B22" s="38">
        <f>aantalw2001_hout</f>
        <v>60</v>
      </c>
      <c r="C22" s="170">
        <f>IF(ISERROR(B22/SUM($B$20,$B$21,$B$22)*100),0,B22/SUM($B$20,$B$21,$B$22)*100)</f>
        <v>8.3333333333333321</v>
      </c>
      <c r="D22" s="232"/>
      <c r="E22" s="16"/>
    </row>
    <row r="23" spans="1:7">
      <c r="A23" s="174" t="s">
        <v>76</v>
      </c>
      <c r="B23" s="38">
        <f>aantalw2001_niet_gespec</f>
        <v>89</v>
      </c>
      <c r="C23" s="169" t="s">
        <v>111</v>
      </c>
      <c r="D23" s="231"/>
      <c r="E23" s="16"/>
    </row>
    <row r="24" spans="1:7">
      <c r="A24" s="174" t="s">
        <v>77</v>
      </c>
      <c r="B24" s="38">
        <f>aantalw2001_steenkool</f>
        <v>100</v>
      </c>
      <c r="C24" s="169" t="s">
        <v>111</v>
      </c>
      <c r="D24" s="232"/>
      <c r="E24" s="16"/>
    </row>
    <row r="25" spans="1:7">
      <c r="A25" s="174" t="s">
        <v>78</v>
      </c>
      <c r="B25" s="38">
        <f>aantalw2001_stookolie</f>
        <v>1453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8361</v>
      </c>
      <c r="C28" s="37"/>
      <c r="D28" s="231"/>
    </row>
    <row r="29" spans="1:7" s="16" customFormat="1">
      <c r="A29" s="233" t="s">
        <v>666</v>
      </c>
      <c r="B29" s="38">
        <f>SUM(HH_hh_gas_aantal,HH_rest_gas_aantal)</f>
        <v>6702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6702</v>
      </c>
      <c r="C32" s="170">
        <f>IF(ISERROR(B32/SUM($B$32,$B$34,$B$35,$B$36,$B$38,$B$39)*100),0,B32/SUM($B$32,$B$34,$B$35,$B$36,$B$38,$B$39)*100)</f>
        <v>80.234646234885659</v>
      </c>
      <c r="D32" s="236"/>
      <c r="G32" s="16"/>
    </row>
    <row r="33" spans="1:7">
      <c r="A33" s="174" t="s">
        <v>72</v>
      </c>
      <c r="B33" s="35" t="s">
        <v>111</v>
      </c>
      <c r="C33" s="170"/>
      <c r="D33" s="236"/>
      <c r="G33" s="16"/>
    </row>
    <row r="34" spans="1:7">
      <c r="A34" s="174" t="s">
        <v>73</v>
      </c>
      <c r="B34" s="34">
        <f>IF((($B$28-$B$32-$B$39-$B$77-$B$38)*C20/100)&lt;0,0,($B$28-$B$32-$B$39-$B$77-$B$38)*C20/100)</f>
        <v>55.033333333333339</v>
      </c>
      <c r="C34" s="170">
        <f>IF(ISERROR(B34/SUM($B$32,$B$34,$B$35,$B$36,$B$38,$B$39)*100),0,B34/SUM($B$32,$B$34,$B$35,$B$36,$B$38,$B$39)*100)</f>
        <v>0.65884512550381091</v>
      </c>
      <c r="D34" s="236"/>
      <c r="G34" s="16"/>
    </row>
    <row r="35" spans="1:7">
      <c r="A35" s="174" t="s">
        <v>74</v>
      </c>
      <c r="B35" s="34">
        <f>IF((($B$28-$B$32-$B$39-$B$77-$B$38)*C21/100)&lt;0,0,($B$28-$B$32-$B$39-$B$77-$B$38)*C21/100)</f>
        <v>1458.3833333333332</v>
      </c>
      <c r="C35" s="170">
        <f>IF(ISERROR(B35/SUM($B$32,$B$34,$B$35,$B$36,$B$38,$B$39)*100),0,B35/SUM($B$32,$B$34,$B$35,$B$36,$B$38,$B$39)*100)</f>
        <v>17.459395825850986</v>
      </c>
      <c r="D35" s="236"/>
      <c r="G35" s="16"/>
    </row>
    <row r="36" spans="1:7">
      <c r="A36" s="174" t="s">
        <v>75</v>
      </c>
      <c r="B36" s="34">
        <f>IF((($B$28-$B$32-$B$39-$B$77-$B$38)*C22/100)&lt;0,0,($B$28-$B$32-$B$39-$B$77-$B$38)*C22/100)</f>
        <v>137.58333333333331</v>
      </c>
      <c r="C36" s="170">
        <f>IF(ISERROR(B36/SUM($B$32,$B$34,$B$35,$B$36,$B$38,$B$39)*100),0,B36/SUM($B$32,$B$34,$B$35,$B$36,$B$38,$B$39)*100)</f>
        <v>1.647112813759527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6702</v>
      </c>
      <c r="C44" s="35" t="s">
        <v>111</v>
      </c>
      <c r="D44" s="177"/>
    </row>
    <row r="45" spans="1:7">
      <c r="A45" s="174" t="s">
        <v>72</v>
      </c>
      <c r="B45" s="34" t="str">
        <f t="shared" si="0"/>
        <v>-</v>
      </c>
      <c r="C45" s="35" t="s">
        <v>111</v>
      </c>
      <c r="D45" s="177"/>
    </row>
    <row r="46" spans="1:7">
      <c r="A46" s="174" t="s">
        <v>73</v>
      </c>
      <c r="B46" s="34">
        <f t="shared" si="0"/>
        <v>55.033333333333339</v>
      </c>
      <c r="C46" s="35" t="s">
        <v>111</v>
      </c>
      <c r="D46" s="177"/>
    </row>
    <row r="47" spans="1:7">
      <c r="A47" s="174" t="s">
        <v>74</v>
      </c>
      <c r="B47" s="34">
        <f t="shared" si="0"/>
        <v>1458.3833333333332</v>
      </c>
      <c r="C47" s="35" t="s">
        <v>111</v>
      </c>
      <c r="D47" s="177"/>
    </row>
    <row r="48" spans="1:7">
      <c r="A48" s="174" t="s">
        <v>75</v>
      </c>
      <c r="B48" s="34">
        <f t="shared" si="0"/>
        <v>137.58333333333331</v>
      </c>
      <c r="C48" s="34">
        <f>B48*10</f>
        <v>1375.833333333333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45457.872536405732</v>
      </c>
      <c r="C5" s="18">
        <f>IF(ISERROR('Eigen informatie GS &amp; warmtenet'!B58),0,'Eigen informatie GS &amp; warmtenet'!B58)</f>
        <v>0</v>
      </c>
      <c r="D5" s="31">
        <f>SUM(D6:D12)</f>
        <v>63636.13836500945</v>
      </c>
      <c r="E5" s="18">
        <f>SUM(E6:E12)</f>
        <v>297.0432757037446</v>
      </c>
      <c r="F5" s="18">
        <f>SUM(F6:F12)</f>
        <v>8304.3433294015358</v>
      </c>
      <c r="G5" s="19"/>
      <c r="H5" s="18"/>
      <c r="I5" s="18"/>
      <c r="J5" s="18">
        <f>SUM(J6:J12)</f>
        <v>0</v>
      </c>
      <c r="K5" s="18"/>
      <c r="L5" s="18"/>
      <c r="M5" s="18"/>
      <c r="N5" s="18">
        <f>SUM(N6:N12)</f>
        <v>1787.8117404154909</v>
      </c>
      <c r="O5" s="18">
        <f>B38*B39*B40</f>
        <v>0</v>
      </c>
      <c r="P5" s="18">
        <f>B46*B47*B48/1000-B46*B47*B48/1000/B49</f>
        <v>0</v>
      </c>
      <c r="R5" s="33"/>
    </row>
    <row r="6" spans="1:18">
      <c r="A6" s="33" t="s">
        <v>54</v>
      </c>
      <c r="B6" s="38">
        <f>B26</f>
        <v>17906.136217529202</v>
      </c>
      <c r="C6" s="34"/>
      <c r="D6" s="38">
        <f>IF(ISERROR(TER_kantoor_gas_kWh/1000),0,TER_kantoor_gas_kWh/1000)*0.902</f>
        <v>16947.125369830293</v>
      </c>
      <c r="E6" s="34">
        <f>$C$26*'E Balans VL '!I12/100/3.6*1000000</f>
        <v>29.38759867432525</v>
      </c>
      <c r="F6" s="34">
        <f>$C$26*('E Balans VL '!L12+'E Balans VL '!N12)/100/3.6*1000000</f>
        <v>2110.712151540461</v>
      </c>
      <c r="G6" s="35"/>
      <c r="H6" s="34"/>
      <c r="I6" s="34"/>
      <c r="J6" s="34">
        <f>$C$26*('E Balans VL '!D12+'E Balans VL '!E12)/100/3.6*1000000</f>
        <v>0</v>
      </c>
      <c r="K6" s="34"/>
      <c r="L6" s="34"/>
      <c r="M6" s="34"/>
      <c r="N6" s="34">
        <f>$C$26*'E Balans VL '!Y12/100/3.6*1000000</f>
        <v>3.6178500302550449</v>
      </c>
      <c r="O6" s="34"/>
      <c r="P6" s="34"/>
      <c r="R6" s="33"/>
    </row>
    <row r="7" spans="1:18">
      <c r="A7" s="33" t="s">
        <v>53</v>
      </c>
      <c r="B7" s="38">
        <f t="shared" ref="B7:B12" si="0">B27</f>
        <v>2358.0167624241699</v>
      </c>
      <c r="C7" s="34"/>
      <c r="D7" s="38">
        <f>IF(ISERROR(TER_horeca_gas_kWh/1000),0,TER_horeca_gas_kWh/1000)*0.902</f>
        <v>2916.0487338722091</v>
      </c>
      <c r="E7" s="34">
        <f>$C$27*'E Balans VL '!I9/100/3.6*1000000</f>
        <v>122.36400699538744</v>
      </c>
      <c r="F7" s="34">
        <f>$C$27*('E Balans VL '!L9+'E Balans VL '!N9)/100/3.6*1000000</f>
        <v>538.10113617063837</v>
      </c>
      <c r="G7" s="35"/>
      <c r="H7" s="34"/>
      <c r="I7" s="34"/>
      <c r="J7" s="34">
        <f>$C$27*('E Balans VL '!D9+'E Balans VL '!E9)/100/3.6*1000000</f>
        <v>0</v>
      </c>
      <c r="K7" s="34"/>
      <c r="L7" s="34"/>
      <c r="M7" s="34"/>
      <c r="N7" s="34">
        <f>$C$27*'E Balans VL '!Y9/100/3.6*1000000</f>
        <v>0.24900548950366683</v>
      </c>
      <c r="O7" s="34"/>
      <c r="P7" s="34"/>
      <c r="R7" s="33"/>
    </row>
    <row r="8" spans="1:18">
      <c r="A8" s="6" t="s">
        <v>52</v>
      </c>
      <c r="B8" s="38">
        <f t="shared" si="0"/>
        <v>17189.635330011701</v>
      </c>
      <c r="C8" s="34"/>
      <c r="D8" s="38">
        <f>IF(ISERROR(TER_handel_gas_kWh/1000),0,TER_handel_gas_kWh/1000)*0.902</f>
        <v>19256.664275472434</v>
      </c>
      <c r="E8" s="34">
        <f>$C$28*'E Balans VL '!I13/100/3.6*1000000</f>
        <v>92.568298577544326</v>
      </c>
      <c r="F8" s="34">
        <f>$C$28*('E Balans VL '!L13+'E Balans VL '!N13)/100/3.6*1000000</f>
        <v>3505.4774737425932</v>
      </c>
      <c r="G8" s="35"/>
      <c r="H8" s="34"/>
      <c r="I8" s="34"/>
      <c r="J8" s="34">
        <f>$C$28*('E Balans VL '!D13+'E Balans VL '!E13)/100/3.6*1000000</f>
        <v>0</v>
      </c>
      <c r="K8" s="34"/>
      <c r="L8" s="34"/>
      <c r="M8" s="34"/>
      <c r="N8" s="34">
        <f>$C$28*'E Balans VL '!Y13/100/3.6*1000000</f>
        <v>85.474978909808542</v>
      </c>
      <c r="O8" s="34"/>
      <c r="P8" s="34"/>
      <c r="R8" s="33"/>
    </row>
    <row r="9" spans="1:18">
      <c r="A9" s="33" t="s">
        <v>51</v>
      </c>
      <c r="B9" s="38">
        <f t="shared" si="0"/>
        <v>1163.47223510105</v>
      </c>
      <c r="C9" s="34"/>
      <c r="D9" s="38">
        <f>IF(ISERROR(TER_gezond_gas_kWh/1000),0,TER_gezond_gas_kWh/1000)*0.902</f>
        <v>2720.286956693777</v>
      </c>
      <c r="E9" s="34">
        <f>$C$29*'E Balans VL '!I10/100/3.6*1000000</f>
        <v>1.1530142159366403</v>
      </c>
      <c r="F9" s="34">
        <f>$C$29*('E Balans VL '!L10+'E Balans VL '!N10)/100/3.6*1000000</f>
        <v>403.69132977946697</v>
      </c>
      <c r="G9" s="35"/>
      <c r="H9" s="34"/>
      <c r="I9" s="34"/>
      <c r="J9" s="34">
        <f>$C$29*('E Balans VL '!D10+'E Balans VL '!E10)/100/3.6*1000000</f>
        <v>0</v>
      </c>
      <c r="K9" s="34"/>
      <c r="L9" s="34"/>
      <c r="M9" s="34"/>
      <c r="N9" s="34">
        <f>$C$29*'E Balans VL '!Y10/100/3.6*1000000</f>
        <v>10.025539458749245</v>
      </c>
      <c r="O9" s="34"/>
      <c r="P9" s="34"/>
      <c r="R9" s="33"/>
    </row>
    <row r="10" spans="1:18">
      <c r="A10" s="33" t="s">
        <v>50</v>
      </c>
      <c r="B10" s="38">
        <f t="shared" si="0"/>
        <v>2520.4774728961097</v>
      </c>
      <c r="C10" s="34"/>
      <c r="D10" s="38">
        <f>IF(ISERROR(TER_ander_gas_kWh/1000),0,TER_ander_gas_kWh/1000)*0.902</f>
        <v>3786.4731199354342</v>
      </c>
      <c r="E10" s="34">
        <f>$C$30*'E Balans VL '!I14/100/3.6*1000000</f>
        <v>20.620024766123912</v>
      </c>
      <c r="F10" s="34">
        <f>$C$30*('E Balans VL '!L14+'E Balans VL '!N14)/100/3.6*1000000</f>
        <v>736.88500018703428</v>
      </c>
      <c r="G10" s="35"/>
      <c r="H10" s="34"/>
      <c r="I10" s="34"/>
      <c r="J10" s="34">
        <f>$C$30*('E Balans VL '!D14+'E Balans VL '!E14)/100/3.6*1000000</f>
        <v>0</v>
      </c>
      <c r="K10" s="34"/>
      <c r="L10" s="34"/>
      <c r="M10" s="34"/>
      <c r="N10" s="34">
        <f>$C$30*'E Balans VL '!Y14/100/3.6*1000000</f>
        <v>1453.9847872730709</v>
      </c>
      <c r="O10" s="34"/>
      <c r="P10" s="34"/>
      <c r="R10" s="33"/>
    </row>
    <row r="11" spans="1:18">
      <c r="A11" s="33" t="s">
        <v>55</v>
      </c>
      <c r="B11" s="38">
        <f t="shared" si="0"/>
        <v>794.75513464083804</v>
      </c>
      <c r="C11" s="34"/>
      <c r="D11" s="38">
        <f>IF(ISERROR(TER_onderwijs_gas_kWh/1000),0,TER_onderwijs_gas_kWh/1000)*0.902</f>
        <v>1393.3510500663097</v>
      </c>
      <c r="E11" s="34">
        <f>$C$31*'E Balans VL '!I11/100/3.6*1000000</f>
        <v>0.48985353094416079</v>
      </c>
      <c r="F11" s="34">
        <f>$C$31*('E Balans VL '!L11+'E Balans VL '!N11)/100/3.6*1000000</f>
        <v>307.26520584873975</v>
      </c>
      <c r="G11" s="35"/>
      <c r="H11" s="34"/>
      <c r="I11" s="34"/>
      <c r="J11" s="34">
        <f>$C$31*('E Balans VL '!D11+'E Balans VL '!E11)/100/3.6*1000000</f>
        <v>0</v>
      </c>
      <c r="K11" s="34"/>
      <c r="L11" s="34"/>
      <c r="M11" s="34"/>
      <c r="N11" s="34">
        <f>$C$31*'E Balans VL '!Y11/100/3.6*1000000</f>
        <v>2.5851681405977076</v>
      </c>
      <c r="O11" s="34"/>
      <c r="P11" s="34"/>
      <c r="R11" s="33"/>
    </row>
    <row r="12" spans="1:18">
      <c r="A12" s="33" t="s">
        <v>260</v>
      </c>
      <c r="B12" s="38">
        <f t="shared" si="0"/>
        <v>3525.37938380266</v>
      </c>
      <c r="C12" s="34"/>
      <c r="D12" s="38">
        <f>IF(ISERROR(TER_rest_gas_kWh/1000),0,TER_rest_gas_kWh/1000)*0.902</f>
        <v>16616.188859138991</v>
      </c>
      <c r="E12" s="34">
        <f>$C$32*'E Balans VL '!I8/100/3.6*1000000</f>
        <v>30.460478943482901</v>
      </c>
      <c r="F12" s="34">
        <f>$C$32*('E Balans VL '!L8+'E Balans VL '!N8)/100/3.6*1000000</f>
        <v>702.21103213260221</v>
      </c>
      <c r="G12" s="35"/>
      <c r="H12" s="34"/>
      <c r="I12" s="34"/>
      <c r="J12" s="34">
        <f>$C$32*('E Balans VL '!D8+'E Balans VL '!E8)/100/3.6*1000000</f>
        <v>0</v>
      </c>
      <c r="K12" s="34"/>
      <c r="L12" s="34"/>
      <c r="M12" s="34"/>
      <c r="N12" s="34">
        <f>$C$32*'E Balans VL '!Y8/100/3.6*1000000</f>
        <v>231.87441111350594</v>
      </c>
      <c r="O12" s="34"/>
      <c r="P12" s="34"/>
      <c r="R12" s="33"/>
    </row>
    <row r="13" spans="1:18">
      <c r="A13" s="17" t="s">
        <v>502</v>
      </c>
      <c r="B13" s="250">
        <f ca="1">'lokale energieproductie'!N91+'lokale energieproductie'!N60</f>
        <v>9126</v>
      </c>
      <c r="C13" s="250">
        <f ca="1">'lokale energieproductie'!O91+'lokale energieproductie'!O60</f>
        <v>13037.142857142857</v>
      </c>
      <c r="D13" s="312">
        <f ca="1">('lokale energieproductie'!P60+'lokale energieproductie'!P91)*(-1)</f>
        <v>-26074.285714285717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54583.872536405732</v>
      </c>
      <c r="C16" s="22">
        <f t="shared" ca="1" si="1"/>
        <v>13037.142857142857</v>
      </c>
      <c r="D16" s="22">
        <f t="shared" ca="1" si="1"/>
        <v>37561.852650723733</v>
      </c>
      <c r="E16" s="22">
        <f t="shared" si="1"/>
        <v>297.0432757037446</v>
      </c>
      <c r="F16" s="22">
        <f t="shared" ca="1" si="1"/>
        <v>8304.3433294015358</v>
      </c>
      <c r="G16" s="22">
        <f t="shared" si="1"/>
        <v>0</v>
      </c>
      <c r="H16" s="22">
        <f t="shared" si="1"/>
        <v>0</v>
      </c>
      <c r="I16" s="22">
        <f t="shared" si="1"/>
        <v>0</v>
      </c>
      <c r="J16" s="22">
        <f t="shared" si="1"/>
        <v>0</v>
      </c>
      <c r="K16" s="22">
        <f t="shared" si="1"/>
        <v>0</v>
      </c>
      <c r="L16" s="22">
        <f t="shared" ca="1" si="1"/>
        <v>0</v>
      </c>
      <c r="M16" s="22">
        <f t="shared" si="1"/>
        <v>0</v>
      </c>
      <c r="N16" s="22">
        <f t="shared" ca="1" si="1"/>
        <v>1787.8117404154909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0.21487296517501908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11728.59854263279</v>
      </c>
      <c r="C20" s="24">
        <f t="shared" ref="C20:P20" ca="1" si="2">C16*C18</f>
        <v>3098.2386554621853</v>
      </c>
      <c r="D20" s="24">
        <f t="shared" ca="1" si="2"/>
        <v>7587.4942354461946</v>
      </c>
      <c r="E20" s="24">
        <f t="shared" si="2"/>
        <v>67.42882358475002</v>
      </c>
      <c r="F20" s="24">
        <f t="shared" ca="1" si="2"/>
        <v>2217.2596689502102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17906.136217529202</v>
      </c>
      <c r="C26" s="40">
        <f>IF(ISERROR(B26*3.6/1000000/'E Balans VL '!Z12*100),0,B26*3.6/1000000/'E Balans VL '!Z12*100)</f>
        <v>0.38049255357634126</v>
      </c>
      <c r="D26" s="240" t="s">
        <v>707</v>
      </c>
      <c r="F26" s="6"/>
    </row>
    <row r="27" spans="1:18">
      <c r="A27" s="234" t="s">
        <v>53</v>
      </c>
      <c r="B27" s="34">
        <f>IF(ISERROR(TER_horeca_ele_kWh/1000),0,TER_horeca_ele_kWh/1000)</f>
        <v>2358.0167624241699</v>
      </c>
      <c r="C27" s="40">
        <f>IF(ISERROR(B27*3.6/1000000/'E Balans VL '!Z9*100),0,B27*3.6/1000000/'E Balans VL '!Z9*100)</f>
        <v>0.18559415366732934</v>
      </c>
      <c r="D27" s="240" t="s">
        <v>707</v>
      </c>
      <c r="F27" s="6"/>
    </row>
    <row r="28" spans="1:18">
      <c r="A28" s="174" t="s">
        <v>52</v>
      </c>
      <c r="B28" s="34">
        <f>IF(ISERROR(TER_handel_ele_kWh/1000),0,TER_handel_ele_kWh/1000)</f>
        <v>17189.635330011701</v>
      </c>
      <c r="C28" s="40">
        <f>IF(ISERROR(B28*3.6/1000000/'E Balans VL '!Z13*100),0,B28*3.6/1000000/'E Balans VL '!Z13*100)</f>
        <v>0.4814908851232616</v>
      </c>
      <c r="D28" s="240" t="s">
        <v>707</v>
      </c>
      <c r="F28" s="6"/>
    </row>
    <row r="29" spans="1:18">
      <c r="A29" s="234" t="s">
        <v>51</v>
      </c>
      <c r="B29" s="34">
        <f>IF(ISERROR(TER_gezond_ele_kWh/1000),0,TER_gezond_ele_kWh/1000)</f>
        <v>1163.47223510105</v>
      </c>
      <c r="C29" s="40">
        <f>IF(ISERROR(B29*3.6/1000000/'E Balans VL '!Z10*100),0,B29*3.6/1000000/'E Balans VL '!Z10*100)</f>
        <v>0.14884328085288079</v>
      </c>
      <c r="D29" s="240" t="s">
        <v>707</v>
      </c>
      <c r="F29" s="6"/>
    </row>
    <row r="30" spans="1:18">
      <c r="A30" s="234" t="s">
        <v>50</v>
      </c>
      <c r="B30" s="34">
        <f>IF(ISERROR(TER_ander_ele_kWh/1000),0,TER_ander_ele_kWh/1000)</f>
        <v>2520.4774728961097</v>
      </c>
      <c r="C30" s="40">
        <f>IF(ISERROR(B30*3.6/1000000/'E Balans VL '!Z14*100),0,B30*3.6/1000000/'E Balans VL '!Z14*100)</f>
        <v>0.18851047705843937</v>
      </c>
      <c r="D30" s="240" t="s">
        <v>707</v>
      </c>
      <c r="F30" s="6"/>
    </row>
    <row r="31" spans="1:18">
      <c r="A31" s="234" t="s">
        <v>55</v>
      </c>
      <c r="B31" s="34">
        <f>IF(ISERROR(TER_onderwijs_ele_kWh/1000),0,TER_onderwijs_ele_kWh/1000)</f>
        <v>794.75513464083804</v>
      </c>
      <c r="C31" s="40">
        <f>IF(ISERROR(B31*3.6/1000000/'E Balans VL '!Z11*100),0,B31*3.6/1000000/'E Balans VL '!Z11*100)</f>
        <v>0.16781357615045167</v>
      </c>
      <c r="D31" s="240" t="s">
        <v>707</v>
      </c>
    </row>
    <row r="32" spans="1:18">
      <c r="A32" s="234" t="s">
        <v>260</v>
      </c>
      <c r="B32" s="34">
        <f>IF(ISERROR(TER_rest_ele_kWh/1000),0,TER_rest_ele_kWh/1000)</f>
        <v>3525.37938380266</v>
      </c>
      <c r="C32" s="40">
        <f>IF(ISERROR(B32*3.6/1000000/'E Balans VL '!Z8*100),0,B32*3.6/1000000/'E Balans VL '!Z8*100)</f>
        <v>2.9041835868667858E-2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11838.829082554697</v>
      </c>
      <c r="C5" s="18">
        <f>IF(ISERROR('Eigen informatie GS &amp; warmtenet'!B59),0,'Eigen informatie GS &amp; warmtenet'!B59)</f>
        <v>0</v>
      </c>
      <c r="D5" s="31">
        <f>SUM(D6:D15)</f>
        <v>12678.755978483923</v>
      </c>
      <c r="E5" s="18">
        <f>SUM(E6:E15)</f>
        <v>136.7452919548565</v>
      </c>
      <c r="F5" s="18">
        <f>SUM(F6:F15)</f>
        <v>4175.1876253842238</v>
      </c>
      <c r="G5" s="19"/>
      <c r="H5" s="18"/>
      <c r="I5" s="18"/>
      <c r="J5" s="18">
        <f>SUM(J6:J15)</f>
        <v>29.079400836971701</v>
      </c>
      <c r="K5" s="18"/>
      <c r="L5" s="18"/>
      <c r="M5" s="18"/>
      <c r="N5" s="18">
        <f>SUM(N6:N15)</f>
        <v>1032.7413476351453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437.47615098557401</v>
      </c>
      <c r="C8" s="34"/>
      <c r="D8" s="38">
        <f>IF( ISERROR(IND_metaal_Gas_kWH/1000),0,IND_metaal_Gas_kWH/1000)*0.902</f>
        <v>175.9988889352318</v>
      </c>
      <c r="E8" s="34">
        <f>C30*'E Balans VL '!I18/100/3.6*1000000</f>
        <v>3.9840164684184449</v>
      </c>
      <c r="F8" s="34">
        <f>C30*'E Balans VL '!L18/100/3.6*1000000+C30*'E Balans VL '!N18/100/3.6*1000000</f>
        <v>57.699782064045181</v>
      </c>
      <c r="G8" s="35"/>
      <c r="H8" s="34"/>
      <c r="I8" s="34"/>
      <c r="J8" s="41">
        <f>C30*'E Balans VL '!D18/100/3.6*1000000+C30*'E Balans VL '!E18/100/3.6*1000000</f>
        <v>7.1739736836647809</v>
      </c>
      <c r="K8" s="34"/>
      <c r="L8" s="34"/>
      <c r="M8" s="34"/>
      <c r="N8" s="34">
        <f>C30*'E Balans VL '!Y18/100/3.6*1000000</f>
        <v>1.503431743982236</v>
      </c>
      <c r="O8" s="34"/>
      <c r="P8" s="34"/>
      <c r="R8" s="33"/>
    </row>
    <row r="9" spans="1:18">
      <c r="A9" s="6" t="s">
        <v>33</v>
      </c>
      <c r="B9" s="38">
        <f t="shared" si="0"/>
        <v>3516.3604101148803</v>
      </c>
      <c r="C9" s="34"/>
      <c r="D9" s="38">
        <f>IF( ISERROR(IND_andere_gas_kWh/1000),0,IND_andere_gas_kWh/1000)*0.902</f>
        <v>5143.5765844763091</v>
      </c>
      <c r="E9" s="34">
        <f>C31*'E Balans VL '!I19/100/3.6*1000000</f>
        <v>20.325088647063566</v>
      </c>
      <c r="F9" s="34">
        <f>C31*'E Balans VL '!L19/100/3.6*1000000+C31*'E Balans VL '!N19/100/3.6*1000000</f>
        <v>2797.4339068138092</v>
      </c>
      <c r="G9" s="35"/>
      <c r="H9" s="34"/>
      <c r="I9" s="34"/>
      <c r="J9" s="41">
        <f>C31*'E Balans VL '!D19/100/3.6*1000000+C31*'E Balans VL '!E19/100/3.6*1000000</f>
        <v>0.33260863617172071</v>
      </c>
      <c r="K9" s="34"/>
      <c r="L9" s="34"/>
      <c r="M9" s="34"/>
      <c r="N9" s="34">
        <f>C31*'E Balans VL '!Y19/100/3.6*1000000</f>
        <v>266.41751522869185</v>
      </c>
      <c r="O9" s="34"/>
      <c r="P9" s="34"/>
      <c r="R9" s="33"/>
    </row>
    <row r="10" spans="1:18">
      <c r="A10" s="6" t="s">
        <v>41</v>
      </c>
      <c r="B10" s="38">
        <f t="shared" si="0"/>
        <v>1787.8823104236701</v>
      </c>
      <c r="C10" s="34"/>
      <c r="D10" s="38">
        <f>IF( ISERROR(IND_voed_gas_kWh/1000),0,IND_voed_gas_kWh/1000)*0.902</f>
        <v>2093.0094110546497</v>
      </c>
      <c r="E10" s="34">
        <f>C32*'E Balans VL '!I20/100/3.6*1000000</f>
        <v>17.579560482121632</v>
      </c>
      <c r="F10" s="34">
        <f>C32*'E Balans VL '!L20/100/3.6*1000000+C32*'E Balans VL '!N20/100/3.6*1000000</f>
        <v>198.56766716456053</v>
      </c>
      <c r="G10" s="35"/>
      <c r="H10" s="34"/>
      <c r="I10" s="34"/>
      <c r="J10" s="41">
        <f>C32*'E Balans VL '!D20/100/3.6*1000000+C32*'E Balans VL '!E20/100/3.6*1000000</f>
        <v>7.046855835109782E-3</v>
      </c>
      <c r="K10" s="34"/>
      <c r="L10" s="34"/>
      <c r="M10" s="34"/>
      <c r="N10" s="34">
        <f>C32*'E Balans VL '!Y20/100/3.6*1000000</f>
        <v>26.474331474883762</v>
      </c>
      <c r="O10" s="34"/>
      <c r="P10" s="34"/>
      <c r="R10" s="33"/>
    </row>
    <row r="11" spans="1:18">
      <c r="A11" s="6" t="s">
        <v>40</v>
      </c>
      <c r="B11" s="38">
        <f t="shared" si="0"/>
        <v>164.504861548214</v>
      </c>
      <c r="C11" s="34"/>
      <c r="D11" s="38">
        <f>IF( ISERROR(IND_textiel_gas_kWh/1000),0,IND_textiel_gas_kWh/1000)*0.902</f>
        <v>0</v>
      </c>
      <c r="E11" s="34">
        <f>C33*'E Balans VL '!I21/100/3.6*1000000</f>
        <v>0.32032916458943034</v>
      </c>
      <c r="F11" s="34">
        <f>C33*'E Balans VL '!L21/100/3.6*1000000+C33*'E Balans VL '!N21/100/3.6*1000000</f>
        <v>5.4259101571525781</v>
      </c>
      <c r="G11" s="35"/>
      <c r="H11" s="34"/>
      <c r="I11" s="34"/>
      <c r="J11" s="41">
        <f>C33*'E Balans VL '!D21/100/3.6*1000000+C33*'E Balans VL '!E21/100/3.6*1000000</f>
        <v>0</v>
      </c>
      <c r="K11" s="34"/>
      <c r="L11" s="34"/>
      <c r="M11" s="34"/>
      <c r="N11" s="34">
        <f>C33*'E Balans VL '!Y21/100/3.6*1000000</f>
        <v>1.7063480912065332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1644.12726585828</v>
      </c>
      <c r="C13" s="34"/>
      <c r="D13" s="38">
        <f>IF( ISERROR(IND_papier_gas_kWh/1000),0,IND_papier_gas_kWh/1000)*0.902</f>
        <v>131.00339500208867</v>
      </c>
      <c r="E13" s="34">
        <f>C35*'E Balans VL '!I23/100/3.6*1000000</f>
        <v>56.001358505547906</v>
      </c>
      <c r="F13" s="34">
        <f>C35*'E Balans VL '!L23/100/3.6*1000000+C35*'E Balans VL '!N23/100/3.6*1000000</f>
        <v>271.5712374834618</v>
      </c>
      <c r="G13" s="35"/>
      <c r="H13" s="34"/>
      <c r="I13" s="34"/>
      <c r="J13" s="41">
        <f>C35*'E Balans VL '!D23/100/3.6*1000000+C35*'E Balans VL '!E23/100/3.6*1000000</f>
        <v>0</v>
      </c>
      <c r="K13" s="34"/>
      <c r="L13" s="34"/>
      <c r="M13" s="34"/>
      <c r="N13" s="34">
        <f>C35*'E Balans VL '!Y23/100/3.6*1000000</f>
        <v>604.99474176059675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4288.4780836240798</v>
      </c>
      <c r="C15" s="34"/>
      <c r="D15" s="38">
        <f>IF( ISERROR(IND_rest_gas_kWh/1000),0,IND_rest_gas_kWh/1000)*0.902</f>
        <v>5135.1676990156438</v>
      </c>
      <c r="E15" s="34">
        <f>C37*'E Balans VL '!I15/100/3.6*1000000</f>
        <v>38.53493868711552</v>
      </c>
      <c r="F15" s="34">
        <f>C37*'E Balans VL '!L15/100/3.6*1000000+C37*'E Balans VL '!N15/100/3.6*1000000</f>
        <v>844.48912170119502</v>
      </c>
      <c r="G15" s="35"/>
      <c r="H15" s="34"/>
      <c r="I15" s="34"/>
      <c r="J15" s="41">
        <f>C37*'E Balans VL '!D15/100/3.6*1000000+C37*'E Balans VL '!E15/100/3.6*1000000</f>
        <v>21.565771661300086</v>
      </c>
      <c r="K15" s="34"/>
      <c r="L15" s="34"/>
      <c r="M15" s="34"/>
      <c r="N15" s="34">
        <f>C37*'E Balans VL '!Y15/100/3.6*1000000</f>
        <v>131.64497933578414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11838.829082554697</v>
      </c>
      <c r="C18" s="22">
        <f>C5+C16</f>
        <v>0</v>
      </c>
      <c r="D18" s="22">
        <f>MAX((D5+D16),0)</f>
        <v>12678.755978483923</v>
      </c>
      <c r="E18" s="22">
        <f>MAX((E5+E16),0)</f>
        <v>136.7452919548565</v>
      </c>
      <c r="F18" s="22">
        <f>MAX((F5+F16),0)</f>
        <v>4175.1876253842238</v>
      </c>
      <c r="G18" s="22"/>
      <c r="H18" s="22"/>
      <c r="I18" s="22"/>
      <c r="J18" s="22">
        <f>MAX((J5+J16),0)</f>
        <v>29.079400836971701</v>
      </c>
      <c r="K18" s="22"/>
      <c r="L18" s="22">
        <f>MAX((L5+L16),0)</f>
        <v>0</v>
      </c>
      <c r="M18" s="22"/>
      <c r="N18" s="22">
        <f>MAX((N5+N16),0)</f>
        <v>1032.7413476351453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0.21487296517501908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2543.8443091687786</v>
      </c>
      <c r="C22" s="24">
        <f ca="1">C18*C20</f>
        <v>0</v>
      </c>
      <c r="D22" s="24">
        <f>D18*D20</f>
        <v>2561.1087076537528</v>
      </c>
      <c r="E22" s="24">
        <f>E18*E20</f>
        <v>31.041181273752425</v>
      </c>
      <c r="F22" s="24">
        <f>F18*F20</f>
        <v>1114.7750959775879</v>
      </c>
      <c r="G22" s="24"/>
      <c r="H22" s="24"/>
      <c r="I22" s="24"/>
      <c r="J22" s="24">
        <f>J18*J20</f>
        <v>10.294107896287981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437.47615098557401</v>
      </c>
      <c r="C30" s="40">
        <f>IF(ISERROR(B30*3.6/1000000/'E Balans VL '!Z18*100),0,B30*3.6/1000000/'E Balans VL '!Z18*100)</f>
        <v>2.4342622424424535E-2</v>
      </c>
      <c r="D30" s="240" t="s">
        <v>707</v>
      </c>
    </row>
    <row r="31" spans="1:18">
      <c r="A31" s="6" t="s">
        <v>33</v>
      </c>
      <c r="B31" s="38">
        <f>IF( ISERROR(IND_ander_ele_kWh/1000),0,IND_ander_ele_kWh/1000)</f>
        <v>3516.3604101148803</v>
      </c>
      <c r="C31" s="40">
        <f>IF(ISERROR(B31*3.6/1000000/'E Balans VL '!Z19*100),0,B31*3.6/1000000/'E Balans VL '!Z19*100)</f>
        <v>0.16346636043934398</v>
      </c>
      <c r="D31" s="240" t="s">
        <v>707</v>
      </c>
    </row>
    <row r="32" spans="1:18">
      <c r="A32" s="174" t="s">
        <v>41</v>
      </c>
      <c r="B32" s="38">
        <f>IF( ISERROR(IND_voed_ele_kWh/1000),0,IND_voed_ele_kWh/1000)</f>
        <v>1787.8823104236701</v>
      </c>
      <c r="C32" s="40">
        <f>IF(ISERROR(B32*3.6/1000000/'E Balans VL '!Z20*100),0,B32*3.6/1000000/'E Balans VL '!Z20*100)</f>
        <v>6.3198028892232666E-2</v>
      </c>
      <c r="D32" s="240" t="s">
        <v>707</v>
      </c>
    </row>
    <row r="33" spans="1:5">
      <c r="A33" s="174" t="s">
        <v>40</v>
      </c>
      <c r="B33" s="38">
        <f>IF( ISERROR(IND_textiel_ele_kWh/1000),0,IND_textiel_ele_kWh/1000)</f>
        <v>164.504861548214</v>
      </c>
      <c r="C33" s="40">
        <f>IF(ISERROR(B33*3.6/1000000/'E Balans VL '!Z21*100),0,B33*3.6/1000000/'E Balans VL '!Z21*100)</f>
        <v>2.2218877738429194E-2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1644.12726585828</v>
      </c>
      <c r="C35" s="40">
        <f>IF(ISERROR(B35*3.6/1000000/'E Balans VL '!Z22*100),0,B35*3.6/1000000/'E Balans VL '!Z22*100)</f>
        <v>0.33042321761494337</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4288.4780836240798</v>
      </c>
      <c r="C37" s="40">
        <f>IF(ISERROR(B37*3.6/1000000/'E Balans VL '!Z15*100),0,B37*3.6/1000000/'E Balans VL '!Z15*100)</f>
        <v>3.23843445714442E-2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1485.5681667953991</v>
      </c>
      <c r="C5" s="18">
        <f>'Eigen informatie GS &amp; warmtenet'!B60</f>
        <v>0</v>
      </c>
      <c r="D5" s="31">
        <f>IF(ISERROR(SUM(LB_lb_gas_kWh,LB_rest_gas_kWh)/1000),0,SUM(LB_lb_gas_kWh,LB_rest_gas_kWh)/1000)*0.902</f>
        <v>64564.118648756295</v>
      </c>
      <c r="E5" s="18">
        <f>B17*'E Balans VL '!I25/3.6*1000000/100</f>
        <v>13.995047494535413</v>
      </c>
      <c r="F5" s="18">
        <f>B17*('E Balans VL '!L25/3.6*1000000+'E Balans VL '!N25/3.6*1000000)/100</f>
        <v>4847.9019450296046</v>
      </c>
      <c r="G5" s="19"/>
      <c r="H5" s="18"/>
      <c r="I5" s="18"/>
      <c r="J5" s="18">
        <f>('E Balans VL '!D25+'E Balans VL '!E25)/3.6*1000000*landbouw!B17/100</f>
        <v>183.77200803476615</v>
      </c>
      <c r="K5" s="18"/>
      <c r="L5" s="18">
        <f>L6*(-1)</f>
        <v>0</v>
      </c>
      <c r="M5" s="18"/>
      <c r="N5" s="18">
        <f>N6*(-1)</f>
        <v>0</v>
      </c>
      <c r="O5" s="18"/>
      <c r="P5" s="18"/>
      <c r="R5" s="33"/>
    </row>
    <row r="6" spans="1:18">
      <c r="A6" s="17" t="s">
        <v>502</v>
      </c>
      <c r="B6" s="18" t="s">
        <v>211</v>
      </c>
      <c r="C6" s="18">
        <f>'lokale energieproductie'!O92+'lokale energieproductie'!O61</f>
        <v>54527.142857142855</v>
      </c>
      <c r="D6" s="312">
        <f>('lokale energieproductie'!P61+'lokale energieproductie'!P92)*(-1)</f>
        <v>-109054.28571428572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1485.5681667953991</v>
      </c>
      <c r="C8" s="22">
        <f>C5+C6</f>
        <v>54527.142857142855</v>
      </c>
      <c r="D8" s="22">
        <f>MAX((D5+D6),0)</f>
        <v>0</v>
      </c>
      <c r="E8" s="22">
        <f>MAX((E5+E6),0)</f>
        <v>13.995047494535413</v>
      </c>
      <c r="F8" s="22">
        <f>MAX((F5+F6),0)</f>
        <v>4847.9019450296046</v>
      </c>
      <c r="G8" s="22"/>
      <c r="H8" s="22"/>
      <c r="I8" s="22"/>
      <c r="J8" s="22">
        <f>MAX((J5+J6),0)</f>
        <v>183.77200803476615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0.21487296517501908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319.20843696894474</v>
      </c>
      <c r="C12" s="24">
        <f ca="1">C8*C10</f>
        <v>12958.215126050422</v>
      </c>
      <c r="D12" s="24">
        <f>D8*D10</f>
        <v>0</v>
      </c>
      <c r="E12" s="24">
        <f>E8*E10</f>
        <v>3.1768757812595387</v>
      </c>
      <c r="F12" s="24">
        <f>F8*F10</f>
        <v>1294.3898193229045</v>
      </c>
      <c r="G12" s="24"/>
      <c r="H12" s="24"/>
      <c r="I12" s="24"/>
      <c r="J12" s="24">
        <f>J8*J10</f>
        <v>65.055290844307208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0.20112219116364341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176.87794580348498</v>
      </c>
      <c r="C26" s="250">
        <f>B26*'GWP N2O_CH4'!B5</f>
        <v>3714.4368618731846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36.112438779367352</v>
      </c>
      <c r="C27" s="250">
        <f>B27*'GWP N2O_CH4'!B5</f>
        <v>758.36121436671442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2.3172230650228878</v>
      </c>
      <c r="C28" s="250">
        <f>B28*'GWP N2O_CH4'!B4</f>
        <v>718.33915015709522</v>
      </c>
      <c r="D28" s="51"/>
    </row>
    <row r="29" spans="1:4">
      <c r="A29" s="42" t="s">
        <v>277</v>
      </c>
      <c r="B29" s="250">
        <f>B34*'ha_N2O bodem landbouw'!B4</f>
        <v>4.9638283687264204</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2.7417601961942734E-5</v>
      </c>
      <c r="C5" s="447" t="s">
        <v>211</v>
      </c>
      <c r="D5" s="432">
        <f>SUM(D6:D11)</f>
        <v>7.2962815455097175E-5</v>
      </c>
      <c r="E5" s="432">
        <f>SUM(E6:E11)</f>
        <v>4.8291971205255734E-3</v>
      </c>
      <c r="F5" s="445" t="s">
        <v>211</v>
      </c>
      <c r="G5" s="432">
        <f>SUM(G6:G11)</f>
        <v>1.1007418608183945</v>
      </c>
      <c r="H5" s="432">
        <f>SUM(H6:H11)</f>
        <v>0.1677474873148099</v>
      </c>
      <c r="I5" s="447" t="s">
        <v>211</v>
      </c>
      <c r="J5" s="447" t="s">
        <v>211</v>
      </c>
      <c r="K5" s="447" t="s">
        <v>211</v>
      </c>
      <c r="L5" s="447" t="s">
        <v>211</v>
      </c>
      <c r="M5" s="432">
        <f>SUM(M6:M11)</f>
        <v>5.6689845988112386E-2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1.0176571188095928E-5</v>
      </c>
      <c r="C6" s="433"/>
      <c r="D6" s="433">
        <f>vkm_2011_GW_PW*SUMIFS(TableVerdeelsleutelVkm[CNG],TableVerdeelsleutelVkm[Voertuigtype],"Lichte voertuigen")*SUMIFS(TableECFTransport[EnergieConsumptieFactor (PJ per km)],TableECFTransport[Index],CONCATENATE($A6,"_CNG_CNG"))</f>
        <v>2.4851357269451216E-5</v>
      </c>
      <c r="E6" s="435">
        <f>vkm_2011_GW_PW*SUMIFS(TableVerdeelsleutelVkm[LPG],TableVerdeelsleutelVkm[Voertuigtype],"Lichte voertuigen")*SUMIFS(TableECFTransport[EnergieConsumptieFactor (PJ per km)],TableECFTransport[Index],CONCATENATE($A6,"_LPG_LPG"))</f>
        <v>1.4730600305724885E-3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0.21294815572614029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5.5807593728634836E-2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1.2035377404654362E-2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0.20750035957514459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8.3718305329528778E-5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9.2440768189109689E-3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2.4474860309637653E-6</v>
      </c>
      <c r="C8" s="433"/>
      <c r="D8" s="435">
        <f>vkm_2011_NGW_PW*SUMIFS(TableVerdeelsleutelVkm[CNG],TableVerdeelsleutelVkm[Voertuigtype],"Lichte voertuigen")*SUMIFS(TableECFTransport[EnergieConsumptieFactor (PJ per km)],TableECFTransport[Index],CONCATENATE($A8,"_CNG_CNG"))</f>
        <v>1.0723398030586498E-5</v>
      </c>
      <c r="E8" s="435">
        <f>vkm_2011_NGW_PW*SUMIFS(TableVerdeelsleutelVkm[LPG],TableVerdeelsleutelVkm[Voertuigtype],"Lichte voertuigen")*SUMIFS(TableECFTransport[EnergieConsumptieFactor (PJ per km)],TableECFTransport[Index],CONCATENATE($A8,"_LPG_LPG"))</f>
        <v>5.8312459874393016E-4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7.9634599452383048E-2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2.3059955268059016E-2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4.6009454762284711E-3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4.5154438479895094E-2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1.5862380722128203E-5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2.0115085195348899E-3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1.4793544742883038E-5</v>
      </c>
      <c r="C10" s="433"/>
      <c r="D10" s="435">
        <f>vkm_2011_SW_PW*SUMIFS(TableVerdeelsleutelVkm[CNG],TableVerdeelsleutelVkm[Voertuigtype],"Lichte voertuigen")*SUMIFS(TableECFTransport[EnergieConsumptieFactor (PJ per km)],TableECFTransport[Index],CONCATENATE($A10,"_CNG_CNG"))</f>
        <v>3.7388060155059457E-5</v>
      </c>
      <c r="E10" s="435">
        <f>vkm_2011_SW_PW*SUMIFS(TableVerdeelsleutelVkm[LPG],TableVerdeelsleutelVkm[Voertuigtype],"Lichte voertuigen")*SUMIFS(TableECFTransport[EnergieConsumptieFactor (PJ per km)],TableECFTransport[Index],CONCATENATE($A10,"_LPG_LPG"))</f>
        <v>2.7730124912091546E-3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0.36532888616533299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8.8698952777697473E-2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2.032546769087664E-2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0.19017542141949853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8.1404854366922053E-5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8.4724700779070482E-3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7.6160005449840931</v>
      </c>
      <c r="C14" s="22"/>
      <c r="D14" s="22">
        <f t="shared" ref="D14:M14" si="0">((D5)*10^9/3600)+D12</f>
        <v>20.267448737526994</v>
      </c>
      <c r="E14" s="22">
        <f t="shared" si="0"/>
        <v>1341.4436445904371</v>
      </c>
      <c r="F14" s="22"/>
      <c r="G14" s="22">
        <f t="shared" si="0"/>
        <v>305761.62800510955</v>
      </c>
      <c r="H14" s="22">
        <f t="shared" si="0"/>
        <v>46596.524254113858</v>
      </c>
      <c r="I14" s="22"/>
      <c r="J14" s="22"/>
      <c r="K14" s="22"/>
      <c r="L14" s="22"/>
      <c r="M14" s="22">
        <f t="shared" si="0"/>
        <v>15747.179441142329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0.21487296517501908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1.6364726198752935</v>
      </c>
      <c r="C18" s="24"/>
      <c r="D18" s="24">
        <f t="shared" ref="D18:M18" si="1">D14*D16</f>
        <v>4.0940246449804532</v>
      </c>
      <c r="E18" s="24">
        <f t="shared" si="1"/>
        <v>304.5077073220292</v>
      </c>
      <c r="F18" s="24"/>
      <c r="G18" s="24">
        <f t="shared" si="1"/>
        <v>81638.354677364259</v>
      </c>
      <c r="H18" s="24">
        <f t="shared" si="1"/>
        <v>11602.534539274351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7.627068608331595E-3</v>
      </c>
      <c r="H50" s="323">
        <f t="shared" si="2"/>
        <v>0</v>
      </c>
      <c r="I50" s="323">
        <f t="shared" si="2"/>
        <v>0</v>
      </c>
      <c r="J50" s="323">
        <f t="shared" si="2"/>
        <v>0</v>
      </c>
      <c r="K50" s="323">
        <f t="shared" si="2"/>
        <v>0</v>
      </c>
      <c r="L50" s="323">
        <f t="shared" si="2"/>
        <v>0</v>
      </c>
      <c r="M50" s="323">
        <f t="shared" si="2"/>
        <v>3.3491716422850488E-4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7.627068608331595E-3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3.3491716422850488E-4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2118.6301689809984</v>
      </c>
      <c r="H54" s="22">
        <f t="shared" si="3"/>
        <v>0</v>
      </c>
      <c r="I54" s="22">
        <f t="shared" si="3"/>
        <v>0</v>
      </c>
      <c r="J54" s="22">
        <f t="shared" si="3"/>
        <v>0</v>
      </c>
      <c r="K54" s="22">
        <f t="shared" si="3"/>
        <v>0</v>
      </c>
      <c r="L54" s="22">
        <f t="shared" si="3"/>
        <v>0</v>
      </c>
      <c r="M54" s="22">
        <f t="shared" si="3"/>
        <v>93.032545619029136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0.21487296517501908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565.67425511792658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55931.789536405733</v>
      </c>
      <c r="D10" s="688">
        <f ca="1">tertiair!C16</f>
        <v>13037.142857142857</v>
      </c>
      <c r="E10" s="688">
        <f ca="1">tertiair!D16</f>
        <v>37561.852650723733</v>
      </c>
      <c r="F10" s="688">
        <f>tertiair!E16</f>
        <v>297.0432757037446</v>
      </c>
      <c r="G10" s="688">
        <f ca="1">tertiair!F16</f>
        <v>8304.3433294015358</v>
      </c>
      <c r="H10" s="688">
        <f>tertiair!G16</f>
        <v>0</v>
      </c>
      <c r="I10" s="688">
        <f>tertiair!H16</f>
        <v>0</v>
      </c>
      <c r="J10" s="688">
        <f>tertiair!I16</f>
        <v>0</v>
      </c>
      <c r="K10" s="688">
        <f>tertiair!J16</f>
        <v>0</v>
      </c>
      <c r="L10" s="688">
        <f>tertiair!K16</f>
        <v>0</v>
      </c>
      <c r="M10" s="688">
        <f ca="1">tertiair!L16</f>
        <v>0</v>
      </c>
      <c r="N10" s="688">
        <f>tertiair!M16</f>
        <v>0</v>
      </c>
      <c r="O10" s="688">
        <f ca="1">tertiair!N16</f>
        <v>1787.8117404154909</v>
      </c>
      <c r="P10" s="688">
        <f>tertiair!O16</f>
        <v>0</v>
      </c>
      <c r="Q10" s="689">
        <f>tertiair!P16</f>
        <v>0</v>
      </c>
      <c r="R10" s="691">
        <f ca="1">SUM(C10:Q10)</f>
        <v>116919.98338979309</v>
      </c>
      <c r="S10" s="68"/>
    </row>
    <row r="11" spans="1:19" s="457" customFormat="1">
      <c r="A11" s="803" t="s">
        <v>225</v>
      </c>
      <c r="B11" s="808"/>
      <c r="C11" s="688">
        <f>huishoudens!B8</f>
        <v>39087.949861148634</v>
      </c>
      <c r="D11" s="688">
        <f>huishoudens!C8</f>
        <v>0</v>
      </c>
      <c r="E11" s="688">
        <f>huishoudens!D8</f>
        <v>112960.32472685585</v>
      </c>
      <c r="F11" s="688">
        <f>huishoudens!E8</f>
        <v>1212.7381980000671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9846.046898656261</v>
      </c>
      <c r="P11" s="688">
        <f>huishoudens!O8</f>
        <v>107.87</v>
      </c>
      <c r="Q11" s="689">
        <f>huishoudens!P8</f>
        <v>152.53333333333333</v>
      </c>
      <c r="R11" s="691">
        <f>SUM(C11:Q11)</f>
        <v>163367.46301799413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11838.829082554697</v>
      </c>
      <c r="D13" s="688">
        <f>industrie!C18</f>
        <v>0</v>
      </c>
      <c r="E13" s="688">
        <f>industrie!D18</f>
        <v>12678.755978483923</v>
      </c>
      <c r="F13" s="688">
        <f>industrie!E18</f>
        <v>136.7452919548565</v>
      </c>
      <c r="G13" s="688">
        <f>industrie!F18</f>
        <v>4175.1876253842238</v>
      </c>
      <c r="H13" s="688">
        <f>industrie!G18</f>
        <v>0</v>
      </c>
      <c r="I13" s="688">
        <f>industrie!H18</f>
        <v>0</v>
      </c>
      <c r="J13" s="688">
        <f>industrie!I18</f>
        <v>0</v>
      </c>
      <c r="K13" s="688">
        <f>industrie!J18</f>
        <v>29.079400836971701</v>
      </c>
      <c r="L13" s="688">
        <f>industrie!K18</f>
        <v>0</v>
      </c>
      <c r="M13" s="688">
        <f>industrie!L18</f>
        <v>0</v>
      </c>
      <c r="N13" s="688">
        <f>industrie!M18</f>
        <v>0</v>
      </c>
      <c r="O13" s="688">
        <f>industrie!N18</f>
        <v>1032.7413476351453</v>
      </c>
      <c r="P13" s="688">
        <f>industrie!O18</f>
        <v>0</v>
      </c>
      <c r="Q13" s="689">
        <f>industrie!P18</f>
        <v>0</v>
      </c>
      <c r="R13" s="691">
        <f>SUM(C13:Q13)</f>
        <v>29891.338726849815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106858.56848010907</v>
      </c>
      <c r="D16" s="721">
        <f t="shared" ref="D16:R16" ca="1" si="0">SUM(D9:D15)</f>
        <v>13037.142857142857</v>
      </c>
      <c r="E16" s="721">
        <f t="shared" ca="1" si="0"/>
        <v>163200.9333560635</v>
      </c>
      <c r="F16" s="721">
        <f t="shared" si="0"/>
        <v>1646.526765658668</v>
      </c>
      <c r="G16" s="721">
        <f t="shared" ca="1" si="0"/>
        <v>12479.53095478576</v>
      </c>
      <c r="H16" s="721">
        <f t="shared" si="0"/>
        <v>0</v>
      </c>
      <c r="I16" s="721">
        <f t="shared" si="0"/>
        <v>0</v>
      </c>
      <c r="J16" s="721">
        <f t="shared" si="0"/>
        <v>0</v>
      </c>
      <c r="K16" s="721">
        <f t="shared" si="0"/>
        <v>29.079400836971701</v>
      </c>
      <c r="L16" s="721">
        <f t="shared" si="0"/>
        <v>0</v>
      </c>
      <c r="M16" s="721">
        <f t="shared" ca="1" si="0"/>
        <v>0</v>
      </c>
      <c r="N16" s="721">
        <f t="shared" si="0"/>
        <v>0</v>
      </c>
      <c r="O16" s="721">
        <f t="shared" ca="1" si="0"/>
        <v>12666.599986706897</v>
      </c>
      <c r="P16" s="721">
        <f t="shared" si="0"/>
        <v>107.87</v>
      </c>
      <c r="Q16" s="721">
        <f t="shared" si="0"/>
        <v>152.53333333333333</v>
      </c>
      <c r="R16" s="721">
        <f t="shared" ca="1" si="0"/>
        <v>310178.78513463703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2118.6301689809984</v>
      </c>
      <c r="I19" s="688">
        <f>transport!H54</f>
        <v>0</v>
      </c>
      <c r="J19" s="688">
        <f>transport!I54</f>
        <v>0</v>
      </c>
      <c r="K19" s="688">
        <f>transport!J54</f>
        <v>0</v>
      </c>
      <c r="L19" s="688">
        <f>transport!K54</f>
        <v>0</v>
      </c>
      <c r="M19" s="688">
        <f>transport!L54</f>
        <v>0</v>
      </c>
      <c r="N19" s="688">
        <f>transport!M54</f>
        <v>93.032545619029136</v>
      </c>
      <c r="O19" s="688">
        <f>transport!N54</f>
        <v>0</v>
      </c>
      <c r="P19" s="688">
        <f>transport!O54</f>
        <v>0</v>
      </c>
      <c r="Q19" s="689">
        <f>transport!P54</f>
        <v>0</v>
      </c>
      <c r="R19" s="691">
        <f>SUM(C19:Q19)</f>
        <v>2211.6627146000274</v>
      </c>
      <c r="S19" s="68"/>
    </row>
    <row r="20" spans="1:19" s="457" customFormat="1">
      <c r="A20" s="803" t="s">
        <v>307</v>
      </c>
      <c r="B20" s="808"/>
      <c r="C20" s="688">
        <f>transport!B14</f>
        <v>7.6160005449840931</v>
      </c>
      <c r="D20" s="688">
        <f>transport!C14</f>
        <v>0</v>
      </c>
      <c r="E20" s="688">
        <f>transport!D14</f>
        <v>20.267448737526994</v>
      </c>
      <c r="F20" s="688">
        <f>transport!E14</f>
        <v>1341.4436445904371</v>
      </c>
      <c r="G20" s="688">
        <f>transport!F14</f>
        <v>0</v>
      </c>
      <c r="H20" s="688">
        <f>transport!G14</f>
        <v>305761.62800510955</v>
      </c>
      <c r="I20" s="688">
        <f>transport!H14</f>
        <v>46596.524254113858</v>
      </c>
      <c r="J20" s="688">
        <f>transport!I14</f>
        <v>0</v>
      </c>
      <c r="K20" s="688">
        <f>transport!J14</f>
        <v>0</v>
      </c>
      <c r="L20" s="688">
        <f>transport!K14</f>
        <v>0</v>
      </c>
      <c r="M20" s="688">
        <f>transport!L14</f>
        <v>0</v>
      </c>
      <c r="N20" s="688">
        <f>transport!M14</f>
        <v>15747.179441142329</v>
      </c>
      <c r="O20" s="688">
        <f>transport!N14</f>
        <v>0</v>
      </c>
      <c r="P20" s="688">
        <f>transport!O14</f>
        <v>0</v>
      </c>
      <c r="Q20" s="689">
        <f>transport!P14</f>
        <v>0</v>
      </c>
      <c r="R20" s="691">
        <f>SUM(C20:Q20)</f>
        <v>369474.65879423864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7.6160005449840931</v>
      </c>
      <c r="D22" s="806">
        <f t="shared" ref="D22:R22" si="1">SUM(D18:D21)</f>
        <v>0</v>
      </c>
      <c r="E22" s="806">
        <f t="shared" si="1"/>
        <v>20.267448737526994</v>
      </c>
      <c r="F22" s="806">
        <f t="shared" si="1"/>
        <v>1341.4436445904371</v>
      </c>
      <c r="G22" s="806">
        <f t="shared" si="1"/>
        <v>0</v>
      </c>
      <c r="H22" s="806">
        <f t="shared" si="1"/>
        <v>307880.25817409053</v>
      </c>
      <c r="I22" s="806">
        <f t="shared" si="1"/>
        <v>46596.524254113858</v>
      </c>
      <c r="J22" s="806">
        <f t="shared" si="1"/>
        <v>0</v>
      </c>
      <c r="K22" s="806">
        <f t="shared" si="1"/>
        <v>0</v>
      </c>
      <c r="L22" s="806">
        <f t="shared" si="1"/>
        <v>0</v>
      </c>
      <c r="M22" s="806">
        <f t="shared" si="1"/>
        <v>0</v>
      </c>
      <c r="N22" s="806">
        <f t="shared" si="1"/>
        <v>15840.211986761358</v>
      </c>
      <c r="O22" s="806">
        <f t="shared" si="1"/>
        <v>0</v>
      </c>
      <c r="P22" s="806">
        <f t="shared" si="1"/>
        <v>0</v>
      </c>
      <c r="Q22" s="806">
        <f t="shared" si="1"/>
        <v>0</v>
      </c>
      <c r="R22" s="806">
        <f t="shared" si="1"/>
        <v>371686.32150883868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1485.5681667953991</v>
      </c>
      <c r="D24" s="688">
        <f>+landbouw!C8</f>
        <v>54527.142857142855</v>
      </c>
      <c r="E24" s="688">
        <f>+landbouw!D8</f>
        <v>0</v>
      </c>
      <c r="F24" s="688">
        <f>+landbouw!E8</f>
        <v>13.995047494535413</v>
      </c>
      <c r="G24" s="688">
        <f>+landbouw!F8</f>
        <v>4847.9019450296046</v>
      </c>
      <c r="H24" s="688">
        <f>+landbouw!G8</f>
        <v>0</v>
      </c>
      <c r="I24" s="688">
        <f>+landbouw!H8</f>
        <v>0</v>
      </c>
      <c r="J24" s="688">
        <f>+landbouw!I8</f>
        <v>0</v>
      </c>
      <c r="K24" s="688">
        <f>+landbouw!J8</f>
        <v>183.77200803476615</v>
      </c>
      <c r="L24" s="688">
        <f>+landbouw!K8</f>
        <v>0</v>
      </c>
      <c r="M24" s="688">
        <f>+landbouw!L8</f>
        <v>0</v>
      </c>
      <c r="N24" s="688">
        <f>+landbouw!M8</f>
        <v>0</v>
      </c>
      <c r="O24" s="688">
        <f>+landbouw!N8</f>
        <v>0</v>
      </c>
      <c r="P24" s="688">
        <f>+landbouw!O8</f>
        <v>0</v>
      </c>
      <c r="Q24" s="689">
        <f>+landbouw!P8</f>
        <v>0</v>
      </c>
      <c r="R24" s="691">
        <f>SUM(C24:Q24)</f>
        <v>61058.380024497157</v>
      </c>
      <c r="S24" s="68"/>
    </row>
    <row r="25" spans="1:19" s="457" customFormat="1" ht="15" thickBot="1">
      <c r="A25" s="825" t="s">
        <v>912</v>
      </c>
      <c r="B25" s="1001"/>
      <c r="C25" s="1002">
        <f>IF(Onbekend_ele_kWh="---",0,Onbekend_ele_kWh)/1000+IF(REST_rest_ele_kWh="---",0,REST_rest_ele_kWh)/1000</f>
        <v>1220.1474369075702</v>
      </c>
      <c r="D25" s="1002"/>
      <c r="E25" s="1002">
        <f>IF(onbekend_gas_kWh="---",0,onbekend_gas_kWh)/1000+IF(REST_rest_gas_kWh="---",0,REST_rest_gas_kWh)/1000</f>
        <v>4128.5319186262695</v>
      </c>
      <c r="F25" s="1002"/>
      <c r="G25" s="1002"/>
      <c r="H25" s="1002"/>
      <c r="I25" s="1002"/>
      <c r="J25" s="1002"/>
      <c r="K25" s="1002"/>
      <c r="L25" s="1002"/>
      <c r="M25" s="1002"/>
      <c r="N25" s="1002"/>
      <c r="O25" s="1002"/>
      <c r="P25" s="1002"/>
      <c r="Q25" s="1003"/>
      <c r="R25" s="691">
        <f>SUM(C25:Q25)</f>
        <v>5348.67935553384</v>
      </c>
      <c r="S25" s="68"/>
    </row>
    <row r="26" spans="1:19" s="457" customFormat="1" ht="15.75" thickBot="1">
      <c r="A26" s="694" t="s">
        <v>913</v>
      </c>
      <c r="B26" s="811"/>
      <c r="C26" s="806">
        <f>SUM(C24:C25)</f>
        <v>2705.715603702969</v>
      </c>
      <c r="D26" s="806">
        <f t="shared" ref="D26:R26" si="2">SUM(D24:D25)</f>
        <v>54527.142857142855</v>
      </c>
      <c r="E26" s="806">
        <f t="shared" si="2"/>
        <v>4128.5319186262695</v>
      </c>
      <c r="F26" s="806">
        <f t="shared" si="2"/>
        <v>13.995047494535413</v>
      </c>
      <c r="G26" s="806">
        <f t="shared" si="2"/>
        <v>4847.9019450296046</v>
      </c>
      <c r="H26" s="806">
        <f t="shared" si="2"/>
        <v>0</v>
      </c>
      <c r="I26" s="806">
        <f t="shared" si="2"/>
        <v>0</v>
      </c>
      <c r="J26" s="806">
        <f t="shared" si="2"/>
        <v>0</v>
      </c>
      <c r="K26" s="806">
        <f t="shared" si="2"/>
        <v>183.77200803476615</v>
      </c>
      <c r="L26" s="806">
        <f t="shared" si="2"/>
        <v>0</v>
      </c>
      <c r="M26" s="806">
        <f t="shared" si="2"/>
        <v>0</v>
      </c>
      <c r="N26" s="806">
        <f t="shared" si="2"/>
        <v>0</v>
      </c>
      <c r="O26" s="806">
        <f t="shared" si="2"/>
        <v>0</v>
      </c>
      <c r="P26" s="806">
        <f t="shared" si="2"/>
        <v>0</v>
      </c>
      <c r="Q26" s="806">
        <f t="shared" si="2"/>
        <v>0</v>
      </c>
      <c r="R26" s="806">
        <f t="shared" si="2"/>
        <v>66407.059380031002</v>
      </c>
      <c r="S26" s="68"/>
    </row>
    <row r="27" spans="1:19" s="457" customFormat="1" ht="17.25" thickTop="1" thickBot="1">
      <c r="A27" s="695" t="s">
        <v>116</v>
      </c>
      <c r="B27" s="798"/>
      <c r="C27" s="696">
        <f ca="1">C22+C16+C26</f>
        <v>109571.90008435701</v>
      </c>
      <c r="D27" s="696">
        <f t="shared" ref="D27:R27" ca="1" si="3">D22+D16+D26</f>
        <v>67564.28571428571</v>
      </c>
      <c r="E27" s="696">
        <f t="shared" ca="1" si="3"/>
        <v>167349.7327234273</v>
      </c>
      <c r="F27" s="696">
        <f t="shared" si="3"/>
        <v>3001.9654577436404</v>
      </c>
      <c r="G27" s="696">
        <f t="shared" ca="1" si="3"/>
        <v>17327.432899815365</v>
      </c>
      <c r="H27" s="696">
        <f t="shared" si="3"/>
        <v>307880.25817409053</v>
      </c>
      <c r="I27" s="696">
        <f t="shared" si="3"/>
        <v>46596.524254113858</v>
      </c>
      <c r="J27" s="696">
        <f t="shared" si="3"/>
        <v>0</v>
      </c>
      <c r="K27" s="696">
        <f t="shared" si="3"/>
        <v>212.85140887173785</v>
      </c>
      <c r="L27" s="696">
        <f t="shared" si="3"/>
        <v>0</v>
      </c>
      <c r="M27" s="696">
        <f t="shared" ca="1" si="3"/>
        <v>0</v>
      </c>
      <c r="N27" s="696">
        <f t="shared" si="3"/>
        <v>15840.211986761358</v>
      </c>
      <c r="O27" s="696">
        <f t="shared" ca="1" si="3"/>
        <v>12666.599986706897</v>
      </c>
      <c r="P27" s="696">
        <f t="shared" si="3"/>
        <v>107.87</v>
      </c>
      <c r="Q27" s="696">
        <f t="shared" si="3"/>
        <v>152.53333333333333</v>
      </c>
      <c r="R27" s="696">
        <f t="shared" ca="1" si="3"/>
        <v>748272.16602350667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12018.229465232605</v>
      </c>
      <c r="D40" s="688">
        <f ca="1">tertiair!C20</f>
        <v>3098.2386554621853</v>
      </c>
      <c r="E40" s="688">
        <f ca="1">tertiair!D20</f>
        <v>7587.4942354461946</v>
      </c>
      <c r="F40" s="688">
        <f>tertiair!E20</f>
        <v>67.42882358475002</v>
      </c>
      <c r="G40" s="688">
        <f ca="1">tertiair!F20</f>
        <v>2217.2596689502102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24988.650848675941</v>
      </c>
    </row>
    <row r="41" spans="1:18">
      <c r="A41" s="816" t="s">
        <v>225</v>
      </c>
      <c r="B41" s="823"/>
      <c r="C41" s="688">
        <f ca="1">huishoudens!B12</f>
        <v>8398.9436892774829</v>
      </c>
      <c r="D41" s="688">
        <f ca="1">huishoudens!C12</f>
        <v>0</v>
      </c>
      <c r="E41" s="688">
        <f>huishoudens!D12</f>
        <v>22817.985594824884</v>
      </c>
      <c r="F41" s="688">
        <f>huishoudens!E12</f>
        <v>275.29157094601521</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31492.220855048381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2543.8443091687786</v>
      </c>
      <c r="D43" s="688">
        <f ca="1">industrie!C22</f>
        <v>0</v>
      </c>
      <c r="E43" s="688">
        <f>industrie!D22</f>
        <v>2561.1087076537528</v>
      </c>
      <c r="F43" s="688">
        <f>industrie!E22</f>
        <v>31.041181273752425</v>
      </c>
      <c r="G43" s="688">
        <f>industrie!F22</f>
        <v>1114.7750959775879</v>
      </c>
      <c r="H43" s="688">
        <f>industrie!G22</f>
        <v>0</v>
      </c>
      <c r="I43" s="688">
        <f>industrie!H22</f>
        <v>0</v>
      </c>
      <c r="J43" s="688">
        <f>industrie!I22</f>
        <v>0</v>
      </c>
      <c r="K43" s="688">
        <f>industrie!J22</f>
        <v>10.294107896287981</v>
      </c>
      <c r="L43" s="688">
        <f>industrie!K22</f>
        <v>0</v>
      </c>
      <c r="M43" s="688">
        <f>industrie!L22</f>
        <v>0</v>
      </c>
      <c r="N43" s="688">
        <f>industrie!M22</f>
        <v>0</v>
      </c>
      <c r="O43" s="688">
        <f>industrie!N22</f>
        <v>0</v>
      </c>
      <c r="P43" s="688">
        <f>industrie!O22</f>
        <v>0</v>
      </c>
      <c r="Q43" s="763">
        <f>industrie!P22</f>
        <v>0</v>
      </c>
      <c r="R43" s="843">
        <f t="shared" ca="1" si="4"/>
        <v>6261.0634019701592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22961.017463678865</v>
      </c>
      <c r="D46" s="721">
        <f t="shared" ref="D46:Q46" ca="1" si="5">SUM(D39:D45)</f>
        <v>3098.2386554621853</v>
      </c>
      <c r="E46" s="721">
        <f t="shared" ca="1" si="5"/>
        <v>32966.588537924828</v>
      </c>
      <c r="F46" s="721">
        <f t="shared" si="5"/>
        <v>373.76157580451769</v>
      </c>
      <c r="G46" s="721">
        <f t="shared" ca="1" si="5"/>
        <v>3332.0347649277983</v>
      </c>
      <c r="H46" s="721">
        <f t="shared" si="5"/>
        <v>0</v>
      </c>
      <c r="I46" s="721">
        <f t="shared" si="5"/>
        <v>0</v>
      </c>
      <c r="J46" s="721">
        <f t="shared" si="5"/>
        <v>0</v>
      </c>
      <c r="K46" s="721">
        <f t="shared" si="5"/>
        <v>10.294107896287981</v>
      </c>
      <c r="L46" s="721">
        <f t="shared" si="5"/>
        <v>0</v>
      </c>
      <c r="M46" s="721">
        <f t="shared" ca="1" si="5"/>
        <v>0</v>
      </c>
      <c r="N46" s="721">
        <f t="shared" si="5"/>
        <v>0</v>
      </c>
      <c r="O46" s="721">
        <f t="shared" ca="1" si="5"/>
        <v>0</v>
      </c>
      <c r="P46" s="721">
        <f t="shared" si="5"/>
        <v>0</v>
      </c>
      <c r="Q46" s="721">
        <f t="shared" si="5"/>
        <v>0</v>
      </c>
      <c r="R46" s="721">
        <f ca="1">SUM(R39:R45)</f>
        <v>62741.93510569448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565.67425511792658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565.67425511792658</v>
      </c>
    </row>
    <row r="50" spans="1:18">
      <c r="A50" s="819" t="s">
        <v>307</v>
      </c>
      <c r="B50" s="829"/>
      <c r="C50" s="1008">
        <f ca="1">transport!B18</f>
        <v>1.6364726198752935</v>
      </c>
      <c r="D50" s="1008">
        <f>transport!C18</f>
        <v>0</v>
      </c>
      <c r="E50" s="1008">
        <f>transport!D18</f>
        <v>4.0940246449804532</v>
      </c>
      <c r="F50" s="1008">
        <f>transport!E18</f>
        <v>304.5077073220292</v>
      </c>
      <c r="G50" s="1008">
        <f>transport!F18</f>
        <v>0</v>
      </c>
      <c r="H50" s="1008">
        <f>transport!G18</f>
        <v>81638.354677364259</v>
      </c>
      <c r="I50" s="1008">
        <f>transport!H18</f>
        <v>11602.534539274351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93551.127421225494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1.6364726198752935</v>
      </c>
      <c r="D52" s="721">
        <f t="shared" ref="D52:Q52" ca="1" si="6">SUM(D48:D51)</f>
        <v>0</v>
      </c>
      <c r="E52" s="721">
        <f t="shared" si="6"/>
        <v>4.0940246449804532</v>
      </c>
      <c r="F52" s="721">
        <f t="shared" si="6"/>
        <v>304.5077073220292</v>
      </c>
      <c r="G52" s="721">
        <f t="shared" si="6"/>
        <v>0</v>
      </c>
      <c r="H52" s="721">
        <f t="shared" si="6"/>
        <v>82204.028932482179</v>
      </c>
      <c r="I52" s="721">
        <f t="shared" si="6"/>
        <v>11602.534539274351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94116.801676343413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319.20843696894474</v>
      </c>
      <c r="D54" s="1008">
        <f ca="1">+landbouw!C12</f>
        <v>12958.215126050422</v>
      </c>
      <c r="E54" s="1008">
        <f>+landbouw!D12</f>
        <v>0</v>
      </c>
      <c r="F54" s="1008">
        <f>+landbouw!E12</f>
        <v>3.1768757812595387</v>
      </c>
      <c r="G54" s="1008">
        <f>+landbouw!F12</f>
        <v>1294.3898193229045</v>
      </c>
      <c r="H54" s="1008">
        <f>+landbouw!G12</f>
        <v>0</v>
      </c>
      <c r="I54" s="1008">
        <f>+landbouw!H12</f>
        <v>0</v>
      </c>
      <c r="J54" s="1008">
        <f>+landbouw!I12</f>
        <v>0</v>
      </c>
      <c r="K54" s="1008">
        <f>+landbouw!J12</f>
        <v>65.055290844307208</v>
      </c>
      <c r="L54" s="1008">
        <f>+landbouw!K12</f>
        <v>0</v>
      </c>
      <c r="M54" s="1008">
        <f>+landbouw!L12</f>
        <v>0</v>
      </c>
      <c r="N54" s="1008">
        <f>+landbouw!M12</f>
        <v>0</v>
      </c>
      <c r="O54" s="1008">
        <f>+landbouw!N12</f>
        <v>0</v>
      </c>
      <c r="P54" s="1008">
        <f>+landbouw!O12</f>
        <v>0</v>
      </c>
      <c r="Q54" s="1009">
        <f>+landbouw!P12</f>
        <v>0</v>
      </c>
      <c r="R54" s="720">
        <f ca="1">SUM(C54:Q54)</f>
        <v>14640.045548967839</v>
      </c>
    </row>
    <row r="55" spans="1:18" ht="15" thickBot="1">
      <c r="A55" s="819" t="s">
        <v>912</v>
      </c>
      <c r="B55" s="829"/>
      <c r="C55" s="1008">
        <f ca="1">C25*'EF ele_warmte'!B12</f>
        <v>262.17669771902911</v>
      </c>
      <c r="D55" s="1008"/>
      <c r="E55" s="1008">
        <f>E25*EF_CO2_aardgas</f>
        <v>833.96344756250653</v>
      </c>
      <c r="F55" s="1008"/>
      <c r="G55" s="1008"/>
      <c r="H55" s="1008"/>
      <c r="I55" s="1008"/>
      <c r="J55" s="1008"/>
      <c r="K55" s="1008"/>
      <c r="L55" s="1008"/>
      <c r="M55" s="1008"/>
      <c r="N55" s="1008"/>
      <c r="O55" s="1008"/>
      <c r="P55" s="1008"/>
      <c r="Q55" s="1009"/>
      <c r="R55" s="720">
        <f ca="1">SUM(C55:Q55)</f>
        <v>1096.1401452815358</v>
      </c>
    </row>
    <row r="56" spans="1:18" ht="15.75" thickBot="1">
      <c r="A56" s="817" t="s">
        <v>913</v>
      </c>
      <c r="B56" s="830"/>
      <c r="C56" s="721">
        <f ca="1">SUM(C54:C55)</f>
        <v>581.38513468797385</v>
      </c>
      <c r="D56" s="721">
        <f t="shared" ref="D56:Q56" ca="1" si="7">SUM(D54:D55)</f>
        <v>12958.215126050422</v>
      </c>
      <c r="E56" s="721">
        <f t="shared" si="7"/>
        <v>833.96344756250653</v>
      </c>
      <c r="F56" s="721">
        <f t="shared" si="7"/>
        <v>3.1768757812595387</v>
      </c>
      <c r="G56" s="721">
        <f t="shared" si="7"/>
        <v>1294.3898193229045</v>
      </c>
      <c r="H56" s="721">
        <f t="shared" si="7"/>
        <v>0</v>
      </c>
      <c r="I56" s="721">
        <f t="shared" si="7"/>
        <v>0</v>
      </c>
      <c r="J56" s="721">
        <f t="shared" si="7"/>
        <v>0</v>
      </c>
      <c r="K56" s="721">
        <f t="shared" si="7"/>
        <v>65.055290844307208</v>
      </c>
      <c r="L56" s="721">
        <f t="shared" si="7"/>
        <v>0</v>
      </c>
      <c r="M56" s="721">
        <f t="shared" si="7"/>
        <v>0</v>
      </c>
      <c r="N56" s="721">
        <f t="shared" si="7"/>
        <v>0</v>
      </c>
      <c r="O56" s="721">
        <f t="shared" si="7"/>
        <v>0</v>
      </c>
      <c r="P56" s="721">
        <f t="shared" si="7"/>
        <v>0</v>
      </c>
      <c r="Q56" s="722">
        <f t="shared" si="7"/>
        <v>0</v>
      </c>
      <c r="R56" s="723">
        <f ca="1">SUM(R54:R55)</f>
        <v>15736.185694249374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23544.039070986713</v>
      </c>
      <c r="D61" s="729">
        <f t="shared" ref="D61:Q61" ca="1" si="8">D46+D52+D56</f>
        <v>16056.453781512606</v>
      </c>
      <c r="E61" s="729">
        <f t="shared" ca="1" si="8"/>
        <v>33804.646010132317</v>
      </c>
      <c r="F61" s="729">
        <f t="shared" si="8"/>
        <v>681.44615890780653</v>
      </c>
      <c r="G61" s="729">
        <f t="shared" ca="1" si="8"/>
        <v>4626.4245842507025</v>
      </c>
      <c r="H61" s="729">
        <f t="shared" si="8"/>
        <v>82204.028932482179</v>
      </c>
      <c r="I61" s="729">
        <f t="shared" si="8"/>
        <v>11602.534539274351</v>
      </c>
      <c r="J61" s="729">
        <f t="shared" si="8"/>
        <v>0</v>
      </c>
      <c r="K61" s="729">
        <f t="shared" si="8"/>
        <v>75.349398740595191</v>
      </c>
      <c r="L61" s="729">
        <f t="shared" si="8"/>
        <v>0</v>
      </c>
      <c r="M61" s="729">
        <f t="shared" ca="1" si="8"/>
        <v>0</v>
      </c>
      <c r="N61" s="729">
        <f t="shared" si="8"/>
        <v>0</v>
      </c>
      <c r="O61" s="729">
        <f t="shared" ca="1" si="8"/>
        <v>0</v>
      </c>
      <c r="P61" s="729">
        <f t="shared" si="8"/>
        <v>0</v>
      </c>
      <c r="Q61" s="729">
        <f t="shared" si="8"/>
        <v>0</v>
      </c>
      <c r="R61" s="729">
        <f ca="1">R46+R52+R56</f>
        <v>172594.92247628726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0.21487296517501908</v>
      </c>
      <c r="D63" s="773">
        <f t="shared" ca="1" si="9"/>
        <v>0.23764705882352943</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6600.3325552715469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47295</v>
      </c>
      <c r="D76" s="1020">
        <f>'lokale energieproductie'!C8</f>
        <v>55641.176470588238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11239.517647058825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6600.3325552715469</v>
      </c>
      <c r="C78" s="744">
        <f>SUM(C72:C77)</f>
        <v>47295</v>
      </c>
      <c r="D78" s="745">
        <f t="shared" ref="D78:H78" si="10">SUM(D76:D77)</f>
        <v>55641.176470588238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11239.517647058825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67564.28571428571</v>
      </c>
      <c r="D87" s="766">
        <f>'lokale energieproductie'!C17</f>
        <v>79487.394957983197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16056.453781512606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67564.28571428571</v>
      </c>
      <c r="D90" s="744">
        <f t="shared" ref="D90:H90" si="12">SUM(D87:D89)</f>
        <v>79487.394957983197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16056.453781512606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6600.3325552715469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47295</v>
      </c>
      <c r="C8" s="558">
        <f>B101</f>
        <v>55641.176470588238</v>
      </c>
      <c r="D8" s="991"/>
      <c r="E8" s="991">
        <f>E101</f>
        <v>0</v>
      </c>
      <c r="F8" s="992"/>
      <c r="G8" s="559"/>
      <c r="H8" s="991">
        <f>I101</f>
        <v>0</v>
      </c>
      <c r="I8" s="991">
        <f>G101+F101</f>
        <v>0</v>
      </c>
      <c r="J8" s="991">
        <f>H101+D101+C101</f>
        <v>0</v>
      </c>
      <c r="K8" s="991"/>
      <c r="L8" s="991"/>
      <c r="M8" s="991"/>
      <c r="N8" s="560"/>
      <c r="O8" s="561">
        <f>C8*$C$12+D8*$D$12+E8*$E$12+F8*$F$12+G8*$G$12+H8*$H$12+I8*$I$12+J8*$J$12</f>
        <v>11239.517647058825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53895.332555271547</v>
      </c>
      <c r="C10" s="570">
        <f t="shared" ref="C10:L10" si="0">SUM(C8:C9)</f>
        <v>55641.176470588238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11239.517647058825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67564.28571428571</v>
      </c>
      <c r="C17" s="582">
        <f>B102</f>
        <v>79487.394957983197</v>
      </c>
      <c r="D17" s="583"/>
      <c r="E17" s="583">
        <f>E102</f>
        <v>0</v>
      </c>
      <c r="F17" s="584"/>
      <c r="G17" s="585"/>
      <c r="H17" s="582">
        <f>I102</f>
        <v>0</v>
      </c>
      <c r="I17" s="583">
        <f>G102+F102</f>
        <v>0</v>
      </c>
      <c r="J17" s="583">
        <f>H102+D102+C102</f>
        <v>0</v>
      </c>
      <c r="K17" s="583"/>
      <c r="L17" s="583"/>
      <c r="M17" s="583"/>
      <c r="N17" s="998"/>
      <c r="O17" s="586">
        <f>C17*$C$22+E17*$E$22+H17*$H$22+I17*$I$22+J17*$J$22+D17*$D$22+F17*$F$22+G17*$G$22+K17*$K$22+L17*$L$22</f>
        <v>16056.453781512606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67564.28571428571</v>
      </c>
      <c r="C20" s="569">
        <f>SUM(C17:C19)</f>
        <v>79487.394957983197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16056.453781512606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11024</v>
      </c>
      <c r="C28" s="789">
        <v>2550</v>
      </c>
      <c r="D28" s="642" t="s">
        <v>948</v>
      </c>
      <c r="E28" s="641" t="s">
        <v>949</v>
      </c>
      <c r="F28" s="641" t="s">
        <v>950</v>
      </c>
      <c r="G28" s="641" t="s">
        <v>951</v>
      </c>
      <c r="H28" s="641" t="s">
        <v>952</v>
      </c>
      <c r="I28" s="641" t="s">
        <v>949</v>
      </c>
      <c r="J28" s="788">
        <v>39444</v>
      </c>
      <c r="K28" s="788">
        <v>39444</v>
      </c>
      <c r="L28" s="641" t="s">
        <v>953</v>
      </c>
      <c r="M28" s="641">
        <v>4008</v>
      </c>
      <c r="N28" s="641">
        <v>18036</v>
      </c>
      <c r="O28" s="641">
        <v>25765.714285714286</v>
      </c>
      <c r="P28" s="641">
        <v>51531.428571428572</v>
      </c>
      <c r="Q28" s="641">
        <v>0</v>
      </c>
      <c r="R28" s="641">
        <v>0</v>
      </c>
      <c r="S28" s="641">
        <v>0</v>
      </c>
      <c r="T28" s="641">
        <v>0</v>
      </c>
      <c r="U28" s="641">
        <v>0</v>
      </c>
      <c r="V28" s="641">
        <v>0</v>
      </c>
      <c r="W28" s="641"/>
      <c r="X28" s="641">
        <v>10</v>
      </c>
      <c r="Y28" s="641" t="s">
        <v>112</v>
      </c>
      <c r="Z28" s="643" t="s">
        <v>112</v>
      </c>
    </row>
    <row r="29" spans="1:26" s="595" customFormat="1" ht="38.25">
      <c r="A29" s="594"/>
      <c r="B29" s="789">
        <v>11024</v>
      </c>
      <c r="C29" s="789">
        <v>2550</v>
      </c>
      <c r="D29" s="642" t="s">
        <v>954</v>
      </c>
      <c r="E29" s="641" t="s">
        <v>955</v>
      </c>
      <c r="F29" s="641" t="s">
        <v>956</v>
      </c>
      <c r="G29" s="641" t="s">
        <v>951</v>
      </c>
      <c r="H29" s="641" t="s">
        <v>952</v>
      </c>
      <c r="I29" s="641" t="s">
        <v>955</v>
      </c>
      <c r="J29" s="788">
        <v>39471</v>
      </c>
      <c r="K29" s="788">
        <v>39524</v>
      </c>
      <c r="L29" s="641" t="s">
        <v>953</v>
      </c>
      <c r="M29" s="641">
        <v>1746</v>
      </c>
      <c r="N29" s="641">
        <v>7857</v>
      </c>
      <c r="O29" s="641">
        <v>11224.285714285714</v>
      </c>
      <c r="P29" s="641">
        <v>22448.571428571431</v>
      </c>
      <c r="Q29" s="641">
        <v>0</v>
      </c>
      <c r="R29" s="641">
        <v>0</v>
      </c>
      <c r="S29" s="641">
        <v>0</v>
      </c>
      <c r="T29" s="641">
        <v>0</v>
      </c>
      <c r="U29" s="641">
        <v>0</v>
      </c>
      <c r="V29" s="641">
        <v>0</v>
      </c>
      <c r="W29" s="641"/>
      <c r="X29" s="641">
        <v>10</v>
      </c>
      <c r="Y29" s="641" t="s">
        <v>112</v>
      </c>
      <c r="Z29" s="643" t="s">
        <v>112</v>
      </c>
    </row>
    <row r="30" spans="1:26" s="595" customFormat="1" ht="63.75">
      <c r="A30" s="594"/>
      <c r="B30" s="789">
        <v>11024</v>
      </c>
      <c r="C30" s="789">
        <v>2550</v>
      </c>
      <c r="D30" s="642" t="s">
        <v>957</v>
      </c>
      <c r="E30" s="641" t="s">
        <v>958</v>
      </c>
      <c r="F30" s="641" t="s">
        <v>959</v>
      </c>
      <c r="G30" s="641" t="s">
        <v>951</v>
      </c>
      <c r="H30" s="641" t="s">
        <v>952</v>
      </c>
      <c r="I30" s="641" t="s">
        <v>960</v>
      </c>
      <c r="J30" s="788">
        <v>39544</v>
      </c>
      <c r="K30" s="788">
        <v>39583</v>
      </c>
      <c r="L30" s="641" t="s">
        <v>953</v>
      </c>
      <c r="M30" s="641">
        <v>2028</v>
      </c>
      <c r="N30" s="641">
        <v>9126</v>
      </c>
      <c r="O30" s="641">
        <v>13037.142857142857</v>
      </c>
      <c r="P30" s="641">
        <v>26074.285714285717</v>
      </c>
      <c r="Q30" s="641">
        <v>0</v>
      </c>
      <c r="R30" s="641">
        <v>0</v>
      </c>
      <c r="S30" s="641">
        <v>0</v>
      </c>
      <c r="T30" s="641">
        <v>0</v>
      </c>
      <c r="U30" s="641">
        <v>0</v>
      </c>
      <c r="V30" s="641">
        <v>0</v>
      </c>
      <c r="W30" s="641"/>
      <c r="X30" s="641">
        <v>1600</v>
      </c>
      <c r="Y30" s="641" t="s">
        <v>50</v>
      </c>
      <c r="Z30" s="643" t="s">
        <v>156</v>
      </c>
    </row>
    <row r="31" spans="1:26" s="595" customFormat="1" ht="25.5">
      <c r="A31" s="594"/>
      <c r="B31" s="789">
        <v>11024</v>
      </c>
      <c r="C31" s="789">
        <v>2550</v>
      </c>
      <c r="D31" s="642" t="s">
        <v>961</v>
      </c>
      <c r="E31" s="641" t="s">
        <v>962</v>
      </c>
      <c r="F31" s="641" t="s">
        <v>963</v>
      </c>
      <c r="G31" s="641" t="s">
        <v>951</v>
      </c>
      <c r="H31" s="641" t="s">
        <v>952</v>
      </c>
      <c r="I31" s="641" t="s">
        <v>962</v>
      </c>
      <c r="J31" s="788">
        <v>40849</v>
      </c>
      <c r="K31" s="788">
        <v>39645</v>
      </c>
      <c r="L31" s="641" t="s">
        <v>953</v>
      </c>
      <c r="M31" s="641">
        <v>2728</v>
      </c>
      <c r="N31" s="641">
        <v>12276.000000000002</v>
      </c>
      <c r="O31" s="641">
        <v>17537.142857142859</v>
      </c>
      <c r="P31" s="641">
        <v>35074.285714285725</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10510</v>
      </c>
      <c r="N58" s="599">
        <f>SUM(N28:N57)</f>
        <v>47295</v>
      </c>
      <c r="O58" s="599">
        <f t="shared" ref="O58:W58" si="2">SUM(O28:O57)</f>
        <v>67564.28571428571</v>
      </c>
      <c r="P58" s="599">
        <f t="shared" si="2"/>
        <v>135128.57142857142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2028</v>
      </c>
      <c r="N60" s="599">
        <f ca="1">SUMIF($Z$28:AD57,"tertiair",N28:N57)</f>
        <v>9126</v>
      </c>
      <c r="O60" s="599">
        <f ca="1">SUMIF($Z$28:AE57,"tertiair",O28:O57)</f>
        <v>13037.142857142857</v>
      </c>
      <c r="P60" s="599">
        <f ca="1">SUMIF($Z$28:AF57,"tertiair",P28:P57)</f>
        <v>26074.285714285717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8482</v>
      </c>
      <c r="N61" s="604">
        <f t="shared" si="4"/>
        <v>38169</v>
      </c>
      <c r="O61" s="604">
        <f t="shared" si="4"/>
        <v>54527.142857142855</v>
      </c>
      <c r="P61" s="604">
        <f t="shared" si="4"/>
        <v>109054.28571428572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55641.176470588238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79487.394957983197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39087.949861148634</v>
      </c>
      <c r="C4" s="461">
        <f>huishoudens!C8</f>
        <v>0</v>
      </c>
      <c r="D4" s="461">
        <f>huishoudens!D8</f>
        <v>112960.32472685585</v>
      </c>
      <c r="E4" s="461">
        <f>huishoudens!E8</f>
        <v>1212.7381980000671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9846.046898656261</v>
      </c>
      <c r="O4" s="461">
        <f>huishoudens!O8</f>
        <v>107.87</v>
      </c>
      <c r="P4" s="462">
        <f>huishoudens!P8</f>
        <v>152.53333333333333</v>
      </c>
      <c r="Q4" s="463">
        <f>SUM(B4:P4)</f>
        <v>163367.46301799413</v>
      </c>
    </row>
    <row r="5" spans="1:17">
      <c r="A5" s="460" t="s">
        <v>156</v>
      </c>
      <c r="B5" s="461">
        <f ca="1">tertiair!B16</f>
        <v>54583.872536405732</v>
      </c>
      <c r="C5" s="461">
        <f ca="1">tertiair!C16</f>
        <v>13037.142857142857</v>
      </c>
      <c r="D5" s="461">
        <f ca="1">tertiair!D16</f>
        <v>37561.852650723733</v>
      </c>
      <c r="E5" s="461">
        <f>tertiair!E16</f>
        <v>297.0432757037446</v>
      </c>
      <c r="F5" s="461">
        <f ca="1">tertiair!F16</f>
        <v>8304.3433294015358</v>
      </c>
      <c r="G5" s="461">
        <f>tertiair!G16</f>
        <v>0</v>
      </c>
      <c r="H5" s="461">
        <f>tertiair!H16</f>
        <v>0</v>
      </c>
      <c r="I5" s="461">
        <f>tertiair!I16</f>
        <v>0</v>
      </c>
      <c r="J5" s="461">
        <f>tertiair!J16</f>
        <v>0</v>
      </c>
      <c r="K5" s="461">
        <f>tertiair!K16</f>
        <v>0</v>
      </c>
      <c r="L5" s="461">
        <f ca="1">tertiair!L16</f>
        <v>0</v>
      </c>
      <c r="M5" s="461">
        <f>tertiair!M16</f>
        <v>0</v>
      </c>
      <c r="N5" s="461">
        <f ca="1">tertiair!N16</f>
        <v>1787.8117404154909</v>
      </c>
      <c r="O5" s="461">
        <f>tertiair!O16</f>
        <v>0</v>
      </c>
      <c r="P5" s="462">
        <f>tertiair!P16</f>
        <v>0</v>
      </c>
      <c r="Q5" s="460">
        <f t="shared" ref="Q5:Q14" ca="1" si="0">SUM(B5:P5)</f>
        <v>115572.06638979311</v>
      </c>
    </row>
    <row r="6" spans="1:17">
      <c r="A6" s="460" t="s">
        <v>194</v>
      </c>
      <c r="B6" s="461">
        <f>'openbare verlichting'!B8</f>
        <v>1347.9169999999999</v>
      </c>
      <c r="C6" s="461"/>
      <c r="D6" s="461"/>
      <c r="E6" s="461"/>
      <c r="F6" s="461"/>
      <c r="G6" s="461"/>
      <c r="H6" s="461"/>
      <c r="I6" s="461"/>
      <c r="J6" s="461"/>
      <c r="K6" s="461"/>
      <c r="L6" s="461"/>
      <c r="M6" s="461"/>
      <c r="N6" s="461"/>
      <c r="O6" s="461"/>
      <c r="P6" s="462"/>
      <c r="Q6" s="460">
        <f t="shared" si="0"/>
        <v>1347.9169999999999</v>
      </c>
    </row>
    <row r="7" spans="1:17">
      <c r="A7" s="460" t="s">
        <v>112</v>
      </c>
      <c r="B7" s="461">
        <f>landbouw!B8</f>
        <v>1485.5681667953991</v>
      </c>
      <c r="C7" s="461">
        <f>landbouw!C8</f>
        <v>54527.142857142855</v>
      </c>
      <c r="D7" s="461">
        <f>landbouw!D8</f>
        <v>0</v>
      </c>
      <c r="E7" s="461">
        <f>landbouw!E8</f>
        <v>13.995047494535413</v>
      </c>
      <c r="F7" s="461">
        <f>landbouw!F8</f>
        <v>4847.9019450296046</v>
      </c>
      <c r="G7" s="461">
        <f>landbouw!G8</f>
        <v>0</v>
      </c>
      <c r="H7" s="461">
        <f>landbouw!H8</f>
        <v>0</v>
      </c>
      <c r="I7" s="461">
        <f>landbouw!I8</f>
        <v>0</v>
      </c>
      <c r="J7" s="461">
        <f>landbouw!J8</f>
        <v>183.77200803476615</v>
      </c>
      <c r="K7" s="461">
        <f>landbouw!K8</f>
        <v>0</v>
      </c>
      <c r="L7" s="461">
        <f>landbouw!L8</f>
        <v>0</v>
      </c>
      <c r="M7" s="461">
        <f>landbouw!M8</f>
        <v>0</v>
      </c>
      <c r="N7" s="461">
        <f>landbouw!N8</f>
        <v>0</v>
      </c>
      <c r="O7" s="461">
        <f>landbouw!O8</f>
        <v>0</v>
      </c>
      <c r="P7" s="462">
        <f>landbouw!P8</f>
        <v>0</v>
      </c>
      <c r="Q7" s="460">
        <f t="shared" si="0"/>
        <v>61058.380024497157</v>
      </c>
    </row>
    <row r="8" spans="1:17">
      <c r="A8" s="460" t="s">
        <v>685</v>
      </c>
      <c r="B8" s="461">
        <f>industrie!B18</f>
        <v>11838.829082554697</v>
      </c>
      <c r="C8" s="461">
        <f>industrie!C18</f>
        <v>0</v>
      </c>
      <c r="D8" s="461">
        <f>industrie!D18</f>
        <v>12678.755978483923</v>
      </c>
      <c r="E8" s="461">
        <f>industrie!E18</f>
        <v>136.7452919548565</v>
      </c>
      <c r="F8" s="461">
        <f>industrie!F18</f>
        <v>4175.1876253842238</v>
      </c>
      <c r="G8" s="461">
        <f>industrie!G18</f>
        <v>0</v>
      </c>
      <c r="H8" s="461">
        <f>industrie!H18</f>
        <v>0</v>
      </c>
      <c r="I8" s="461">
        <f>industrie!I18</f>
        <v>0</v>
      </c>
      <c r="J8" s="461">
        <f>industrie!J18</f>
        <v>29.079400836971701</v>
      </c>
      <c r="K8" s="461">
        <f>industrie!K18</f>
        <v>0</v>
      </c>
      <c r="L8" s="461">
        <f>industrie!L18</f>
        <v>0</v>
      </c>
      <c r="M8" s="461">
        <f>industrie!M18</f>
        <v>0</v>
      </c>
      <c r="N8" s="461">
        <f>industrie!N18</f>
        <v>1032.7413476351453</v>
      </c>
      <c r="O8" s="461">
        <f>industrie!O18</f>
        <v>0</v>
      </c>
      <c r="P8" s="462">
        <f>industrie!P18</f>
        <v>0</v>
      </c>
      <c r="Q8" s="460">
        <f t="shared" si="0"/>
        <v>29891.338726849815</v>
      </c>
    </row>
    <row r="9" spans="1:17" s="466" customFormat="1">
      <c r="A9" s="464" t="s">
        <v>579</v>
      </c>
      <c r="B9" s="465">
        <f>transport!B14</f>
        <v>7.6160005449840931</v>
      </c>
      <c r="C9" s="465">
        <f>transport!C14</f>
        <v>0</v>
      </c>
      <c r="D9" s="465">
        <f>transport!D14</f>
        <v>20.267448737526994</v>
      </c>
      <c r="E9" s="465">
        <f>transport!E14</f>
        <v>1341.4436445904371</v>
      </c>
      <c r="F9" s="465">
        <f>transport!F14</f>
        <v>0</v>
      </c>
      <c r="G9" s="465">
        <f>transport!G14</f>
        <v>305761.62800510955</v>
      </c>
      <c r="H9" s="465">
        <f>transport!H14</f>
        <v>46596.524254113858</v>
      </c>
      <c r="I9" s="465">
        <f>transport!I14</f>
        <v>0</v>
      </c>
      <c r="J9" s="465">
        <f>transport!J14</f>
        <v>0</v>
      </c>
      <c r="K9" s="465">
        <f>transport!K14</f>
        <v>0</v>
      </c>
      <c r="L9" s="465">
        <f>transport!L14</f>
        <v>0</v>
      </c>
      <c r="M9" s="465">
        <f>transport!M14</f>
        <v>15747.179441142329</v>
      </c>
      <c r="N9" s="465">
        <f>transport!N14</f>
        <v>0</v>
      </c>
      <c r="O9" s="465">
        <f>transport!O14</f>
        <v>0</v>
      </c>
      <c r="P9" s="465">
        <f>transport!P14</f>
        <v>0</v>
      </c>
      <c r="Q9" s="464">
        <f>SUM(B9:P9)</f>
        <v>369474.65879423864</v>
      </c>
    </row>
    <row r="10" spans="1:17">
      <c r="A10" s="460" t="s">
        <v>569</v>
      </c>
      <c r="B10" s="461">
        <f>transport!B54</f>
        <v>0</v>
      </c>
      <c r="C10" s="461">
        <f>transport!C54</f>
        <v>0</v>
      </c>
      <c r="D10" s="461">
        <f>transport!D54</f>
        <v>0</v>
      </c>
      <c r="E10" s="461">
        <f>transport!E54</f>
        <v>0</v>
      </c>
      <c r="F10" s="461">
        <f>transport!F54</f>
        <v>0</v>
      </c>
      <c r="G10" s="461">
        <f>transport!G54</f>
        <v>2118.6301689809984</v>
      </c>
      <c r="H10" s="461">
        <f>transport!H54</f>
        <v>0</v>
      </c>
      <c r="I10" s="461">
        <f>transport!I54</f>
        <v>0</v>
      </c>
      <c r="J10" s="461">
        <f>transport!J54</f>
        <v>0</v>
      </c>
      <c r="K10" s="461">
        <f>transport!K54</f>
        <v>0</v>
      </c>
      <c r="L10" s="461">
        <f>transport!L54</f>
        <v>0</v>
      </c>
      <c r="M10" s="461">
        <f>transport!M54</f>
        <v>93.032545619029136</v>
      </c>
      <c r="N10" s="461">
        <f>transport!N54</f>
        <v>0</v>
      </c>
      <c r="O10" s="461">
        <f>transport!O54</f>
        <v>0</v>
      </c>
      <c r="P10" s="462">
        <f>transport!P54</f>
        <v>0</v>
      </c>
      <c r="Q10" s="460">
        <f t="shared" si="0"/>
        <v>2211.6627146000274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1220.1474369075702</v>
      </c>
      <c r="C14" s="468"/>
      <c r="D14" s="468">
        <f>'SEAP template'!E25</f>
        <v>4128.5319186262695</v>
      </c>
      <c r="E14" s="468"/>
      <c r="F14" s="468"/>
      <c r="G14" s="468"/>
      <c r="H14" s="468"/>
      <c r="I14" s="468"/>
      <c r="J14" s="468"/>
      <c r="K14" s="468"/>
      <c r="L14" s="468"/>
      <c r="M14" s="468"/>
      <c r="N14" s="468"/>
      <c r="O14" s="468"/>
      <c r="P14" s="469"/>
      <c r="Q14" s="460">
        <f t="shared" si="0"/>
        <v>5348.67935553384</v>
      </c>
    </row>
    <row r="15" spans="1:17" s="473" customFormat="1">
      <c r="A15" s="470" t="s">
        <v>573</v>
      </c>
      <c r="B15" s="471">
        <f ca="1">SUM(B4:B14)</f>
        <v>109571.90008435702</v>
      </c>
      <c r="C15" s="471">
        <f t="shared" ref="C15:Q15" ca="1" si="1">SUM(C4:C14)</f>
        <v>67564.28571428571</v>
      </c>
      <c r="D15" s="471">
        <f t="shared" ca="1" si="1"/>
        <v>167349.7327234273</v>
      </c>
      <c r="E15" s="471">
        <f t="shared" si="1"/>
        <v>3001.9654577436404</v>
      </c>
      <c r="F15" s="471">
        <f t="shared" ca="1" si="1"/>
        <v>17327.432899815365</v>
      </c>
      <c r="G15" s="471">
        <f t="shared" si="1"/>
        <v>307880.25817409053</v>
      </c>
      <c r="H15" s="471">
        <f t="shared" si="1"/>
        <v>46596.524254113858</v>
      </c>
      <c r="I15" s="471">
        <f t="shared" si="1"/>
        <v>0</v>
      </c>
      <c r="J15" s="471">
        <f t="shared" si="1"/>
        <v>212.85140887173785</v>
      </c>
      <c r="K15" s="471">
        <f t="shared" si="1"/>
        <v>0</v>
      </c>
      <c r="L15" s="471">
        <f t="shared" ca="1" si="1"/>
        <v>0</v>
      </c>
      <c r="M15" s="471">
        <f t="shared" si="1"/>
        <v>15840.211986761358</v>
      </c>
      <c r="N15" s="471">
        <f t="shared" ca="1" si="1"/>
        <v>12666.599986706897</v>
      </c>
      <c r="O15" s="471">
        <f t="shared" si="1"/>
        <v>107.87</v>
      </c>
      <c r="P15" s="471">
        <f t="shared" si="1"/>
        <v>152.53333333333333</v>
      </c>
      <c r="Q15" s="471">
        <f t="shared" ca="1" si="1"/>
        <v>748272.16602350667</v>
      </c>
    </row>
    <row r="17" spans="1:17">
      <c r="A17" s="474" t="s">
        <v>574</v>
      </c>
      <c r="B17" s="778">
        <f ca="1">huishoudens!B10</f>
        <v>0.21487296517501908</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8398.9436892774829</v>
      </c>
      <c r="C22" s="461">
        <f t="shared" ref="C22:C32" ca="1" si="3">C4*$C$17</f>
        <v>0</v>
      </c>
      <c r="D22" s="461">
        <f t="shared" ref="D22:D32" si="4">D4*$D$17</f>
        <v>22817.985594824884</v>
      </c>
      <c r="E22" s="461">
        <f t="shared" ref="E22:E32" si="5">E4*$E$17</f>
        <v>275.29157094601521</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31492.220855048381</v>
      </c>
    </row>
    <row r="23" spans="1:17">
      <c r="A23" s="460" t="s">
        <v>156</v>
      </c>
      <c r="B23" s="461">
        <f t="shared" ca="1" si="2"/>
        <v>11728.59854263279</v>
      </c>
      <c r="C23" s="461">
        <f t="shared" ca="1" si="3"/>
        <v>3098.2386554621853</v>
      </c>
      <c r="D23" s="461">
        <f t="shared" ca="1" si="4"/>
        <v>7587.4942354461946</v>
      </c>
      <c r="E23" s="461">
        <f t="shared" si="5"/>
        <v>67.42882358475002</v>
      </c>
      <c r="F23" s="461">
        <f t="shared" ca="1" si="6"/>
        <v>2217.2596689502102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24699.019926076129</v>
      </c>
    </row>
    <row r="24" spans="1:17">
      <c r="A24" s="460" t="s">
        <v>194</v>
      </c>
      <c r="B24" s="461">
        <f t="shared" ca="1" si="2"/>
        <v>289.63092259981619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289.63092259981619</v>
      </c>
    </row>
    <row r="25" spans="1:17">
      <c r="A25" s="460" t="s">
        <v>112</v>
      </c>
      <c r="B25" s="461">
        <f t="shared" ca="1" si="2"/>
        <v>319.20843696894474</v>
      </c>
      <c r="C25" s="461">
        <f t="shared" ca="1" si="3"/>
        <v>12958.215126050422</v>
      </c>
      <c r="D25" s="461">
        <f t="shared" si="4"/>
        <v>0</v>
      </c>
      <c r="E25" s="461">
        <f t="shared" si="5"/>
        <v>3.1768757812595387</v>
      </c>
      <c r="F25" s="461">
        <f t="shared" si="6"/>
        <v>1294.3898193229045</v>
      </c>
      <c r="G25" s="461">
        <f t="shared" si="7"/>
        <v>0</v>
      </c>
      <c r="H25" s="461">
        <f t="shared" si="8"/>
        <v>0</v>
      </c>
      <c r="I25" s="461">
        <f t="shared" si="9"/>
        <v>0</v>
      </c>
      <c r="J25" s="461">
        <f t="shared" si="10"/>
        <v>65.055290844307208</v>
      </c>
      <c r="K25" s="461">
        <f t="shared" si="11"/>
        <v>0</v>
      </c>
      <c r="L25" s="461">
        <f t="shared" si="12"/>
        <v>0</v>
      </c>
      <c r="M25" s="461">
        <f t="shared" si="13"/>
        <v>0</v>
      </c>
      <c r="N25" s="461">
        <f t="shared" si="14"/>
        <v>0</v>
      </c>
      <c r="O25" s="461">
        <f t="shared" si="15"/>
        <v>0</v>
      </c>
      <c r="P25" s="462">
        <f t="shared" si="16"/>
        <v>0</v>
      </c>
      <c r="Q25" s="460">
        <f t="shared" ca="1" si="17"/>
        <v>14640.045548967839</v>
      </c>
    </row>
    <row r="26" spans="1:17">
      <c r="A26" s="460" t="s">
        <v>685</v>
      </c>
      <c r="B26" s="461">
        <f t="shared" ca="1" si="2"/>
        <v>2543.8443091687786</v>
      </c>
      <c r="C26" s="461">
        <f t="shared" ca="1" si="3"/>
        <v>0</v>
      </c>
      <c r="D26" s="461">
        <f t="shared" si="4"/>
        <v>2561.1087076537528</v>
      </c>
      <c r="E26" s="461">
        <f t="shared" si="5"/>
        <v>31.041181273752425</v>
      </c>
      <c r="F26" s="461">
        <f t="shared" si="6"/>
        <v>1114.7750959775879</v>
      </c>
      <c r="G26" s="461">
        <f t="shared" si="7"/>
        <v>0</v>
      </c>
      <c r="H26" s="461">
        <f t="shared" si="8"/>
        <v>0</v>
      </c>
      <c r="I26" s="461">
        <f t="shared" si="9"/>
        <v>0</v>
      </c>
      <c r="J26" s="461">
        <f t="shared" si="10"/>
        <v>10.294107896287981</v>
      </c>
      <c r="K26" s="461">
        <f t="shared" si="11"/>
        <v>0</v>
      </c>
      <c r="L26" s="461">
        <f t="shared" si="12"/>
        <v>0</v>
      </c>
      <c r="M26" s="461">
        <f t="shared" si="13"/>
        <v>0</v>
      </c>
      <c r="N26" s="461">
        <f t="shared" si="14"/>
        <v>0</v>
      </c>
      <c r="O26" s="461">
        <f t="shared" si="15"/>
        <v>0</v>
      </c>
      <c r="P26" s="462">
        <f t="shared" si="16"/>
        <v>0</v>
      </c>
      <c r="Q26" s="460">
        <f t="shared" ca="1" si="17"/>
        <v>6261.0634019701592</v>
      </c>
    </row>
    <row r="27" spans="1:17" s="466" customFormat="1">
      <c r="A27" s="464" t="s">
        <v>579</v>
      </c>
      <c r="B27" s="772">
        <f t="shared" ca="1" si="2"/>
        <v>1.6364726198752935</v>
      </c>
      <c r="C27" s="465">
        <f t="shared" ca="1" si="3"/>
        <v>0</v>
      </c>
      <c r="D27" s="465">
        <f t="shared" si="4"/>
        <v>4.0940246449804532</v>
      </c>
      <c r="E27" s="465">
        <f t="shared" si="5"/>
        <v>304.5077073220292</v>
      </c>
      <c r="F27" s="465">
        <f t="shared" si="6"/>
        <v>0</v>
      </c>
      <c r="G27" s="465">
        <f t="shared" si="7"/>
        <v>81638.354677364259</v>
      </c>
      <c r="H27" s="465">
        <f t="shared" si="8"/>
        <v>11602.534539274351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93551.127421225494</v>
      </c>
    </row>
    <row r="28" spans="1:17">
      <c r="A28" s="460" t="s">
        <v>569</v>
      </c>
      <c r="B28" s="461">
        <f t="shared" ca="1" si="2"/>
        <v>0</v>
      </c>
      <c r="C28" s="461">
        <f t="shared" ca="1" si="3"/>
        <v>0</v>
      </c>
      <c r="D28" s="461">
        <f t="shared" si="4"/>
        <v>0</v>
      </c>
      <c r="E28" s="461">
        <f t="shared" si="5"/>
        <v>0</v>
      </c>
      <c r="F28" s="461">
        <f t="shared" si="6"/>
        <v>0</v>
      </c>
      <c r="G28" s="461">
        <f t="shared" si="7"/>
        <v>565.67425511792658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565.67425511792658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262.17669771902911</v>
      </c>
      <c r="C32" s="461">
        <f t="shared" ca="1" si="3"/>
        <v>0</v>
      </c>
      <c r="D32" s="461">
        <f t="shared" si="4"/>
        <v>833.96344756250653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1096.1401452815358</v>
      </c>
    </row>
    <row r="33" spans="1:17" s="473" customFormat="1">
      <c r="A33" s="470" t="s">
        <v>573</v>
      </c>
      <c r="B33" s="471">
        <f ca="1">SUM(B22:B32)</f>
        <v>23544.039070986713</v>
      </c>
      <c r="C33" s="471">
        <f t="shared" ref="C33:Q33" ca="1" si="18">SUM(C22:C32)</f>
        <v>16056.453781512606</v>
      </c>
      <c r="D33" s="471">
        <f t="shared" ca="1" si="18"/>
        <v>33804.646010132317</v>
      </c>
      <c r="E33" s="471">
        <f t="shared" si="18"/>
        <v>681.44615890780642</v>
      </c>
      <c r="F33" s="471">
        <f t="shared" ca="1" si="18"/>
        <v>4626.4245842507025</v>
      </c>
      <c r="G33" s="471">
        <f t="shared" si="18"/>
        <v>82204.028932482179</v>
      </c>
      <c r="H33" s="471">
        <f t="shared" si="18"/>
        <v>11602.534539274351</v>
      </c>
      <c r="I33" s="471">
        <f t="shared" si="18"/>
        <v>0</v>
      </c>
      <c r="J33" s="471">
        <f t="shared" si="18"/>
        <v>75.349398740595191</v>
      </c>
      <c r="K33" s="471">
        <f t="shared" si="18"/>
        <v>0</v>
      </c>
      <c r="L33" s="471">
        <f t="shared" ca="1" si="18"/>
        <v>0</v>
      </c>
      <c r="M33" s="471">
        <f t="shared" si="18"/>
        <v>0</v>
      </c>
      <c r="N33" s="471">
        <f t="shared" ca="1" si="18"/>
        <v>0</v>
      </c>
      <c r="O33" s="471">
        <f t="shared" si="18"/>
        <v>0</v>
      </c>
      <c r="P33" s="471">
        <f t="shared" si="18"/>
        <v>0</v>
      </c>
      <c r="Q33" s="471">
        <f t="shared" ca="1" si="18"/>
        <v>172594.92247628726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6600.3325552715469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47295</v>
      </c>
      <c r="D8" s="1037">
        <f>'SEAP template'!D76</f>
        <v>55641.176470588238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11239.517647058825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6600.3325552715469</v>
      </c>
      <c r="C10" s="1041">
        <f>SUM(C4:C9)</f>
        <v>47295</v>
      </c>
      <c r="D10" s="1041">
        <f t="shared" ref="D10:H10" si="0">SUM(D8:D9)</f>
        <v>55641.176470588238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11239.517647058825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0.21487296517501908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67564.28571428571</v>
      </c>
      <c r="D17" s="1038">
        <f>'SEAP template'!D87</f>
        <v>79487.394957983197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16056.453781512606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67564.28571428571</v>
      </c>
      <c r="D20" s="1041">
        <f t="shared" ref="D20:H20" si="2">SUM(D17:D19)</f>
        <v>79487.394957983197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16056.453781512606</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0.21487296517501908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2019-08-12T07:52:22Z</dcterms:modified>
</cp:coreProperties>
</file>