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D20" s="1"/>
  <c r="C19"/>
  <c r="B19"/>
  <c r="N18"/>
  <c r="M18"/>
  <c r="L18"/>
  <c r="K18"/>
  <c r="J18"/>
  <c r="I18"/>
  <c r="H18"/>
  <c r="G18"/>
  <c r="F18"/>
  <c r="F20" s="1"/>
  <c r="E18"/>
  <c r="D18"/>
  <c r="C18"/>
  <c r="B18"/>
  <c r="L9"/>
  <c r="L10" s="1"/>
  <c r="K9"/>
  <c r="G9"/>
  <c r="G10" s="1"/>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12"/>
  <c r="F12"/>
  <c r="E12"/>
  <c r="D12"/>
  <c r="C12"/>
  <c r="K10"/>
  <c r="F10"/>
  <c r="B8"/>
  <c r="B6"/>
  <c r="B5"/>
  <c r="B4"/>
  <c r="O9" l="1"/>
  <c r="B10"/>
  <c r="O19"/>
  <c r="C98"/>
  <c r="I101" s="1"/>
  <c r="H8" s="1"/>
  <c r="H10" s="1"/>
  <c r="O18"/>
  <c r="B17"/>
  <c r="B20" s="1"/>
  <c r="I102"/>
  <c r="H17" s="1"/>
  <c r="H20" s="1"/>
  <c r="E102"/>
  <c r="E17" s="1"/>
  <c r="E20" s="1"/>
  <c r="G102"/>
  <c r="C102"/>
  <c r="H102"/>
  <c r="D102"/>
  <c r="F102"/>
  <c r="B102"/>
  <c r="C17" s="1"/>
  <c r="E101"/>
  <c r="E8" s="1"/>
  <c r="E10" s="1"/>
  <c r="G101"/>
  <c r="C101"/>
  <c r="D101"/>
  <c r="B101"/>
  <c r="C8" s="1"/>
  <c r="N6" i="17"/>
  <c r="L6"/>
  <c r="F6"/>
  <c r="D6"/>
  <c r="C6"/>
  <c r="N16" i="16"/>
  <c r="L16"/>
  <c r="F16"/>
  <c r="D16"/>
  <c r="C16"/>
  <c r="B16"/>
  <c r="B13" i="15"/>
  <c r="H101" i="18" l="1"/>
  <c r="J8" s="1"/>
  <c r="F101"/>
  <c r="I8" s="1"/>
  <c r="C10"/>
  <c r="C20"/>
  <c r="I17"/>
  <c r="I2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J19"/>
  <c r="I19"/>
  <c r="G19"/>
  <c r="F19"/>
  <c r="E19"/>
  <c r="D19"/>
  <c r="D22" s="1"/>
  <c r="Q48"/>
  <c r="P48"/>
  <c r="O48"/>
  <c r="M48"/>
  <c r="L48"/>
  <c r="K48"/>
  <c r="J48"/>
  <c r="G48"/>
  <c r="D48"/>
  <c r="Q18"/>
  <c r="Q22" s="1"/>
  <c r="P18"/>
  <c r="P22" s="1"/>
  <c r="O18"/>
  <c r="O22" s="1"/>
  <c r="M18"/>
  <c r="L18"/>
  <c r="K18"/>
  <c r="K22" s="1"/>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G78"/>
  <c r="F78"/>
  <c r="P56"/>
  <c r="L56"/>
  <c r="J56"/>
  <c r="H56"/>
  <c r="Q56"/>
  <c r="Q52"/>
  <c r="R44"/>
  <c r="Q26"/>
  <c r="N26"/>
  <c r="J26"/>
  <c r="I26"/>
  <c r="E25"/>
  <c r="D14" i="48" s="1"/>
  <c r="C25" i="14"/>
  <c r="H26"/>
  <c r="J22"/>
  <c r="R12"/>
  <c r="F13" i="15"/>
  <c r="D13"/>
  <c r="C13"/>
  <c r="J10" i="18" l="1"/>
  <c r="J76" i="14"/>
  <c r="I10" i="18"/>
  <c r="I76" i="14"/>
  <c r="I8" i="56" s="1"/>
  <c r="I10" s="1"/>
  <c r="Q14" i="48"/>
  <c r="M78" i="14"/>
  <c r="M8" i="56"/>
  <c r="M10" s="1"/>
  <c r="Q87" i="14"/>
  <c r="P17" i="56" s="1"/>
  <c r="P20" s="1"/>
  <c r="D17"/>
  <c r="D20" s="1"/>
  <c r="K78" i="14"/>
  <c r="K8" i="56"/>
  <c r="K10" s="1"/>
  <c r="O78" i="14"/>
  <c r="O9" i="56"/>
  <c r="L90" i="14"/>
  <c r="L17" i="56"/>
  <c r="L20" s="1"/>
  <c r="G90" i="14"/>
  <c r="G18" i="56"/>
  <c r="O90" i="14"/>
  <c r="O18" i="56"/>
  <c r="L78" i="14"/>
  <c r="N20" i="56"/>
  <c r="P25" i="48"/>
  <c r="C77" i="14"/>
  <c r="C9" i="56" s="1"/>
  <c r="D9"/>
  <c r="D10" s="1"/>
  <c r="Q88" i="14"/>
  <c r="P18" i="56" s="1"/>
  <c r="D18"/>
  <c r="M20"/>
  <c r="Q89" i="14"/>
  <c r="P19" i="56" s="1"/>
  <c r="I20"/>
  <c r="P31" i="48"/>
  <c r="Q76" i="14"/>
  <c r="P8" i="56" s="1"/>
  <c r="L10"/>
  <c r="H20"/>
  <c r="C76" i="14"/>
  <c r="C8" i="56" s="1"/>
  <c r="C10" s="1"/>
  <c r="E8"/>
  <c r="E10" s="1"/>
  <c r="H78" i="14"/>
  <c r="H9" i="56"/>
  <c r="H10" s="1"/>
  <c r="K90" i="14"/>
  <c r="K18" i="56"/>
  <c r="K20" s="1"/>
  <c r="N78" i="14"/>
  <c r="N8" i="56"/>
  <c r="N10" s="1"/>
  <c r="O10"/>
  <c r="C88" i="14"/>
  <c r="C18" i="56" s="1"/>
  <c r="G20"/>
  <c r="O20"/>
  <c r="N90" i="14"/>
  <c r="D78"/>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J8"/>
  <c r="J10" s="1"/>
  <c r="J78" i="14"/>
  <c r="Q90"/>
  <c r="B17" i="6" s="1"/>
  <c r="Q78" i="14"/>
  <c r="B9" i="6" s="1"/>
  <c r="P9" i="56"/>
  <c r="P10" s="1"/>
  <c r="B4" i="6"/>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Q10" i="14" l="1"/>
  <c r="P5" i="48"/>
  <c r="P23" s="1"/>
  <c r="J24"/>
  <c r="J32"/>
  <c r="J30"/>
  <c r="J28"/>
  <c r="J27"/>
  <c r="J31"/>
  <c r="J29"/>
  <c r="Q11" i="14"/>
  <c r="P4" i="48"/>
  <c r="B7"/>
  <c r="C24" i="14"/>
  <c r="C26" s="1"/>
  <c r="O4" i="48"/>
  <c r="P11" i="14"/>
  <c r="I29" i="48"/>
  <c r="I26"/>
  <c r="I25"/>
  <c r="I27"/>
  <c r="I32"/>
  <c r="I22"/>
  <c r="I31"/>
  <c r="I28"/>
  <c r="I30"/>
  <c r="I24"/>
  <c r="J10" i="14"/>
  <c r="J16" s="1"/>
  <c r="J27" s="1"/>
  <c r="I5" i="48"/>
  <c r="E11" i="14"/>
  <c r="D4" i="48"/>
  <c r="D22" s="1"/>
  <c r="H29"/>
  <c r="H32"/>
  <c r="H25"/>
  <c r="H26"/>
  <c r="H22"/>
  <c r="H28"/>
  <c r="H30"/>
  <c r="H24"/>
  <c r="H23"/>
  <c r="D11" i="14"/>
  <c r="C4" i="48"/>
  <c r="G32"/>
  <c r="G26"/>
  <c r="G25"/>
  <c r="G29"/>
  <c r="G24"/>
  <c r="G22"/>
  <c r="G30"/>
  <c r="G23"/>
  <c r="K5"/>
  <c r="L10" i="14"/>
  <c r="L16" s="1"/>
  <c r="L27" s="1"/>
  <c r="D30" i="48"/>
  <c r="D31"/>
  <c r="D29"/>
  <c r="D28"/>
  <c r="D24"/>
  <c r="D32"/>
  <c r="L31"/>
  <c r="L29"/>
  <c r="L32"/>
  <c r="L27"/>
  <c r="L28"/>
  <c r="L22"/>
  <c r="L30"/>
  <c r="L24"/>
  <c r="K25"/>
  <c r="K29"/>
  <c r="K31"/>
  <c r="K32"/>
  <c r="K27"/>
  <c r="K26"/>
  <c r="K28"/>
  <c r="K22"/>
  <c r="K30"/>
  <c r="K24"/>
  <c r="C11" i="14"/>
  <c r="B4" i="48"/>
  <c r="F32"/>
  <c r="F27"/>
  <c r="F30"/>
  <c r="F24"/>
  <c r="F28"/>
  <c r="F31"/>
  <c r="F29"/>
  <c r="N24"/>
  <c r="N27"/>
  <c r="N28"/>
  <c r="N32"/>
  <c r="N31"/>
  <c r="N30"/>
  <c r="N29"/>
  <c r="B10"/>
  <c r="C19" i="14"/>
  <c r="E32" i="48"/>
  <c r="E31"/>
  <c r="E28"/>
  <c r="E29"/>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F4" i="48" l="1"/>
  <c r="F22" s="1"/>
  <c r="G11" i="14"/>
  <c r="H13" i="48"/>
  <c r="H31" s="1"/>
  <c r="I18" i="14"/>
  <c r="I23" i="48"/>
  <c r="I33" s="1"/>
  <c r="I15"/>
  <c r="P15"/>
  <c r="P22"/>
  <c r="P33" s="1"/>
  <c r="Q16" i="14"/>
  <c r="Q27" s="1"/>
  <c r="L61"/>
  <c r="K33" i="48"/>
  <c r="P8"/>
  <c r="P26" s="1"/>
  <c r="Q13" i="14"/>
  <c r="K23" i="48"/>
  <c r="K15"/>
  <c r="G13"/>
  <c r="H18" i="14"/>
  <c r="N18"/>
  <c r="M13" i="48"/>
  <c r="M31" s="1"/>
  <c r="L63" i="14"/>
  <c r="O5" i="48"/>
  <c r="O23" s="1"/>
  <c r="P10" i="14"/>
  <c r="J12" i="17"/>
  <c r="K54" i="14" s="1"/>
  <c r="K56" s="1"/>
  <c r="J7" i="48"/>
  <c r="J25" s="1"/>
  <c r="K24" i="14"/>
  <c r="K26" s="1"/>
  <c r="O22" i="48"/>
  <c r="M32"/>
  <c r="M29"/>
  <c r="M30"/>
  <c r="M22"/>
  <c r="M26"/>
  <c r="M25"/>
  <c r="M24"/>
  <c r="M23"/>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B48"/>
  <c r="C48" s="1"/>
  <c r="N5" s="1"/>
  <c r="N8" s="1"/>
  <c r="C50"/>
  <c r="J5" s="1"/>
  <c r="J8" s="1"/>
  <c r="H19" i="14" l="1"/>
  <c r="G10" i="48"/>
  <c r="K11" i="14"/>
  <c r="J4" i="48"/>
  <c r="N20" i="14"/>
  <c r="M9" i="48"/>
  <c r="E7"/>
  <c r="E25" s="1"/>
  <c r="F24" i="14"/>
  <c r="F26" s="1"/>
  <c r="F20"/>
  <c r="F22" s="1"/>
  <c r="E9" i="48"/>
  <c r="E27" s="1"/>
  <c r="I20" i="14"/>
  <c r="I22" s="1"/>
  <c r="I27" s="1"/>
  <c r="H9" i="48"/>
  <c r="E12" i="17"/>
  <c r="F54" i="14" s="1"/>
  <c r="F56" s="1"/>
  <c r="N19"/>
  <c r="N22" s="1"/>
  <c r="N27" s="1"/>
  <c r="M10" i="48"/>
  <c r="M28" s="1"/>
  <c r="D9"/>
  <c r="D27" s="1"/>
  <c r="E20" i="14"/>
  <c r="E22" s="1"/>
  <c r="N4" i="48"/>
  <c r="N22" s="1"/>
  <c r="O11" i="14"/>
  <c r="O8" i="48"/>
  <c r="P13" i="14"/>
  <c r="P16" s="1"/>
  <c r="P27" s="1"/>
  <c r="B9" i="48"/>
  <c r="C20" i="14"/>
  <c r="G31" i="48"/>
  <c r="Q13"/>
  <c r="E12" i="13"/>
  <c r="F41" i="14" s="1"/>
  <c r="F11"/>
  <c r="E4" i="48"/>
  <c r="R18" i="14"/>
  <c r="D16"/>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63" s="1"/>
  <c r="N63"/>
  <c r="E22" i="48"/>
  <c r="Q4"/>
  <c r="O26"/>
  <c r="O33" s="1"/>
  <c r="O15"/>
  <c r="R20" i="14"/>
  <c r="R22" s="1"/>
  <c r="C22"/>
  <c r="H27" i="48"/>
  <c r="H33" s="1"/>
  <c r="H15"/>
  <c r="J22"/>
  <c r="F10" i="14"/>
  <c r="R10" s="1"/>
  <c r="E5" i="48"/>
  <c r="E23" s="1"/>
  <c r="E46" i="14"/>
  <c r="E61" s="1"/>
  <c r="H20"/>
  <c r="H22" s="1"/>
  <c r="H27" s="1"/>
  <c r="G9" i="48"/>
  <c r="G28"/>
  <c r="Q10"/>
  <c r="K10" i="14"/>
  <c r="J5" i="48"/>
  <c r="J23" s="1"/>
  <c r="M27"/>
  <c r="M33" s="1"/>
  <c r="M15"/>
  <c r="R19" i="14"/>
  <c r="Q9" i="48"/>
  <c r="G18" i="22"/>
  <c r="H50" i="14" s="1"/>
  <c r="R1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F16" s="1"/>
  <c r="F27" s="1"/>
  <c r="F63" s="1"/>
  <c r="G27" i="48"/>
  <c r="G33" s="1"/>
  <c r="G15"/>
  <c r="K46" i="14"/>
  <c r="K61" s="1"/>
  <c r="C27"/>
  <c r="B3" i="6" s="1"/>
  <c r="B12" s="1"/>
  <c r="C55" i="14" s="1"/>
  <c r="R55" s="1"/>
  <c r="J15" i="48"/>
  <c r="K13" i="14"/>
  <c r="K16" s="1"/>
  <c r="K27" s="1"/>
  <c r="K63" s="1"/>
  <c r="J8" i="48"/>
  <c r="J26" s="1"/>
  <c r="J33"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<sst xmlns="http://schemas.openxmlformats.org/spreadsheetml/2006/main" count="2567" uniqueCount="984">
  <si>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</si>
  <si>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</si>
  <si>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</si>
  <si>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</si>
  <si>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</si>
  <si>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</si>
  <si>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</si>
  <si>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</si>
  <si>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</si>
  <si>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</si>
  <si>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</si>
  <si>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</si>
  <si>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</si>
  <si>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</si>
  <si>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</si>
  <si>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</si>
  <si>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</si>
  <si>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</si>
  <si>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</si>
  <si>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</si>
  <si>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</si>
  <si>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</si>
  <si>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</si>
  <si>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</si>
  <si>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</si>
  <si>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</si>
  <si>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</si>
  <si>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</si>
  <si>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</si>
  <si>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</si>
  <si>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</si>
  <si>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</si>
  <si>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</si>
  <si>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</si>
  <si>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</si>
  <si>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</si>
  <si>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</si>
  <si>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</si>
  <si>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</si>
  <si>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</si>
  <si>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</si>
  <si>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</si>
  <si>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</si>
  <si>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</si>
  <si>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</si>
  <si>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</si>
  <si>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</si>
  <si>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</si>
  <si>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</si>
  <si>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</si>
  <si>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</si>
  <si>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</si>
  <si>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</si>
  <si>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</si>
  <si>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</si>
  <si>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</si>
  <si>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</si>
  <si>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</si>
  <si>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</si>
  <si>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</si>
  <si>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</si>
  <si>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</si>
  <si>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</si>
  <si>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</si>
  <si>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</si>
  <si>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</si>
  <si>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</si>
  <si>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</si>
  <si>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</si>
  <si>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</si>
  <si>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</si>
  <si>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</si>
  <si>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</si>
  <si>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</si>
  <si>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</si>
  <si>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</si>
  <si>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</si>
  <si>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</si>
  <si>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</si>
  <si>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</si>
  <si>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</si>
  <si>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</si>
  <si>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</si>
  <si>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</si>
  <si>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</si>
  <si>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</si>
  <si>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</si>
  <si>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</si>
  <si>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</si>
  <si>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</si>
  <si>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</si>
  <si>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</si>
  <si>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</si>
  <si>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</si>
  <si>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</si>
  <si>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</si>
  <si>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</si>
  <si>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</si>
  <si>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</si>
  <si>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</si>
  <si>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</si>
  <si>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</si>
  <si>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</si>
  <si>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</si>
  <si>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</si>
  <si>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</si>
  <si>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</si>
  <si>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</si>
  <si>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</si>
  <si>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</si>
  <si>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</si>
  <si>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</si>
  <si>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</si>
  <si>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</si>
  <si>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</si>
  <si>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</si>
  <si>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</si>
  <si>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</si>
  <si>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</si>
  <si>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</si>
  <si>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</si>
  <si>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</si>
  <si>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</si>
  <si>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</si>
  <si>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</si>
  <si>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</si>
  <si>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</si>
  <si>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</si>
  <si>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</si>
  <si>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</si>
  <si>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</si>
  <si>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</si>
  <si>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</si>
  <si>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</si>
  <si>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</si>
  <si>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</si>
  <si>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</si>
  <si>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</si>
  <si>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</si>
  <si>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</si>
  <si>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</si>
  <si>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</si>
  <si>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</si>
  <si>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</si>
  <si>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</si>
  <si>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</si>
  <si>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</si>
  <si>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</si>
  <si>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</si>
  <si>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</si>
  <si>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</si>
  <si>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</si>
  <si>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</si>
  <si>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</si>
  <si>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</si>
  <si>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</si>
  <si>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</si>
  <si>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</si>
  <si>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</si>
  <si>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</si>
  <si>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</si>
  <si>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</si>
  <si>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</si>
  <si>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</si>
  <si>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</si>
  <si>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</si>
  <si>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</si>
  <si>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</si>
  <si>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</si>
  <si>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</si>
  <si>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</si>
  <si>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</si>
  <si>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</si>
  <si>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</si>
  <si>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</si>
  <si>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</si>
  <si>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</si>
  <si>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</si>
  <si>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</si>
  <si>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</si>
  <si>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</si>
  <si>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</si>
  <si>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</si>
  <si>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</si>
  <si>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</si>
  <si>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</si>
  <si>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</si>
  <si>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</si>
  <si>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</si>
  <si>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</si>
  <si>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</si>
  <si>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</si>
  <si>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</si>
  <si>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</si>
  <si>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</si>
  <si>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</si>
  <si>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</si>
  <si>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</si>
  <si>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</si>
  <si>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</si>
  <si>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</si>
  <si>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</si>
  <si>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</si>
  <si>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</si>
  <si>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</si>
  <si>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</si>
  <si>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</si>
  <si>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</si>
  <si>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</si>
  <si>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</si>
  <si>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</si>
  <si>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</si>
  <si>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</si>
  <si>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</si>
  <si>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</si>
  <si>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</si>
  <si>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</si>
  <si>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</si>
  <si>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</si>
  <si>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</si>
  <si>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</si>
  <si>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</si>
  <si>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</si>
  <si>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</si>
  <si>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</si>
  <si>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</si>
  <si>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</si>
  <si>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</si>
  <si>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</si>
  <si>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</si>
  <si>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</si>
  <si>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</si>
  <si>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</si>
  <si>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</si>
  <si>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</si>
  <si>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</si>
  <si>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</si>
  <si>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</si>
  <si>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</si>
  <si>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</si>
  <si>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</si>
  <si>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</si>
  <si>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</si>
  <si>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</si>
  <si>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</si>
  <si>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</si>
  <si>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</si>
  <si>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</si>
  <si>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</si>
  <si>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</si>
  <si>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</si>
  <si>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</si>
  <si>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</si>
  <si>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</si>
  <si>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</si>
  <si>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</si>
  <si>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</si>
  <si>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</si>
  <si>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</si>
  <si>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</si>
  <si>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</si>
  <si>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</si>
  <si>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</si>
  <si>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</si>
  <si>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</si>
  <si>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</si>
  <si>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</si>
  <si>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</si>
  <si>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</si>
  <si>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</si>
  <si>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</si>
  <si>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</si>
  <si>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</si>
  <si>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</si>
  <si>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</si>
  <si>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</si>
  <si>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</si>
  <si>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</si>
  <si>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</si>
  <si>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</si>
  <si>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</si>
  <si>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</si>
  <si>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</si>
  <si>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</si>
  <si>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</si>
  <si>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</si>
  <si>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</si>
  <si>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</si>
  <si>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</si>
  <si>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</si>
  <si>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</si>
  <si>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</si>
  <si>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</si>
  <si>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</si>
  <si>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</si>
  <si>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</si>
  <si>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</si>
  <si>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</si>
  <si>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</si>
  <si>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</si>
  <si>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</si>
  <si>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</si>
  <si>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</si>
  <si>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</si>
  <si>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</si>
  <si>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</si>
  <si>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</si>
  <si>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</si>
  <si>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</si>
  <si>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</si>
  <si>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</si>
  <si>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</si>
  <si>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</si>
  <si>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</si>
  <si>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</si>
  <si>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</si>
  <si>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</si>
  <si>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</si>
  <si>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</si>
  <si>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</si>
  <si>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</si>
  <si>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</si>
  <si>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</si>
  <si>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</si>
  <si>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</si>
  <si>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</si>
  <si>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</si>
  <si>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</si>
  <si>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</si>
  <si>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</si>
  <si>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</si>
  <si>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</si>
  <si>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</si>
  <si>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</si>
  <si>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</si>
  <si>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</si>
  <si>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</si>
  <si>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</si>
  <si>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</si>
  <si>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</si>
  <si>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</si>
  <si>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</si>
  <si>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</si>
  <si>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</si>
  <si>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</si>
  <si>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</si>
  <si>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</si>
  <si>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</si>
  <si>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</si>
  <si>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</si>
  <si>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</si>
  <si>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</si>
  <si>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</si>
  <si>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</si>
  <si>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</si>
  <si>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</si>
  <si>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</si>
  <si>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</si>
  <si>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</si>
  <si>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</si>
  <si>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</si>
  <si>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</si>
  <si>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</si>
  <si>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</si>
  <si>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</si>
  <si>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</si>
  <si>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</si>
  <si>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</si>
  <si>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</si>
  <si>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</si>
  <si>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</si>
  <si>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</si>
  <si>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</si>
  <si>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</si>
  <si>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</si>
  <si>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</si>
  <si>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</si>
  <si>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</si>
  <si>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</si>
  <si>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</si>
  <si>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</si>
  <si>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</si>
  <si>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</si>
  <si>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</si>
  <si>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</si>
  <si>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</si>
  <si>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</si>
  <si>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</si>
  <si>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</si>
  <si>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</si>
  <si>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</si>
  <si>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</si>
  <si>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</si>
  <si>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</si>
  <si>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</si>
  <si>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</si>
  <si>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</si>
  <si>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</si>
  <si>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</si>
  <si>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</si>
  <si>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</si>
  <si>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</si>
  <si>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</si>
  <si>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</si>
  <si>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</si>
  <si>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</si>
  <si>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</si>
  <si>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</si>
  <si>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</si>
  <si>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</si>
  <si>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</si>
  <si>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</si>
  <si>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</si>
  <si>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</si>
  <si>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</si>
  <si>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</si>
  <si>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</si>
  <si>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</si>
  <si>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</si>
  <si>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</si>
  <si>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</si>
  <si>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</si>
  <si>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</si>
  <si>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</si>
  <si>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</si>
  <si>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</si>
  <si>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</si>
  <si>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</si>
  <si>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</si>
  <si>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</si>
  <si>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</si>
  <si>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</si>
  <si>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</si>
  <si>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</si>
  <si>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</si>
  <si>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</si>
  <si>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</si>
  <si>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</si>
  <si>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</si>
  <si>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</si>
  <si>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</si>
  <si>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</si>
  <si>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</si>
  <si>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</si>
  <si>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</si>
  <si>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</si>
  <si>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</si>
  <si>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</si>
  <si>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</si>
  <si>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</si>
  <si>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</si>
  <si>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</si>
  <si>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</si>
  <si>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</si>
  <si>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</si>
  <si>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</si>
  <si>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</si>
  <si>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</si>
  <si>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</si>
  <si>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</si>
  <si>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</si>
  <si>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</si>
  <si>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</si>
  <si>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</si>
  <si>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</si>
  <si>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</si>
  <si>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</si>
  <si>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</si>
  <si>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</si>
  <si>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</si>
  <si>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</si>
  <si>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</si>
  <si>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</si>
  <si>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</si>
  <si>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</si>
  <si>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</si>
  <si>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</si>
  <si>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</si>
  <si>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</si>
  <si>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</si>
  <si>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</si>
  <si>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</si>
  <si>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</si>
  <si>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</si>
  <si>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</si>
  <si>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</si>
  <si>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</si>
  <si>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</si>
  <si>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</si>
  <si>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</si>
  <si>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</si>
  <si>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</si>
  <si>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</si>
  <si>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</si>
  <si>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</si>
  <si>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</si>
  <si>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</si>
  <si>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</si>
  <si>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</si>
  <si>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</si>
  <si>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</si>
  <si>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</si>
  <si>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</si>
  <si>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</si>
  <si>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</si>
  <si>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</si>
  <si>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</si>
  <si>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</si>
  <si>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</si>
  <si>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</si>
  <si>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</si>
  <si>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</si>
  <si>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</si>
  <si>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</si>
  <si>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</si>
  <si>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</si>
  <si>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</si>
  <si>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</si>
  <si>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</si>
  <si>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</si>
  <si>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</si>
  <si>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</si>
  <si>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</si>
  <si>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</si>
  <si>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</si>
  <si>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</si>
  <si>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</si>
  <si>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</si>
  <si>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</si>
  <si>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</si>
  <si>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</si>
  <si>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</si>
  <si>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</si>
  <si>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</si>
  <si>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</si>
  <si>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</si>
  <si>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</si>
  <si>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</si>
  <si>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</si>
  <si>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</si>
  <si>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</si>
  <si>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</si>
  <si>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</si>
  <si>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</si>
  <si>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</si>
  <si>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</si>
  <si>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</si>
  <si>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</si>
  <si>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</si>
  <si>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</si>
  <si>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</si>
  <si>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</si>
  <si>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</si>
  <si>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</si>
  <si>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</si>
  <si>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</si>
  <si>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</si>
  <si>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</si>
  <si>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</si>
  <si>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</si>
  <si>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</si>
  <si>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</si>
  <si>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</si>
  <si>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</si>
  <si>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</si>
  <si>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</si>
  <si>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</si>
  <si>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</si>
  <si>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</si>
  <si>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</si>
  <si>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</si>
  <si>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</si>
  <si>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</si>
  <si>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</si>
  <si>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</si>
  <si>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</si>
  <si>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</si>
  <si>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</si>
  <si>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</si>
  <si>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</si>
  <si>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</si>
  <si>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</si>
  <si>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</si>
  <si>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</si>
  <si>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</si>
  <si>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</si>
  <si>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</si>
  <si>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</si>
  <si>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</si>
  <si>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</si>
  <si>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</si>
  <si>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</si>
  <si>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</si>
  <si>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</si>
  <si>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</si>
  <si>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</si>
  <si>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</si>
  <si>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</si>
  <si>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</si>
  <si>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</si>
  <si>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</si>
  <si>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</si>
  <si>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</si>
  <si>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</si>
  <si>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</si>
  <si>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</si>
  <si>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</si>
  <si>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</si>
  <si>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</si>
  <si>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</si>
  <si>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</si>
  <si>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</si>
  <si>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</si>
  <si>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</si>
  <si>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</si>
  <si>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</si>
  <si>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</si>
  <si>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</si>
  <si>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</si>
  <si>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</si>
  <si>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</si>
  <si>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</si>
  <si>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</si>
  <si>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</si>
  <si>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</si>
  <si>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</si>
  <si>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</si>
  <si>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</si>
  <si>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</si>
  <si>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</si>
  <si>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</si>
  <si>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</si>
  <si>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</si>
  <si>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</si>
  <si>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</si>
  <si>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</si>
  <si>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</si>
  <si>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</si>
  <si>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</si>
  <si>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</si>
  <si>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</si>
  <si>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</si>
  <si>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</si>
  <si>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</si>
  <si>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</si>
  <si>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</si>
  <si>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</si>
  <si>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</si>
  <si>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</si>
  <si>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</si>
  <si>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</si>
  <si>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</si>
  <si>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</si>
  <si>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</si>
  <si>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</si>
  <si>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</si>
  <si>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</si>
  <si>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</si>
  <si>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</si>
  <si>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</si>
  <si>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</si>
  <si>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</si>
  <si>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</si>
  <si>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</si>
  <si>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</si>
  <si>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</si>
  <si>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</si>
  <si>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</si>
  <si>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</si>
  <si>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</si>
  <si>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</si>
  <si>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</si>
  <si>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</si>
  <si>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</si>
  <si>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</si>
  <si>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</si>
  <si>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</si>
  <si>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</si>
  <si>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</si>
  <si>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</si>
  <si>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</si>
  <si>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</si>
  <si>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</si>
  <si>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</si>
  <si>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</si>
  <si>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</si>
  <si>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</si>
  <si>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</si>
  <si>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</si>
  <si>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</si>
  <si>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</si>
  <si>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</si>
  <si>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</si>
  <si>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</si>
  <si>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</si>
  <si>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</si>
  <si>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</si>
  <si>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</si>
  <si>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</si>
  <si>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</si>
  <si>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</si>
  <si>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</si>
  <si>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</si>
  <si>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</si>
  <si>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</si>
  <si>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</si>
  <si>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</si>
  <si>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</si>
  <si>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</si>
  <si>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</si>
  <si>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</si>
  <si>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</si>
  <si>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</si>
  <si>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</si>
  <si>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</si>
  <si>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</si>
  <si>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</si>
  <si>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</si>
  <si>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</si>
  <si>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</si>
  <si>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</si>
  <si>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</si>
  <si>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</si>
  <si>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</si>
  <si>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</si>
  <si>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</si>
  <si>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</si>
  <si>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</si>
  <si>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</si>
  <si>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</si>
  <si>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</si>
  <si>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</si>
  <si>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</si>
  <si>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</si>
  <si>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</si>
  <si>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</si>
  <si>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</si>
  <si>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</si>
  <si>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</si>
  <si>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</si>
  <si>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</si>
  <si>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</si>
  <si>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</si>
  <si>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</si>
  <si>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</si>
  <si>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</si>
  <si>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</si>
  <si>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</si>
  <si>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</si>
  <si>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</si>
  <si>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</si>
  <si>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</si>
  <si>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</si>
  <si>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</si>
  <si>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</si>
  <si>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</si>
  <si>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</si>
  <si>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</si>
  <si>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</si>
  <si>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</si>
  <si>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</si>
  <si>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</si>
  <si>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</si>
  <si>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</si>
  <si>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</si>
  <si>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</si>
  <si>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</si>
  <si>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</si>
  <si>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</si>
  <si>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</si>
  <si>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</si>
  <si>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</si>
  <si>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</si>
  <si>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</si>
  <si>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</si>
  <si>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</si>
  <si>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</si>
  <si>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</si>
  <si>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</si>
  <si>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</si>
  <si>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</si>
  <si>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</si>
  <si>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</si>
  <si>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</si>
  <si>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</si>
  <si>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</si>
  <si>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</si>
  <si>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</si>
  <si>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</si>
  <si>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</si>
  <si>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</si>
  <si>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</si>
  <si>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</si>
  <si>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</si>
  <si>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</si>
  <si>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</si>
  <si>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</si>
  <si>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</si>
  <si>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</si>
  <si>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</si>
  <si>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</si>
  <si>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</si>
  <si>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</si>
  <si>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</si>
  <si>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</si>
  <si>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</si>
  <si>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</si>
  <si>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</si>
  <si>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</si>
  <si>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</si>
  <si>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</si>
  <si>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</si>
  <si>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</si>
  <si>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</si>
  <si>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</si>
  <si>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</si>
  <si>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</si>
  <si>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</si>
  <si>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</si>
  <si>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</si>
  <si>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</si>
  <si>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</si>
  <si>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</si>
  <si>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</si>
  <si>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</si>
  <si>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</si>
  <si>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</si>
  <si>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</si>
  <si>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</si>
  <si>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</si>
  <si>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</si>
  <si>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</si>
  <si>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</si>
  <si>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</si>
  <si>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</si>
  <si>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</si>
  <si>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</si>
  <si>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</si>
  <si>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</si>
  <si>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</si>
  <si>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</si>
  <si>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</si>
  <si>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</si>
  <si>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</si>
  <si>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</si>
  <si>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</si>
  <si>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</si>
  <si>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</si>
  <si>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</si>
  <si>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</si>
  <si>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</si>
  <si>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</si>
  <si>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</si>
  <si>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</si>
  <si>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</si>
  <si>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</si>
  <si>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</si>
  <si>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</si>
  <si>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</si>
  <si>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</si>
  <si>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</si>
  <si>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</si>
  <si>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</si>
  <si>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</si>
  <si>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</si>
  <si>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</si>
  <si>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</si>
  <si>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</si>
  <si>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</si>
  <si>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</si>
  <si>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</si>
  <si>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</si>
  <si>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</si>
  <si>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</si>
  <si>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</si>
  <si>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</si>
  <si>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</si>
  <si>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</si>
  <si>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</si>
  <si>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</si>
  <si>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</si>
  <si>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</si>
  <si>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</si>
  <si>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</si>
  <si>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</si>
  <si>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</si>
  <si>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</si>
  <si>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</si>
  <si>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</si>
  <si>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</si>
  <si>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</si>
  <si>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</si>
  <si>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</si>
  <si>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</si>
  <si>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</si>
  <si>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</si>
  <si>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</si>
  <si>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</si>
  <si>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</si>
  <si>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</si>
  <si>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</si>
  <si>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</si>
  <si>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</si>
  <si>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</si>
  <si>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</si>
  <si>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</si>
  <si>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</si>
  <si>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</si>
  <si>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</si>
  <si>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</si>
  <si>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</si>
  <si>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</si>
  <si>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</si>
  <si>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</si>
  <si>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</si>
  <si>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</si>
  <si>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</si>
  <si>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</si>
  <si>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</si>
  <si>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</si>
  <si>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</si>
  <si>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</si>
  <si>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</si>
  <si>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</si>
  <si>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</si>
  <si>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</si>
  <si>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</si>
  <si>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</si>
  <si>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</si>
  <si>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</si>
  <si>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</si>
  <si>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</si>
  <si>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</si>
  <si>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</si>
  <si>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</si>
  <si>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</si>
  <si>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</si>
  <si>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</si>
  <si>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</si>
  <si>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</si>
  <si>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</si>
  <si>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</si>
  <si>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11002</t>
  </si>
  <si>
    <t>ANTWERPEN</t>
  </si>
  <si>
    <t>Paarden&amp;pony's 200 - 600 kg</t>
  </si>
  <si>
    <t>Paarden&amp;pony's &lt; 200 kg</t>
  </si>
  <si>
    <t>op basis van VEA (maart 2018) en Inventaris Hernieuwbare Energiebronnen (juni 2018)</t>
  </si>
  <si>
    <t>VEA (juni 2018)</t>
  </si>
  <si>
    <t>Groep Gasthuiszusters Sint-Augustinus vzw</t>
  </si>
  <si>
    <t>Oosterveldlaan 24 , 2610 Wilrijk</t>
  </si>
  <si>
    <t>WKK-0013 AZ Sint Augustinus</t>
  </si>
  <si>
    <t>interne verbrandingsmotor</t>
  </si>
  <si>
    <t>WKK interne verbrandinsgmotor (gas)</t>
  </si>
  <si>
    <t>Oosterveldlaan 24, 2610 Wilrijk</t>
  </si>
  <si>
    <t>IMEA</t>
  </si>
  <si>
    <t>Sint-Vincentius Ziekenhuis VZW</t>
  </si>
  <si>
    <t>Sint-Vincentiusstraat 20, 2018 Antwerpen</t>
  </si>
  <si>
    <t>WKK-0087 Sint-Vincentius</t>
  </si>
  <si>
    <t>CSM Benelux nv (voorheen CSM Bakery Benelux nv)</t>
  </si>
  <si>
    <t>Borrewaterstraat 182 , 2170 Merksem</t>
  </si>
  <si>
    <t>WKK-0152 CSM Benelux</t>
  </si>
  <si>
    <t>AZ Monica Antwerpen</t>
  </si>
  <si>
    <t>Harmoniestraat 68 , 2018 Antwerpen</t>
  </si>
  <si>
    <t>WKK-0332 AZ Monica Antwerpen</t>
  </si>
  <si>
    <t>Ziekenhuisnetwerk Antwerpen vzw</t>
  </si>
  <si>
    <t>Lindendreef 1 , 2020 Antwerpen</t>
  </si>
  <si>
    <t>WKK-0299 ZNA Middelheim</t>
  </si>
  <si>
    <t>Stad Antwerpen</t>
  </si>
  <si>
    <t>Grote Markt 1 , 2000 Antwerpen</t>
  </si>
  <si>
    <t>WKK-0447 Zwembad Wezenberg</t>
  </si>
  <si>
    <t>Desguinlei 17-19 , 2018 Antwerpen</t>
  </si>
  <si>
    <t>WKK-0448 Zwembad Ieperman</t>
  </si>
  <si>
    <t>Doornstraat 3 b, 2610 Wilrijk</t>
  </si>
  <si>
    <t>Hooge Maey</t>
  </si>
  <si>
    <t>Moerstraat 55 Haven 550, 2030 Antwerpen</t>
  </si>
  <si>
    <t>BGS-0033 Hooge Maey Stort</t>
  </si>
  <si>
    <t>biogas - stortgas</t>
  </si>
  <si>
    <t>niet WKK interne verbrandingsmotor (gas)</t>
  </si>
  <si>
    <t>Aquafin NV</t>
  </si>
  <si>
    <t>Dijkstraat 8, 2630 Aartselaar</t>
  </si>
  <si>
    <t>BGS-0034 RWZI Antwerpen-Zuid</t>
  </si>
  <si>
    <t>biogas - RWZI</t>
  </si>
  <si>
    <t>Kielsbroek 5, 2020 Antwerpen</t>
  </si>
  <si>
    <t>IVEG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</si>
</sst>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11002</v>
      </c>
      <c r="B6" s="397"/>
      <c r="C6" s="398"/>
    </row>
    <row r="7" spans="1:7" s="395" customFormat="1" ht="15.75" customHeight="1">
      <c r="A7" s="399" t="str">
        <f>txtMunicipality</f>
        <v>ANTWERPEN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0.21096550777415771</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0.21096550777415771</v>
      </c>
      <c r="C29" s="511">
        <f ca="1">'EF ele_warmte'!B22</f>
        <v>0.23764705882352949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233352</v>
      </c>
      <c r="C9" s="338">
        <v>250060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1609</v>
      </c>
    </row>
    <row r="15" spans="1:6">
      <c r="A15" s="1286" t="s">
        <v>184</v>
      </c>
      <c r="B15" s="335">
        <v>2</v>
      </c>
    </row>
    <row r="16" spans="1:6">
      <c r="A16" s="1286" t="s">
        <v>6</v>
      </c>
      <c r="B16" s="335">
        <v>84</v>
      </c>
    </row>
    <row r="17" spans="1:6">
      <c r="A17" s="1286" t="s">
        <v>7</v>
      </c>
      <c r="B17" s="335">
        <v>179</v>
      </c>
    </row>
    <row r="18" spans="1:6">
      <c r="A18" s="1286" t="s">
        <v>8</v>
      </c>
      <c r="B18" s="335">
        <v>201</v>
      </c>
    </row>
    <row r="19" spans="1:6">
      <c r="A19" s="1286" t="s">
        <v>9</v>
      </c>
      <c r="B19" s="335">
        <v>333</v>
      </c>
    </row>
    <row r="20" spans="1:6">
      <c r="A20" s="1286" t="s">
        <v>10</v>
      </c>
      <c r="B20" s="335">
        <v>278</v>
      </c>
    </row>
    <row r="21" spans="1:6">
      <c r="A21" s="1286" t="s">
        <v>11</v>
      </c>
      <c r="B21" s="335">
        <v>0</v>
      </c>
    </row>
    <row r="22" spans="1:6">
      <c r="A22" s="1286" t="s">
        <v>12</v>
      </c>
      <c r="B22" s="335">
        <v>2</v>
      </c>
    </row>
    <row r="23" spans="1:6">
      <c r="A23" s="1286" t="s">
        <v>13</v>
      </c>
      <c r="B23" s="335">
        <v>0</v>
      </c>
    </row>
    <row r="24" spans="1:6">
      <c r="A24" s="1286" t="s">
        <v>14</v>
      </c>
      <c r="B24" s="335">
        <v>0</v>
      </c>
    </row>
    <row r="25" spans="1:6">
      <c r="A25" s="1286" t="s">
        <v>15</v>
      </c>
      <c r="B25" s="335">
        <v>1</v>
      </c>
    </row>
    <row r="26" spans="1:6">
      <c r="A26" s="1286" t="s">
        <v>16</v>
      </c>
      <c r="B26" s="335">
        <v>829</v>
      </c>
    </row>
    <row r="27" spans="1:6">
      <c r="A27" s="1286" t="s">
        <v>17</v>
      </c>
      <c r="B27" s="335">
        <v>22</v>
      </c>
    </row>
    <row r="28" spans="1:6" s="341" customFormat="1">
      <c r="A28" s="1287" t="s">
        <v>18</v>
      </c>
      <c r="B28" s="1287">
        <v>59</v>
      </c>
    </row>
    <row r="29" spans="1:6">
      <c r="A29" s="1287" t="s">
        <v>944</v>
      </c>
      <c r="B29" s="1287">
        <v>116</v>
      </c>
      <c r="C29" s="341"/>
      <c r="D29" s="341"/>
      <c r="E29" s="341"/>
      <c r="F29" s="341"/>
    </row>
    <row r="30" spans="1:6">
      <c r="A30" s="1282" t="s">
        <v>945</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12</v>
      </c>
      <c r="F35" s="335">
        <v>128392</v>
      </c>
    </row>
    <row r="36" spans="1:6">
      <c r="A36" s="1286" t="s">
        <v>25</v>
      </c>
      <c r="B36" s="1286" t="s">
        <v>27</v>
      </c>
      <c r="C36" s="335">
        <v>72</v>
      </c>
      <c r="D36" s="335">
        <v>18666674.304804999</v>
      </c>
      <c r="E36" s="335">
        <v>175</v>
      </c>
      <c r="F36" s="335">
        <v>13097660.205987791</v>
      </c>
    </row>
    <row r="37" spans="1:6">
      <c r="A37" s="1286" t="s">
        <v>25</v>
      </c>
      <c r="B37" s="1286" t="s">
        <v>28</v>
      </c>
      <c r="C37" s="335">
        <v>0</v>
      </c>
      <c r="D37" s="335">
        <v>0</v>
      </c>
      <c r="E37" s="335">
        <v>10</v>
      </c>
      <c r="F37" s="335">
        <v>15721347.669441909</v>
      </c>
    </row>
    <row r="38" spans="1:6">
      <c r="A38" s="1286" t="s">
        <v>25</v>
      </c>
      <c r="B38" s="1286" t="s">
        <v>29</v>
      </c>
      <c r="C38" s="335">
        <v>29</v>
      </c>
      <c r="D38" s="335">
        <v>210247239.47965801</v>
      </c>
      <c r="E38" s="335">
        <v>26</v>
      </c>
      <c r="F38" s="335">
        <v>914138.21040041605</v>
      </c>
    </row>
    <row r="39" spans="1:6">
      <c r="A39" s="1286" t="s">
        <v>30</v>
      </c>
      <c r="B39" s="1286" t="s">
        <v>31</v>
      </c>
      <c r="C39" s="335">
        <v>180043</v>
      </c>
      <c r="D39" s="335">
        <v>2575560781.0722198</v>
      </c>
      <c r="E39" s="335">
        <v>238390</v>
      </c>
      <c r="F39" s="335">
        <v>684996888.03875494</v>
      </c>
    </row>
    <row r="40" spans="1:6">
      <c r="A40" s="1286" t="s">
        <v>30</v>
      </c>
      <c r="B40" s="1286" t="s">
        <v>29</v>
      </c>
      <c r="C40" s="335">
        <v>5</v>
      </c>
      <c r="D40" s="335">
        <v>505503.06656097103</v>
      </c>
      <c r="E40" s="335">
        <v>3</v>
      </c>
      <c r="F40" s="335">
        <v>109825.128630943</v>
      </c>
    </row>
    <row r="41" spans="1:6">
      <c r="A41" s="1286" t="s">
        <v>32</v>
      </c>
      <c r="B41" s="1286" t="s">
        <v>33</v>
      </c>
      <c r="C41" s="335">
        <v>1186</v>
      </c>
      <c r="D41" s="335">
        <v>38065835.079706199</v>
      </c>
      <c r="E41" s="335">
        <v>2475</v>
      </c>
      <c r="F41" s="335">
        <v>47064868.5084792</v>
      </c>
    </row>
    <row r="42" spans="1:6">
      <c r="A42" s="1286" t="s">
        <v>32</v>
      </c>
      <c r="B42" s="1286" t="s">
        <v>34</v>
      </c>
      <c r="C42" s="335">
        <v>3</v>
      </c>
      <c r="D42" s="335">
        <v>19789.8183607008</v>
      </c>
      <c r="E42" s="335">
        <v>26</v>
      </c>
      <c r="F42" s="335">
        <v>891431.744328673</v>
      </c>
    </row>
    <row r="43" spans="1:6">
      <c r="A43" s="1286" t="s">
        <v>32</v>
      </c>
      <c r="B43" s="1286" t="s">
        <v>35</v>
      </c>
      <c r="C43" s="335">
        <v>0</v>
      </c>
      <c r="D43" s="335">
        <v>0</v>
      </c>
      <c r="E43" s="335">
        <v>0</v>
      </c>
      <c r="F43" s="335">
        <v>0</v>
      </c>
    </row>
    <row r="44" spans="1:6">
      <c r="A44" s="1286" t="s">
        <v>32</v>
      </c>
      <c r="B44" s="1286" t="s">
        <v>36</v>
      </c>
      <c r="C44" s="335">
        <v>73</v>
      </c>
      <c r="D44" s="335">
        <v>23092970.464570798</v>
      </c>
      <c r="E44" s="335">
        <v>335</v>
      </c>
      <c r="F44" s="335">
        <v>120985258.22444421</v>
      </c>
    </row>
    <row r="45" spans="1:6">
      <c r="A45" s="1286" t="s">
        <v>32</v>
      </c>
      <c r="B45" s="1286" t="s">
        <v>37</v>
      </c>
      <c r="C45" s="335">
        <v>0</v>
      </c>
      <c r="D45" s="335">
        <v>0</v>
      </c>
      <c r="E45" s="335">
        <v>28</v>
      </c>
      <c r="F45" s="335">
        <v>10561155.396858042</v>
      </c>
    </row>
    <row r="46" spans="1:6">
      <c r="A46" s="1286" t="s">
        <v>32</v>
      </c>
      <c r="B46" s="1286" t="s">
        <v>38</v>
      </c>
      <c r="C46" s="335">
        <v>0</v>
      </c>
      <c r="D46" s="335">
        <v>0</v>
      </c>
      <c r="E46" s="335">
        <v>6</v>
      </c>
      <c r="F46" s="335">
        <v>31242.9658976957</v>
      </c>
    </row>
    <row r="47" spans="1:6">
      <c r="A47" s="1286" t="s">
        <v>32</v>
      </c>
      <c r="B47" s="1286" t="s">
        <v>39</v>
      </c>
      <c r="C47" s="335">
        <v>91</v>
      </c>
      <c r="D47" s="335">
        <v>3314276.9714254802</v>
      </c>
      <c r="E47" s="335">
        <v>126</v>
      </c>
      <c r="F47" s="335">
        <v>6164909.4023698801</v>
      </c>
    </row>
    <row r="48" spans="1:6">
      <c r="A48" s="1286" t="s">
        <v>32</v>
      </c>
      <c r="B48" s="1286" t="s">
        <v>29</v>
      </c>
      <c r="C48" s="335">
        <v>375</v>
      </c>
      <c r="D48" s="335">
        <v>268415623.543589</v>
      </c>
      <c r="E48" s="335">
        <v>378</v>
      </c>
      <c r="F48" s="335">
        <v>60099024.423255198</v>
      </c>
    </row>
    <row r="49" spans="1:6">
      <c r="A49" s="1286" t="s">
        <v>32</v>
      </c>
      <c r="B49" s="1286" t="s">
        <v>40</v>
      </c>
      <c r="C49" s="335">
        <v>30</v>
      </c>
      <c r="D49" s="335">
        <v>1552068.8378113599</v>
      </c>
      <c r="E49" s="335">
        <v>78</v>
      </c>
      <c r="F49" s="335">
        <v>1972023.61372876</v>
      </c>
    </row>
    <row r="50" spans="1:6">
      <c r="A50" s="1286" t="s">
        <v>32</v>
      </c>
      <c r="B50" s="1286" t="s">
        <v>41</v>
      </c>
      <c r="C50" s="335">
        <v>237</v>
      </c>
      <c r="D50" s="335">
        <v>24977767.079581998</v>
      </c>
      <c r="E50" s="335">
        <v>359</v>
      </c>
      <c r="F50" s="335">
        <v>117383179.596902</v>
      </c>
    </row>
    <row r="51" spans="1:6">
      <c r="A51" s="1286" t="s">
        <v>42</v>
      </c>
      <c r="B51" s="1286" t="s">
        <v>43</v>
      </c>
      <c r="C51" s="335">
        <v>15</v>
      </c>
      <c r="D51" s="335">
        <v>19382029.7542486</v>
      </c>
      <c r="E51" s="335">
        <v>62</v>
      </c>
      <c r="F51" s="335">
        <v>20403042.7897802</v>
      </c>
    </row>
    <row r="52" spans="1:6">
      <c r="A52" s="1286" t="s">
        <v>42</v>
      </c>
      <c r="B52" s="1286" t="s">
        <v>29</v>
      </c>
      <c r="C52" s="335">
        <v>25</v>
      </c>
      <c r="D52" s="335">
        <v>742094.06967025402</v>
      </c>
      <c r="E52" s="335">
        <v>45</v>
      </c>
      <c r="F52" s="335">
        <v>354793.03107801202</v>
      </c>
    </row>
    <row r="53" spans="1:6">
      <c r="A53" s="1286" t="s">
        <v>44</v>
      </c>
      <c r="B53" s="1286" t="s">
        <v>45</v>
      </c>
      <c r="C53" s="335">
        <v>4305</v>
      </c>
      <c r="D53" s="335">
        <v>201420418.31722501</v>
      </c>
      <c r="E53" s="335">
        <v>8131</v>
      </c>
      <c r="F53" s="335">
        <v>41110596.099882998</v>
      </c>
    </row>
    <row r="54" spans="1:6">
      <c r="A54" s="1286" t="s">
        <v>46</v>
      </c>
      <c r="B54" s="1286" t="s">
        <v>47</v>
      </c>
      <c r="C54" s="335">
        <v>0</v>
      </c>
      <c r="D54" s="335">
        <v>0</v>
      </c>
      <c r="E54" s="335">
        <v>77</v>
      </c>
      <c r="F54" s="335">
        <v>31927696</v>
      </c>
    </row>
    <row r="55" spans="1:6">
      <c r="A55" s="1286" t="s">
        <v>46</v>
      </c>
      <c r="B55" s="1286" t="s">
        <v>29</v>
      </c>
      <c r="C55" s="335">
        <v>0</v>
      </c>
      <c r="D55" s="335">
        <v>0</v>
      </c>
      <c r="E55" s="335">
        <v>0</v>
      </c>
      <c r="F55" s="335">
        <v>0</v>
      </c>
    </row>
    <row r="56" spans="1:6">
      <c r="A56" s="1286" t="s">
        <v>48</v>
      </c>
      <c r="B56" s="1286" t="s">
        <v>29</v>
      </c>
      <c r="C56" s="335">
        <v>225</v>
      </c>
      <c r="D56" s="335">
        <v>11248422</v>
      </c>
      <c r="E56" s="335">
        <v>389</v>
      </c>
      <c r="F56" s="335">
        <v>2401354</v>
      </c>
    </row>
    <row r="57" spans="1:6">
      <c r="A57" s="1286" t="s">
        <v>49</v>
      </c>
      <c r="B57" s="1286" t="s">
        <v>50</v>
      </c>
      <c r="C57" s="335">
        <v>1521</v>
      </c>
      <c r="D57" s="335">
        <v>94186849.747815907</v>
      </c>
      <c r="E57" s="335">
        <v>2416</v>
      </c>
      <c r="F57" s="335">
        <v>71119550.761664599</v>
      </c>
    </row>
    <row r="58" spans="1:6">
      <c r="A58" s="1286" t="s">
        <v>49</v>
      </c>
      <c r="B58" s="1286" t="s">
        <v>51</v>
      </c>
      <c r="C58" s="335">
        <v>828</v>
      </c>
      <c r="D58" s="335">
        <v>122658771.679997</v>
      </c>
      <c r="E58" s="335">
        <v>1223</v>
      </c>
      <c r="F58" s="335">
        <v>55838593.392473496</v>
      </c>
    </row>
    <row r="59" spans="1:6">
      <c r="A59" s="1286" t="s">
        <v>49</v>
      </c>
      <c r="B59" s="1286" t="s">
        <v>52</v>
      </c>
      <c r="C59" s="335">
        <v>3779</v>
      </c>
      <c r="D59" s="335">
        <v>177655893.65395501</v>
      </c>
      <c r="E59" s="335">
        <v>7826</v>
      </c>
      <c r="F59" s="335">
        <v>251488762.51804599</v>
      </c>
    </row>
    <row r="60" spans="1:6">
      <c r="A60" s="1286" t="s">
        <v>49</v>
      </c>
      <c r="B60" s="1286" t="s">
        <v>53</v>
      </c>
      <c r="C60" s="335">
        <v>2368</v>
      </c>
      <c r="D60" s="335">
        <v>158514025.591851</v>
      </c>
      <c r="E60" s="335">
        <v>2967</v>
      </c>
      <c r="F60" s="335">
        <v>105696187.27341101</v>
      </c>
    </row>
    <row r="61" spans="1:6">
      <c r="A61" s="1286" t="s">
        <v>49</v>
      </c>
      <c r="B61" s="1286" t="s">
        <v>54</v>
      </c>
      <c r="C61" s="335">
        <v>8042</v>
      </c>
      <c r="D61" s="335">
        <v>823133578.52065694</v>
      </c>
      <c r="E61" s="335">
        <v>18518</v>
      </c>
      <c r="F61" s="335">
        <v>623011179.70970607</v>
      </c>
    </row>
    <row r="62" spans="1:6">
      <c r="A62" s="1286" t="s">
        <v>49</v>
      </c>
      <c r="B62" s="1286" t="s">
        <v>55</v>
      </c>
      <c r="C62" s="335">
        <v>718</v>
      </c>
      <c r="D62" s="335">
        <v>195517218.622583</v>
      </c>
      <c r="E62" s="335">
        <v>777</v>
      </c>
      <c r="F62" s="335">
        <v>36283151.246298805</v>
      </c>
    </row>
    <row r="63" spans="1:6">
      <c r="A63" s="1286" t="s">
        <v>49</v>
      </c>
      <c r="B63" s="1286" t="s">
        <v>29</v>
      </c>
      <c r="C63" s="335">
        <v>1134</v>
      </c>
      <c r="D63" s="335">
        <v>190561506.10318601</v>
      </c>
      <c r="E63" s="335">
        <v>1063</v>
      </c>
      <c r="F63" s="335">
        <v>74734318.110407799</v>
      </c>
    </row>
    <row r="64" spans="1:6">
      <c r="A64" s="1286" t="s">
        <v>56</v>
      </c>
      <c r="B64" s="1286" t="s">
        <v>57</v>
      </c>
      <c r="C64" s="335">
        <v>0</v>
      </c>
      <c r="D64" s="335">
        <v>0</v>
      </c>
      <c r="E64" s="335">
        <v>0</v>
      </c>
      <c r="F64" s="335">
        <v>0</v>
      </c>
    </row>
    <row r="65" spans="1:6">
      <c r="A65" s="1286" t="s">
        <v>56</v>
      </c>
      <c r="B65" s="1286" t="s">
        <v>29</v>
      </c>
      <c r="C65" s="335">
        <v>35</v>
      </c>
      <c r="D65" s="335">
        <v>9547825.5811711401</v>
      </c>
      <c r="E65" s="335">
        <v>38</v>
      </c>
      <c r="F65" s="335">
        <v>575965.08305627701</v>
      </c>
    </row>
    <row r="66" spans="1:6">
      <c r="A66" s="1286" t="s">
        <v>56</v>
      </c>
      <c r="B66" s="1286" t="s">
        <v>58</v>
      </c>
      <c r="C66" s="335">
        <v>0</v>
      </c>
      <c r="D66" s="335">
        <v>0</v>
      </c>
      <c r="E66" s="335">
        <v>38</v>
      </c>
      <c r="F66" s="335">
        <v>1998161.9663121509</v>
      </c>
    </row>
    <row r="67" spans="1:6">
      <c r="A67" s="1287" t="s">
        <v>56</v>
      </c>
      <c r="B67" s="1287" t="s">
        <v>59</v>
      </c>
      <c r="C67" s="335">
        <v>0</v>
      </c>
      <c r="D67" s="335">
        <v>0</v>
      </c>
      <c r="E67" s="335">
        <v>18</v>
      </c>
      <c r="F67" s="335">
        <v>4305804.9894003859</v>
      </c>
    </row>
    <row r="68" spans="1:6">
      <c r="A68" s="1282" t="s">
        <v>56</v>
      </c>
      <c r="B68" s="1282" t="s">
        <v>60</v>
      </c>
      <c r="C68" s="335">
        <v>75</v>
      </c>
      <c r="D68" s="335">
        <v>13377595.406872399</v>
      </c>
      <c r="E68" s="335">
        <v>258</v>
      </c>
      <c r="F68" s="335">
        <v>64720295.420219503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787155951</v>
      </c>
      <c r="E73" s="335">
        <v>854499489.19327724</v>
      </c>
    </row>
    <row r="74" spans="1:6">
      <c r="A74" s="1286" t="s">
        <v>64</v>
      </c>
      <c r="B74" s="1286" t="s">
        <v>772</v>
      </c>
      <c r="C74" s="1297" t="s">
        <v>766</v>
      </c>
      <c r="D74" s="335">
        <v>41834359.558474109</v>
      </c>
      <c r="E74" s="335">
        <v>50917983.072182335</v>
      </c>
    </row>
    <row r="75" spans="1:6">
      <c r="A75" s="1286" t="s">
        <v>65</v>
      </c>
      <c r="B75" s="1286" t="s">
        <v>771</v>
      </c>
      <c r="C75" s="1297" t="s">
        <v>767</v>
      </c>
      <c r="D75" s="335">
        <v>353317204</v>
      </c>
      <c r="E75" s="335">
        <v>382965229.39478666</v>
      </c>
    </row>
    <row r="76" spans="1:6">
      <c r="A76" s="1286" t="s">
        <v>65</v>
      </c>
      <c r="B76" s="1286" t="s">
        <v>772</v>
      </c>
      <c r="C76" s="1297" t="s">
        <v>768</v>
      </c>
      <c r="D76" s="335">
        <v>9028702.5584741086</v>
      </c>
      <c r="E76" s="335">
        <v>12208507.554365799</v>
      </c>
    </row>
    <row r="77" spans="1:6">
      <c r="A77" s="1286" t="s">
        <v>66</v>
      </c>
      <c r="B77" s="1286" t="s">
        <v>771</v>
      </c>
      <c r="C77" s="1297" t="s">
        <v>769</v>
      </c>
      <c r="D77" s="335">
        <v>1564919165</v>
      </c>
      <c r="E77" s="335">
        <v>1754497767.3004313</v>
      </c>
    </row>
    <row r="78" spans="1:6">
      <c r="A78" s="1282" t="s">
        <v>66</v>
      </c>
      <c r="B78" s="1282" t="s">
        <v>772</v>
      </c>
      <c r="C78" s="1282" t="s">
        <v>770</v>
      </c>
      <c r="D78" s="1282">
        <v>297663346</v>
      </c>
      <c r="E78" s="1282">
        <v>332518367.82161027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14269572.883051785</v>
      </c>
      <c r="C83" s="335">
        <v>13432540.63130041</v>
      </c>
    </row>
    <row r="84" spans="1:6">
      <c r="A84" s="1282" t="s">
        <v>337</v>
      </c>
      <c r="B84" s="338">
        <v>8919679.7900861222</v>
      </c>
      <c r="C84" s="338">
        <v>9684942.1892275959</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44697.625348518493</v>
      </c>
    </row>
    <row r="91" spans="1:6">
      <c r="A91" s="1286" t="s">
        <v>68</v>
      </c>
      <c r="B91" s="335">
        <v>10903.673669938522</v>
      </c>
    </row>
    <row r="92" spans="1:6">
      <c r="A92" s="1282" t="s">
        <v>69</v>
      </c>
      <c r="B92" s="338">
        <v>36326.911232508952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142544</v>
      </c>
    </row>
    <row r="98" spans="1:6">
      <c r="A98" s="1286" t="s">
        <v>72</v>
      </c>
      <c r="B98" s="335">
        <v>436</v>
      </c>
    </row>
    <row r="99" spans="1:6">
      <c r="A99" s="1286" t="s">
        <v>73</v>
      </c>
      <c r="B99" s="335">
        <v>504</v>
      </c>
    </row>
    <row r="100" spans="1:6">
      <c r="A100" s="1286" t="s">
        <v>74</v>
      </c>
      <c r="B100" s="335">
        <v>12353</v>
      </c>
    </row>
    <row r="101" spans="1:6">
      <c r="A101" s="1286" t="s">
        <v>75</v>
      </c>
      <c r="B101" s="335">
        <v>483</v>
      </c>
    </row>
    <row r="102" spans="1:6">
      <c r="A102" s="1286" t="s">
        <v>76</v>
      </c>
      <c r="B102" s="335">
        <v>6918</v>
      </c>
    </row>
    <row r="103" spans="1:6">
      <c r="A103" s="1286" t="s">
        <v>77</v>
      </c>
      <c r="B103" s="335">
        <v>1961</v>
      </c>
    </row>
    <row r="104" spans="1:6">
      <c r="A104" s="1286" t="s">
        <v>78</v>
      </c>
      <c r="B104" s="335">
        <v>38687</v>
      </c>
    </row>
    <row r="105" spans="1:6">
      <c r="A105" s="1282" t="s">
        <v>79</v>
      </c>
      <c r="B105" s="1282">
        <v>225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20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314</v>
      </c>
    </row>
    <row r="130" spans="1:6">
      <c r="A130" s="1286" t="s">
        <v>295</v>
      </c>
      <c r="B130" s="335">
        <v>11</v>
      </c>
    </row>
    <row r="131" spans="1:6">
      <c r="A131" s="1286" t="s">
        <v>296</v>
      </c>
      <c r="B131" s="335">
        <v>38</v>
      </c>
    </row>
    <row r="132" spans="1:6">
      <c r="A132" s="1282" t="s">
        <v>297</v>
      </c>
      <c r="B132" s="338">
        <v>15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2439290.5484383618</v>
      </c>
      <c r="C3" s="44" t="s">
        <v>170</v>
      </c>
      <c r="D3" s="44"/>
      <c r="E3" s="157"/>
      <c r="F3" s="44"/>
      <c r="G3" s="44"/>
      <c r="H3" s="44"/>
      <c r="I3" s="44"/>
      <c r="J3" s="44"/>
      <c r="K3" s="97"/>
    </row>
    <row r="4" spans="1:11">
      <c r="A4" s="365" t="s">
        <v>171</v>
      </c>
      <c r="B4" s="50">
        <f>IF(ISERROR('SEAP template'!B78+'SEAP template'!C78),0,'SEAP template'!B78+'SEAP template'!C78)</f>
        <v>124187.26025096596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2968.3424705882353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0.21096550777415771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4240.4892436974797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17843.642857142855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31927.696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31927.696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0.21096550777415771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6735.6425986989443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685106.7131673859</v>
      </c>
      <c r="C5" s="18">
        <f>IF(ISERROR('Eigen informatie GS &amp; warmtenet'!B57),0,'Eigen informatie GS &amp; warmtenet'!B57)</f>
        <v>0</v>
      </c>
      <c r="D5" s="31">
        <f>(SUM(HH_hh_gas_kWh,HH_rest_gas_kWh)/1000)*0.902</f>
        <v>2323611.7882931801</v>
      </c>
      <c r="E5" s="18">
        <f>B46*B57</f>
        <v>40253.980390954894</v>
      </c>
      <c r="F5" s="18">
        <f>B51*B62</f>
        <v>97384.745154495613</v>
      </c>
      <c r="G5" s="19"/>
      <c r="H5" s="18"/>
      <c r="I5" s="18"/>
      <c r="J5" s="18">
        <f>B50*B61+C50*C61</f>
        <v>0</v>
      </c>
      <c r="K5" s="18"/>
      <c r="L5" s="18"/>
      <c r="M5" s="18"/>
      <c r="N5" s="18">
        <f>B48*B59+C48*C59</f>
        <v>125279.57156695028</v>
      </c>
      <c r="O5" s="18">
        <f>B69*B70*B71</f>
        <v>522.15333333333331</v>
      </c>
      <c r="P5" s="18">
        <f>B77*B78*B79/1000-B77*B78*B79/1000/B80</f>
        <v>400.4</v>
      </c>
    </row>
    <row r="6" spans="1:16">
      <c r="A6" s="17" t="s">
        <v>639</v>
      </c>
      <c r="B6" s="780">
        <f>kWh_PV_kleiner_dan_10kW</f>
        <v>10903.673669938522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696010.38683732436</v>
      </c>
      <c r="C8" s="22">
        <f>C5</f>
        <v>0</v>
      </c>
      <c r="D8" s="22">
        <f>D5</f>
        <v>2323611.7882931801</v>
      </c>
      <c r="E8" s="22">
        <f>E5</f>
        <v>40253.980390954894</v>
      </c>
      <c r="F8" s="22">
        <f>F5</f>
        <v>97384.745154495613</v>
      </c>
      <c r="G8" s="22"/>
      <c r="H8" s="22"/>
      <c r="I8" s="22"/>
      <c r="J8" s="22">
        <f>J5</f>
        <v>0</v>
      </c>
      <c r="K8" s="22"/>
      <c r="L8" s="22">
        <f>L5</f>
        <v>0</v>
      </c>
      <c r="M8" s="22">
        <f>M5</f>
        <v>0</v>
      </c>
      <c r="N8" s="22">
        <f>N5</f>
        <v>125279.57156695028</v>
      </c>
      <c r="O8" s="22">
        <f>O5</f>
        <v>522.15333333333331</v>
      </c>
      <c r="P8" s="22">
        <f>P5</f>
        <v>400.4</v>
      </c>
    </row>
    <row r="9" spans="1:16">
      <c r="B9" s="20"/>
      <c r="C9" s="20"/>
      <c r="D9" s="262"/>
      <c r="E9" s="20"/>
      <c r="F9" s="20"/>
      <c r="G9" s="20"/>
      <c r="H9" s="20"/>
      <c r="I9" s="20"/>
      <c r="J9" s="20"/>
      <c r="K9" s="20"/>
      <c r="L9" s="20"/>
      <c r="M9" s="20"/>
      <c r="N9" s="20"/>
      <c r="O9" s="20"/>
      <c r="P9" s="20"/>
    </row>
    <row r="10" spans="1:16">
      <c r="A10" s="25" t="s">
        <v>214</v>
      </c>
      <c r="B10" s="26">
        <f ca="1">'EF ele_warmte'!B12</f>
        <v>0.21096550777415771</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146834.18467522407</v>
      </c>
      <c r="C12" s="24">
        <f ca="1">C10*C8</f>
        <v>0</v>
      </c>
      <c r="D12" s="24">
        <f>D8*D10</f>
        <v>469369.5812352224</v>
      </c>
      <c r="E12" s="24">
        <f>E10*E8</f>
        <v>9137.6535487467609</v>
      </c>
      <c r="F12" s="24">
        <f>F10*F8</f>
        <v>26001.726956250332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142544</v>
      </c>
      <c r="C18" s="169" t="s">
        <v>111</v>
      </c>
      <c r="D18" s="231"/>
      <c r="E18" s="16"/>
    </row>
    <row r="19" spans="1:7">
      <c r="A19" s="174" t="s">
        <v>72</v>
      </c>
      <c r="B19" s="38">
        <f>aantalw2001_ander</f>
        <v>436</v>
      </c>
      <c r="C19" s="169" t="s">
        <v>111</v>
      </c>
      <c r="D19" s="232"/>
      <c r="E19" s="16"/>
    </row>
    <row r="20" spans="1:7">
      <c r="A20" s="174" t="s">
        <v>73</v>
      </c>
      <c r="B20" s="38">
        <f>aantalw2001_propaan</f>
        <v>504</v>
      </c>
      <c r="C20" s="170">
        <f>IF(ISERROR(B20/SUM($B$20,$B$21,$B$22)*100),0,B20/SUM($B$20,$B$21,$B$22)*100)</f>
        <v>3.7781109445277363</v>
      </c>
      <c r="D20" s="232"/>
      <c r="E20" s="16"/>
    </row>
    <row r="21" spans="1:7">
      <c r="A21" s="174" t="s">
        <v>74</v>
      </c>
      <c r="B21" s="38">
        <f>aantalw2001_elektriciteit</f>
        <v>12353</v>
      </c>
      <c r="C21" s="170">
        <f>IF(ISERROR(B21/SUM($B$20,$B$21,$B$22)*100),0,B21/SUM($B$20,$B$21,$B$22)*100)</f>
        <v>92.601199400299848</v>
      </c>
      <c r="D21" s="232"/>
      <c r="E21" s="16"/>
    </row>
    <row r="22" spans="1:7">
      <c r="A22" s="174" t="s">
        <v>75</v>
      </c>
      <c r="B22" s="38">
        <f>aantalw2001_hout</f>
        <v>483</v>
      </c>
      <c r="C22" s="170">
        <f>IF(ISERROR(B22/SUM($B$20,$B$21,$B$22)*100),0,B22/SUM($B$20,$B$21,$B$22)*100)</f>
        <v>3.6206896551724141</v>
      </c>
      <c r="D22" s="232"/>
      <c r="E22" s="16"/>
    </row>
    <row r="23" spans="1:7">
      <c r="A23" s="174" t="s">
        <v>76</v>
      </c>
      <c r="B23" s="38">
        <f>aantalw2001_niet_gespec</f>
        <v>6918</v>
      </c>
      <c r="C23" s="169" t="s">
        <v>111</v>
      </c>
      <c r="D23" s="231"/>
      <c r="E23" s="16"/>
    </row>
    <row r="24" spans="1:7">
      <c r="A24" s="174" t="s">
        <v>77</v>
      </c>
      <c r="B24" s="38">
        <f>aantalw2001_steenkool</f>
        <v>1961</v>
      </c>
      <c r="C24" s="169" t="s">
        <v>111</v>
      </c>
      <c r="D24" s="232"/>
      <c r="E24" s="16"/>
    </row>
    <row r="25" spans="1:7">
      <c r="A25" s="174" t="s">
        <v>78</v>
      </c>
      <c r="B25" s="38">
        <f>aantalw2001_stookolie</f>
        <v>38687</v>
      </c>
      <c r="C25" s="169" t="s">
        <v>111</v>
      </c>
      <c r="D25" s="231"/>
      <c r="E25" s="53"/>
    </row>
    <row r="26" spans="1:7">
      <c r="A26" s="174" t="s">
        <v>79</v>
      </c>
      <c r="B26" s="38">
        <f>aantalw2001_WP</f>
        <v>225</v>
      </c>
      <c r="C26" s="169" t="s">
        <v>111</v>
      </c>
      <c r="D26" s="231"/>
      <c r="E26" s="16"/>
    </row>
    <row r="27" spans="1:7" s="16" customFormat="1">
      <c r="A27" s="174"/>
      <c r="B27" s="30"/>
      <c r="C27" s="37"/>
      <c r="D27" s="231"/>
    </row>
    <row r="28" spans="1:7" s="16" customFormat="1">
      <c r="A28" s="233" t="s">
        <v>665</v>
      </c>
      <c r="B28" s="38">
        <f>aantalHuishoudens2011</f>
        <v>233352</v>
      </c>
      <c r="C28" s="37"/>
      <c r="D28" s="231"/>
    </row>
    <row r="29" spans="1:7" s="16" customFormat="1">
      <c r="A29" s="233" t="s">
        <v>666</v>
      </c>
      <c r="B29" s="38">
        <f>SUM(HH_hh_gas_aantal,HH_rest_gas_aantal)</f>
        <v>180048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180048</v>
      </c>
      <c r="C32" s="170">
        <f>IF(ISERROR(B32/SUM($B$32,$B$34,$B$35,$B$36,$B$38,$B$39)*100),0,B32/SUM($B$32,$B$34,$B$35,$B$36,$B$38,$B$39)*100)</f>
        <v>77.164200213430718</v>
      </c>
      <c r="D32" s="236"/>
      <c r="G32" s="16"/>
    </row>
    <row r="33" spans="1:7">
      <c r="A33" s="174" t="s">
        <v>72</v>
      </c>
      <c r="B33" s="35" t="s">
        <v>111</v>
      </c>
      <c r="C33" s="170"/>
      <c r="D33" s="236"/>
      <c r="G33" s="16"/>
    </row>
    <row r="34" spans="1:7">
      <c r="A34" s="174" t="s">
        <v>73</v>
      </c>
      <c r="B34" s="34">
        <f>IF((($B$28-$B$32-$B$39-$B$77-$B$38)*C20/100)&lt;0,0,($B$28-$B$32-$B$39-$B$77-$B$38)*C20/100)</f>
        <v>1826.7015292353824</v>
      </c>
      <c r="C34" s="170">
        <f>IF(ISERROR(B34/SUM($B$32,$B$34,$B$35,$B$36,$B$38,$B$39)*100),0,B34/SUM($B$32,$B$34,$B$35,$B$36,$B$38,$B$39)*100)</f>
        <v>0.78287991275714874</v>
      </c>
      <c r="D34" s="236"/>
      <c r="G34" s="16"/>
    </row>
    <row r="35" spans="1:7">
      <c r="A35" s="174" t="s">
        <v>74</v>
      </c>
      <c r="B35" s="34">
        <f>IF((($B$28-$B$32-$B$39-$B$77-$B$38)*C21/100)&lt;0,0,($B$28-$B$32-$B$39-$B$77-$B$38)*C21/100)</f>
        <v>44772.309505247373</v>
      </c>
      <c r="C35" s="170">
        <f>IF(ISERROR(B35/SUM($B$32,$B$34,$B$35,$B$36,$B$38,$B$39)*100),0,B35/SUM($B$32,$B$34,$B$35,$B$36,$B$38,$B$39)*100)</f>
        <v>19.188324528351302</v>
      </c>
      <c r="D35" s="236"/>
      <c r="G35" s="16"/>
    </row>
    <row r="36" spans="1:7">
      <c r="A36" s="174" t="s">
        <v>75</v>
      </c>
      <c r="B36" s="34">
        <f>IF((($B$28-$B$32-$B$39-$B$77-$B$38)*C22/100)&lt;0,0,($B$28-$B$32-$B$39-$B$77-$B$38)*C22/100)</f>
        <v>1750.5889655172414</v>
      </c>
      <c r="C36" s="170">
        <f>IF(ISERROR(B36/SUM($B$32,$B$34,$B$35,$B$36,$B$38,$B$39)*100),0,B36/SUM($B$32,$B$34,$B$35,$B$36,$B$38,$B$39)*100)</f>
        <v>0.75025991639226741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4933.4000000000015</v>
      </c>
      <c r="C39" s="170">
        <f>IF(ISERROR(B39/SUM($B$32,$B$34,$B$35,$B$36,$B$38,$B$39)*100),0,B39/SUM($B$32,$B$34,$B$35,$B$36,$B$38,$B$39)*100)</f>
        <v>2.1143354290685772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180048</v>
      </c>
      <c r="C44" s="35" t="s">
        <v>111</v>
      </c>
      <c r="D44" s="177"/>
    </row>
    <row r="45" spans="1:7">
      <c r="A45" s="174" t="s">
        <v>72</v>
      </c>
      <c r="B45" s="34" t="str">
        <f t="shared" si="0"/>
        <v>-</v>
      </c>
      <c r="C45" s="35" t="s">
        <v>111</v>
      </c>
      <c r="D45" s="177"/>
    </row>
    <row r="46" spans="1:7">
      <c r="A46" s="174" t="s">
        <v>73</v>
      </c>
      <c r="B46" s="34">
        <f t="shared" si="0"/>
        <v>1826.7015292353824</v>
      </c>
      <c r="C46" s="35" t="s">
        <v>111</v>
      </c>
      <c r="D46" s="177"/>
    </row>
    <row r="47" spans="1:7">
      <c r="A47" s="174" t="s">
        <v>74</v>
      </c>
      <c r="B47" s="34">
        <f t="shared" si="0"/>
        <v>44772.309505247373</v>
      </c>
      <c r="C47" s="35" t="s">
        <v>111</v>
      </c>
      <c r="D47" s="177"/>
    </row>
    <row r="48" spans="1:7">
      <c r="A48" s="174" t="s">
        <v>75</v>
      </c>
      <c r="B48" s="34">
        <f t="shared" si="0"/>
        <v>1750.5889655172414</v>
      </c>
      <c r="C48" s="34">
        <f>B48*10</f>
        <v>17505.889655172414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4933.4000000000015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1218171.7430120078</v>
      </c>
      <c r="C5" s="18">
        <f>IF(ISERROR('Eigen informatie GS &amp; warmtenet'!B58),0,'Eigen informatie GS &amp; warmtenet'!B58)</f>
        <v>0</v>
      </c>
      <c r="D5" s="31">
        <f>SUM(D6:D12)</f>
        <v>1589529.5152158805</v>
      </c>
      <c r="E5" s="18">
        <f>SUM(E6:E12)</f>
        <v>9166.9118492861817</v>
      </c>
      <c r="F5" s="18">
        <f>SUM(F6:F12)</f>
        <v>217924.96778611394</v>
      </c>
      <c r="G5" s="19"/>
      <c r="H5" s="18"/>
      <c r="I5" s="18"/>
      <c r="J5" s="18">
        <f>SUM(J6:J12)</f>
        <v>0</v>
      </c>
      <c r="K5" s="18"/>
      <c r="L5" s="18"/>
      <c r="M5" s="18"/>
      <c r="N5" s="18">
        <f>SUM(N6:N12)</f>
        <v>47928.878012817135</v>
      </c>
      <c r="O5" s="18">
        <f>B38*B39*B40</f>
        <v>17.196666666666669</v>
      </c>
      <c r="P5" s="18">
        <f>B46*B47*B48/1000-B46*B47*B48/1000/B49</f>
        <v>724.5333333333333</v>
      </c>
      <c r="R5" s="33"/>
    </row>
    <row r="6" spans="1:18">
      <c r="A6" s="33" t="s">
        <v>54</v>
      </c>
      <c r="B6" s="38">
        <f>B26</f>
        <v>623011.17970970611</v>
      </c>
      <c r="C6" s="34"/>
      <c r="D6" s="38">
        <f>IF(ISERROR(TER_kantoor_gas_kWh/1000),0,TER_kantoor_gas_kWh/1000)*0.902</f>
        <v>742466.48782563256</v>
      </c>
      <c r="E6" s="34">
        <f>$C$26*'E Balans VL '!I12/100/3.6*1000000</f>
        <v>1022.487615223399</v>
      </c>
      <c r="F6" s="34">
        <f>$C$26*('E Balans VL '!L12+'E Balans VL '!N12)/100/3.6*1000000</f>
        <v>73438.35943074747</v>
      </c>
      <c r="G6" s="35"/>
      <c r="H6" s="34"/>
      <c r="I6" s="34"/>
      <c r="J6" s="34">
        <f>$C$26*('E Balans VL '!D12+'E Balans VL '!E12)/100/3.6*1000000</f>
        <v>0</v>
      </c>
      <c r="K6" s="34"/>
      <c r="L6" s="34"/>
      <c r="M6" s="34"/>
      <c r="N6" s="34">
        <f>$C$26*'E Balans VL '!Y12/100/3.6*1000000</f>
        <v>125.87645866088506</v>
      </c>
      <c r="O6" s="34"/>
      <c r="P6" s="34"/>
      <c r="R6" s="33"/>
    </row>
    <row r="7" spans="1:18">
      <c r="A7" s="33" t="s">
        <v>53</v>
      </c>
      <c r="B7" s="38">
        <f t="shared" ref="B7:B12" si="0">B27</f>
        <v>105696.18727341101</v>
      </c>
      <c r="C7" s="34"/>
      <c r="D7" s="38">
        <f>IF(ISERROR(TER_horeca_gas_kWh/1000),0,TER_horeca_gas_kWh/1000)*0.902</f>
        <v>142979.6510838496</v>
      </c>
      <c r="E7" s="34">
        <f>$C$27*'E Balans VL '!I9/100/3.6*1000000</f>
        <v>5484.8672855120831</v>
      </c>
      <c r="F7" s="34">
        <f>$C$27*('E Balans VL '!L9+'E Balans VL '!N9)/100/3.6*1000000</f>
        <v>24119.946629325983</v>
      </c>
      <c r="G7" s="35"/>
      <c r="H7" s="34"/>
      <c r="I7" s="34"/>
      <c r="J7" s="34">
        <f>$C$27*('E Balans VL '!D9+'E Balans VL '!E9)/100/3.6*1000000</f>
        <v>0</v>
      </c>
      <c r="K7" s="34"/>
      <c r="L7" s="34"/>
      <c r="M7" s="34"/>
      <c r="N7" s="34">
        <f>$C$27*'E Balans VL '!Y9/100/3.6*1000000</f>
        <v>11.161468938681185</v>
      </c>
      <c r="O7" s="34"/>
      <c r="P7" s="34"/>
      <c r="R7" s="33"/>
    </row>
    <row r="8" spans="1:18">
      <c r="A8" s="6" t="s">
        <v>52</v>
      </c>
      <c r="B8" s="38">
        <f t="shared" si="0"/>
        <v>251488.76251804599</v>
      </c>
      <c r="C8" s="34"/>
      <c r="D8" s="38">
        <f>IF(ISERROR(TER_handel_gas_kWh/1000),0,TER_handel_gas_kWh/1000)*0.902</f>
        <v>160245.61607586744</v>
      </c>
      <c r="E8" s="34">
        <f>$C$28*'E Balans VL '!I13/100/3.6*1000000</f>
        <v>1354.2978900211358</v>
      </c>
      <c r="F8" s="34">
        <f>$C$28*('E Balans VL '!L13+'E Balans VL '!N13)/100/3.6*1000000</f>
        <v>51286.032250331089</v>
      </c>
      <c r="G8" s="35"/>
      <c r="H8" s="34"/>
      <c r="I8" s="34"/>
      <c r="J8" s="34">
        <f>$C$28*('E Balans VL '!D13+'E Balans VL '!E13)/100/3.6*1000000</f>
        <v>0</v>
      </c>
      <c r="K8" s="34"/>
      <c r="L8" s="34"/>
      <c r="M8" s="34"/>
      <c r="N8" s="34">
        <f>$C$28*'E Balans VL '!Y13/100/3.6*1000000</f>
        <v>1250.5208085917664</v>
      </c>
      <c r="O8" s="34"/>
      <c r="P8" s="34"/>
      <c r="R8" s="33"/>
    </row>
    <row r="9" spans="1:18">
      <c r="A9" s="33" t="s">
        <v>51</v>
      </c>
      <c r="B9" s="38">
        <f t="shared" si="0"/>
        <v>55838.5933924735</v>
      </c>
      <c r="C9" s="34"/>
      <c r="D9" s="38">
        <f>IF(ISERROR(TER_gezond_gas_kWh/1000),0,TER_gezond_gas_kWh/1000)*0.902</f>
        <v>110638.21205535729</v>
      </c>
      <c r="E9" s="34">
        <f>$C$29*'E Balans VL '!I10/100/3.6*1000000</f>
        <v>55.336681045797313</v>
      </c>
      <c r="F9" s="34">
        <f>$C$29*('E Balans VL '!L10+'E Balans VL '!N10)/100/3.6*1000000</f>
        <v>19374.382421480652</v>
      </c>
      <c r="G9" s="35"/>
      <c r="H9" s="34"/>
      <c r="I9" s="34"/>
      <c r="J9" s="34">
        <f>$C$29*('E Balans VL '!D10+'E Balans VL '!E10)/100/3.6*1000000</f>
        <v>0</v>
      </c>
      <c r="K9" s="34"/>
      <c r="L9" s="34"/>
      <c r="M9" s="34"/>
      <c r="N9" s="34">
        <f>$C$29*'E Balans VL '!Y10/100/3.6*1000000</f>
        <v>481.15632198878984</v>
      </c>
      <c r="O9" s="34"/>
      <c r="P9" s="34"/>
      <c r="R9" s="33"/>
    </row>
    <row r="10" spans="1:18">
      <c r="A10" s="33" t="s">
        <v>50</v>
      </c>
      <c r="B10" s="38">
        <f t="shared" si="0"/>
        <v>71119.550761664606</v>
      </c>
      <c r="C10" s="34"/>
      <c r="D10" s="38">
        <f>IF(ISERROR(TER_ander_gas_kWh/1000),0,TER_ander_gas_kWh/1000)*0.902</f>
        <v>84956.538472529952</v>
      </c>
      <c r="E10" s="34">
        <f>$C$30*'E Balans VL '!I14/100/3.6*1000000</f>
        <v>581.82900415931522</v>
      </c>
      <c r="F10" s="34">
        <f>$C$30*('E Balans VL '!L14+'E Balans VL '!N14)/100/3.6*1000000</f>
        <v>20792.461245882023</v>
      </c>
      <c r="G10" s="35"/>
      <c r="H10" s="34"/>
      <c r="I10" s="34"/>
      <c r="J10" s="34">
        <f>$C$30*('E Balans VL '!D14+'E Balans VL '!E14)/100/3.6*1000000</f>
        <v>0</v>
      </c>
      <c r="K10" s="34"/>
      <c r="L10" s="34"/>
      <c r="M10" s="34"/>
      <c r="N10" s="34">
        <f>$C$30*'E Balans VL '!Y14/100/3.6*1000000</f>
        <v>41026.649115946122</v>
      </c>
      <c r="O10" s="34"/>
      <c r="P10" s="34"/>
      <c r="R10" s="33"/>
    </row>
    <row r="11" spans="1:18">
      <c r="A11" s="33" t="s">
        <v>55</v>
      </c>
      <c r="B11" s="38">
        <f t="shared" si="0"/>
        <v>36283.151246298803</v>
      </c>
      <c r="C11" s="34"/>
      <c r="D11" s="38">
        <f>IF(ISERROR(TER_onderwijs_gas_kWh/1000),0,TER_onderwijs_gas_kWh/1000)*0.902</f>
        <v>176356.53119756986</v>
      </c>
      <c r="E11" s="34">
        <f>$C$31*'E Balans VL '!I11/100/3.6*1000000</f>
        <v>22.363403490073178</v>
      </c>
      <c r="F11" s="34">
        <f>$C$31*('E Balans VL '!L11+'E Balans VL '!N11)/100/3.6*1000000</f>
        <v>14027.653865455248</v>
      </c>
      <c r="G11" s="35"/>
      <c r="H11" s="34"/>
      <c r="I11" s="34"/>
      <c r="J11" s="34">
        <f>$C$31*('E Balans VL '!D11+'E Balans VL '!E11)/100/3.6*1000000</f>
        <v>0</v>
      </c>
      <c r="K11" s="34"/>
      <c r="L11" s="34"/>
      <c r="M11" s="34"/>
      <c r="N11" s="34">
        <f>$C$31*'E Balans VL '!Y11/100/3.6*1000000</f>
        <v>118.02131569091208</v>
      </c>
      <c r="O11" s="34"/>
      <c r="P11" s="34"/>
      <c r="R11" s="33"/>
    </row>
    <row r="12" spans="1:18">
      <c r="A12" s="33" t="s">
        <v>260</v>
      </c>
      <c r="B12" s="38">
        <f t="shared" si="0"/>
        <v>74734.318110407796</v>
      </c>
      <c r="C12" s="34"/>
      <c r="D12" s="38">
        <f>IF(ISERROR(TER_rest_gas_kWh/1000),0,TER_rest_gas_kWh/1000)*0.902</f>
        <v>171886.47850507378</v>
      </c>
      <c r="E12" s="34">
        <f>$C$32*'E Balans VL '!I8/100/3.6*1000000</f>
        <v>645.72996983437815</v>
      </c>
      <c r="F12" s="34">
        <f>$C$32*('E Balans VL '!L8+'E Balans VL '!N8)/100/3.6*1000000</f>
        <v>14886.131942891434</v>
      </c>
      <c r="G12" s="35"/>
      <c r="H12" s="34"/>
      <c r="I12" s="34"/>
      <c r="J12" s="34">
        <f>$C$32*('E Balans VL '!D8+'E Balans VL '!E8)/100/3.6*1000000</f>
        <v>0</v>
      </c>
      <c r="K12" s="34"/>
      <c r="L12" s="34"/>
      <c r="M12" s="34"/>
      <c r="N12" s="34">
        <f>$C$32*'E Balans VL '!Y8/100/3.6*1000000</f>
        <v>4915.4925229999762</v>
      </c>
      <c r="O12" s="34"/>
      <c r="P12" s="34"/>
      <c r="R12" s="33"/>
    </row>
    <row r="13" spans="1:18">
      <c r="A13" s="17" t="s">
        <v>502</v>
      </c>
      <c r="B13" s="250">
        <f ca="1">'lokale energieproductie'!N91+'lokale energieproductie'!N60</f>
        <v>28632.05</v>
      </c>
      <c r="C13" s="250">
        <f ca="1">'lokale energieproductie'!O91+'lokale energieproductie'!O60</f>
        <v>12662.214285714284</v>
      </c>
      <c r="D13" s="312">
        <f ca="1">('lokale energieproductie'!P60+'lokale energieproductie'!P91)*(-1)</f>
        <v>-25324.428571428569</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-56481.428571428572</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1246803.7930120078</v>
      </c>
      <c r="C16" s="22">
        <f t="shared" ca="1" si="1"/>
        <v>12662.214285714284</v>
      </c>
      <c r="D16" s="22">
        <f t="shared" ca="1" si="1"/>
        <v>1564205.0866444518</v>
      </c>
      <c r="E16" s="22">
        <f t="shared" si="1"/>
        <v>9166.9118492861817</v>
      </c>
      <c r="F16" s="22">
        <f t="shared" ca="1" si="1"/>
        <v>217924.96778611394</v>
      </c>
      <c r="G16" s="22">
        <f t="shared" si="1"/>
        <v>0</v>
      </c>
      <c r="H16" s="22">
        <f t="shared" si="1"/>
        <v>0</v>
      </c>
      <c r="I16" s="22">
        <f t="shared" si="1"/>
        <v>0</v>
      </c>
      <c r="J16" s="22">
        <f t="shared" si="1"/>
        <v>0</v>
      </c>
      <c r="K16" s="22">
        <f t="shared" si="1"/>
        <v>0</v>
      </c>
      <c r="L16" s="22">
        <f t="shared" ca="1" si="1"/>
        <v>0</v>
      </c>
      <c r="M16" s="22">
        <f t="shared" si="1"/>
        <v>0</v>
      </c>
      <c r="N16" s="22">
        <f t="shared" ca="1" si="1"/>
        <v>0</v>
      </c>
      <c r="O16" s="22">
        <f>O5</f>
        <v>17.196666666666669</v>
      </c>
      <c r="P16" s="22">
        <f>P5</f>
        <v>724.5333333333333</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0.21096550777415771</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263032.59528752405</v>
      </c>
      <c r="C20" s="24">
        <f t="shared" ref="C20:P20" ca="1" si="2">C16*C18</f>
        <v>3009.1379831932782</v>
      </c>
      <c r="D20" s="24">
        <f t="shared" ca="1" si="2"/>
        <v>315969.42750217929</v>
      </c>
      <c r="E20" s="24">
        <f t="shared" si="2"/>
        <v>2080.8889897879635</v>
      </c>
      <c r="F20" s="24">
        <f t="shared" ca="1" si="2"/>
        <v>58185.966398892422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623011.17970970611</v>
      </c>
      <c r="C26" s="40">
        <f>IF(ISERROR(B26*3.6/1000000/'E Balans VL '!Z12*100),0,B26*3.6/1000000/'E Balans VL '!Z12*100)</f>
        <v>13.238540788173713</v>
      </c>
      <c r="D26" s="240" t="s">
        <v>707</v>
      </c>
      <c r="F26" s="6"/>
    </row>
    <row r="27" spans="1:18">
      <c r="A27" s="234" t="s">
        <v>53</v>
      </c>
      <c r="B27" s="34">
        <f>IF(ISERROR(TER_horeca_ele_kWh/1000),0,TER_horeca_ele_kWh/1000)</f>
        <v>105696.18727341101</v>
      </c>
      <c r="C27" s="40">
        <f>IF(ISERROR(B27*3.6/1000000/'E Balans VL '!Z9*100),0,B27*3.6/1000000/'E Balans VL '!Z9*100)</f>
        <v>8.3191072834890836</v>
      </c>
      <c r="D27" s="240" t="s">
        <v>707</v>
      </c>
      <c r="F27" s="6"/>
    </row>
    <row r="28" spans="1:18">
      <c r="A28" s="174" t="s">
        <v>52</v>
      </c>
      <c r="B28" s="34">
        <f>IF(ISERROR(TER_handel_ele_kWh/1000),0,TER_handel_ele_kWh/1000)</f>
        <v>251488.76251804599</v>
      </c>
      <c r="C28" s="40">
        <f>IF(ISERROR(B28*3.6/1000000/'E Balans VL '!Z13*100),0,B28*3.6/1000000/'E Balans VL '!Z13*100)</f>
        <v>7.0443348296025361</v>
      </c>
      <c r="D28" s="240" t="s">
        <v>707</v>
      </c>
      <c r="F28" s="6"/>
    </row>
    <row r="29" spans="1:18">
      <c r="A29" s="234" t="s">
        <v>51</v>
      </c>
      <c r="B29" s="34">
        <f>IF(ISERROR(TER_gezond_ele_kWh/1000),0,TER_gezond_ele_kWh/1000)</f>
        <v>55838.5933924735</v>
      </c>
      <c r="C29" s="40">
        <f>IF(ISERROR(B29*3.6/1000000/'E Balans VL '!Z10*100),0,B29*3.6/1000000/'E Balans VL '!Z10*100)</f>
        <v>7.1434445859585987</v>
      </c>
      <c r="D29" s="240" t="s">
        <v>707</v>
      </c>
      <c r="F29" s="6"/>
    </row>
    <row r="30" spans="1:18">
      <c r="A30" s="234" t="s">
        <v>50</v>
      </c>
      <c r="B30" s="34">
        <f>IF(ISERROR(TER_ander_ele_kWh/1000),0,TER_ander_ele_kWh/1000)</f>
        <v>71119.550761664606</v>
      </c>
      <c r="C30" s="40">
        <f>IF(ISERROR(B30*3.6/1000000/'E Balans VL '!Z14*100),0,B30*3.6/1000000/'E Balans VL '!Z14*100)</f>
        <v>5.3191431331693151</v>
      </c>
      <c r="D30" s="240" t="s">
        <v>707</v>
      </c>
      <c r="F30" s="6"/>
    </row>
    <row r="31" spans="1:18">
      <c r="A31" s="234" t="s">
        <v>55</v>
      </c>
      <c r="B31" s="34">
        <f>IF(ISERROR(TER_onderwijs_ele_kWh/1000),0,TER_onderwijs_ele_kWh/1000)</f>
        <v>36283.151246298803</v>
      </c>
      <c r="C31" s="40">
        <f>IF(ISERROR(B31*3.6/1000000/'E Balans VL '!Z11*100),0,B31*3.6/1000000/'E Balans VL '!Z11*100)</f>
        <v>7.6612343843500215</v>
      </c>
      <c r="D31" s="240" t="s">
        <v>707</v>
      </c>
    </row>
    <row r="32" spans="1:18">
      <c r="A32" s="234" t="s">
        <v>260</v>
      </c>
      <c r="B32" s="34">
        <f>IF(ISERROR(TER_rest_ele_kWh/1000),0,TER_rest_ele_kWh/1000)</f>
        <v>74734.318110407796</v>
      </c>
      <c r="C32" s="40">
        <f>IF(ISERROR(B32*3.6/1000000/'E Balans VL '!Z8*100),0,B32*3.6/1000000/'E Balans VL '!Z8*100)</f>
        <v>0.61565623555049676</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38</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365153.09387626365</v>
      </c>
      <c r="C5" s="18">
        <f>IF(ISERROR('Eigen informatie GS &amp; warmtenet'!B59),0,'Eigen informatie GS &amp; warmtenet'!B59)</f>
        <v>0</v>
      </c>
      <c r="D5" s="31">
        <f>SUM(D6:D15)</f>
        <v>324213.37527913105</v>
      </c>
      <c r="E5" s="18">
        <f>SUM(E6:E15)</f>
        <v>3556.4275408057169</v>
      </c>
      <c r="F5" s="18">
        <f>SUM(F6:F15)</f>
        <v>82300.828841505223</v>
      </c>
      <c r="G5" s="19"/>
      <c r="H5" s="18"/>
      <c r="I5" s="18"/>
      <c r="J5" s="18">
        <f>SUM(J6:J15)</f>
        <v>2371.8508070596854</v>
      </c>
      <c r="K5" s="18"/>
      <c r="L5" s="18"/>
      <c r="M5" s="18"/>
      <c r="N5" s="18">
        <f>SUM(N6:N15)</f>
        <v>9854.0659924921238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31.242965897695701</v>
      </c>
      <c r="C7" s="34"/>
      <c r="D7" s="38">
        <f>IF( ISERROR(IND_nonf_gas_kWhh/1000),0,IND_nonf_gas_kWh/1000)*0.902</f>
        <v>0</v>
      </c>
      <c r="E7" s="34">
        <f>C29*'E Balans VL '!I17/100/3.6*1000000</f>
        <v>7.0092590838974581E-2</v>
      </c>
      <c r="F7" s="34">
        <f>C29*'E Balans VL '!L17/100/3.6*1000000+C29*'E Balans VL '!N17/100/3.6*1000000</f>
        <v>7.6174535697313353</v>
      </c>
      <c r="G7" s="35"/>
      <c r="H7" s="34"/>
      <c r="I7" s="34"/>
      <c r="J7" s="41">
        <f>C29*'E Balans VL '!D17/100/3.6*1000000+C29*'E Balans VL '!E17/100/3.6*1000000</f>
        <v>10.981574479489279</v>
      </c>
      <c r="K7" s="34"/>
      <c r="L7" s="34"/>
      <c r="M7" s="34"/>
      <c r="N7" s="34">
        <f>C29*'E Balans VL '!Y17/100/3.6*1000000</f>
        <v>0.12629402837034873</v>
      </c>
      <c r="O7" s="34"/>
      <c r="P7" s="34"/>
      <c r="R7" s="33"/>
    </row>
    <row r="8" spans="1:18">
      <c r="A8" s="6" t="s">
        <v>36</v>
      </c>
      <c r="B8" s="38">
        <f t="shared" si="0"/>
        <v>120985.25822444422</v>
      </c>
      <c r="C8" s="34"/>
      <c r="D8" s="38">
        <f>IF( ISERROR(IND_metaal_Gas_kWH/1000),0,IND_metaal_Gas_kWH/1000)*0.902</f>
        <v>20829.859359042861</v>
      </c>
      <c r="E8" s="34">
        <f>C30*'E Balans VL '!I18/100/3.6*1000000</f>
        <v>1101.790943611777</v>
      </c>
      <c r="F8" s="34">
        <f>C30*'E Balans VL '!L18/100/3.6*1000000+C30*'E Balans VL '!N18/100/3.6*1000000</f>
        <v>15957.036781972731</v>
      </c>
      <c r="G8" s="35"/>
      <c r="H8" s="34"/>
      <c r="I8" s="34"/>
      <c r="J8" s="41">
        <f>C30*'E Balans VL '!D18/100/3.6*1000000+C30*'E Balans VL '!E18/100/3.6*1000000</f>
        <v>1983.9825706114245</v>
      </c>
      <c r="K8" s="34"/>
      <c r="L8" s="34"/>
      <c r="M8" s="34"/>
      <c r="N8" s="34">
        <f>C30*'E Balans VL '!Y18/100/3.6*1000000</f>
        <v>415.77827124687155</v>
      </c>
      <c r="O8" s="34"/>
      <c r="P8" s="34"/>
      <c r="R8" s="33"/>
    </row>
    <row r="9" spans="1:18">
      <c r="A9" s="6" t="s">
        <v>33</v>
      </c>
      <c r="B9" s="38">
        <f t="shared" si="0"/>
        <v>47064.868508479201</v>
      </c>
      <c r="C9" s="34"/>
      <c r="D9" s="38">
        <f>IF( ISERROR(IND_andere_gas_kWh/1000),0,IND_andere_gas_kWh/1000)*0.902</f>
        <v>34335.383241894997</v>
      </c>
      <c r="E9" s="34">
        <f>C31*'E Balans VL '!I19/100/3.6*1000000</f>
        <v>272.04197324186629</v>
      </c>
      <c r="F9" s="34">
        <f>C31*'E Balans VL '!L19/100/3.6*1000000+C31*'E Balans VL '!N19/100/3.6*1000000</f>
        <v>37442.367570351475</v>
      </c>
      <c r="G9" s="35"/>
      <c r="H9" s="34"/>
      <c r="I9" s="34"/>
      <c r="J9" s="41">
        <f>C31*'E Balans VL '!D19/100/3.6*1000000+C31*'E Balans VL '!E19/100/3.6*1000000</f>
        <v>4.4518137791499051</v>
      </c>
      <c r="K9" s="34"/>
      <c r="L9" s="34"/>
      <c r="M9" s="34"/>
      <c r="N9" s="34">
        <f>C31*'E Balans VL '!Y19/100/3.6*1000000</f>
        <v>3565.8760366331417</v>
      </c>
      <c r="O9" s="34"/>
      <c r="P9" s="34"/>
      <c r="R9" s="33"/>
    </row>
    <row r="10" spans="1:18">
      <c r="A10" s="6" t="s">
        <v>41</v>
      </c>
      <c r="B10" s="38">
        <f t="shared" si="0"/>
        <v>117383.179596902</v>
      </c>
      <c r="C10" s="34"/>
      <c r="D10" s="38">
        <f>IF( ISERROR(IND_voed_gas_kWh/1000),0,IND_voed_gas_kWh/1000)*0.902</f>
        <v>22529.945905782963</v>
      </c>
      <c r="E10" s="34">
        <f>C32*'E Balans VL '!I20/100/3.6*1000000</f>
        <v>1154.1837475971738</v>
      </c>
      <c r="F10" s="34">
        <f>C32*'E Balans VL '!L20/100/3.6*1000000+C32*'E Balans VL '!N20/100/3.6*1000000</f>
        <v>13036.934255136799</v>
      </c>
      <c r="G10" s="35"/>
      <c r="H10" s="34"/>
      <c r="I10" s="34"/>
      <c r="J10" s="41">
        <f>C32*'E Balans VL '!D20/100/3.6*1000000+C32*'E Balans VL '!E20/100/3.6*1000000</f>
        <v>0.46266039954842053</v>
      </c>
      <c r="K10" s="34"/>
      <c r="L10" s="34"/>
      <c r="M10" s="34"/>
      <c r="N10" s="34">
        <f>C32*'E Balans VL '!Y20/100/3.6*1000000</f>
        <v>1738.1687754871216</v>
      </c>
      <c r="O10" s="34"/>
      <c r="P10" s="34"/>
      <c r="R10" s="33"/>
    </row>
    <row r="11" spans="1:18">
      <c r="A11" s="6" t="s">
        <v>40</v>
      </c>
      <c r="B11" s="38">
        <f t="shared" si="0"/>
        <v>1972.02361372876</v>
      </c>
      <c r="C11" s="34"/>
      <c r="D11" s="38">
        <f>IF( ISERROR(IND_textiel_gas_kWh/1000),0,IND_textiel_gas_kWh/1000)*0.902</f>
        <v>1399.9660917058466</v>
      </c>
      <c r="E11" s="34">
        <f>C33*'E Balans VL '!I21/100/3.6*1000000</f>
        <v>3.8399878933135465</v>
      </c>
      <c r="F11" s="34">
        <f>C33*'E Balans VL '!L21/100/3.6*1000000+C33*'E Balans VL '!N21/100/3.6*1000000</f>
        <v>65.043809983327378</v>
      </c>
      <c r="G11" s="35"/>
      <c r="H11" s="34"/>
      <c r="I11" s="34"/>
      <c r="J11" s="41">
        <f>C33*'E Balans VL '!D21/100/3.6*1000000+C33*'E Balans VL '!E21/100/3.6*1000000</f>
        <v>0</v>
      </c>
      <c r="K11" s="34"/>
      <c r="L11" s="34"/>
      <c r="M11" s="34"/>
      <c r="N11" s="34">
        <f>C33*'E Balans VL '!Y21/100/3.6*1000000</f>
        <v>20.455071646098787</v>
      </c>
      <c r="O11" s="34"/>
      <c r="P11" s="34"/>
      <c r="R11" s="33"/>
    </row>
    <row r="12" spans="1:18">
      <c r="A12" s="6" t="s">
        <v>37</v>
      </c>
      <c r="B12" s="38">
        <f t="shared" si="0"/>
        <v>10561.155396858043</v>
      </c>
      <c r="C12" s="34"/>
      <c r="D12" s="38">
        <f>IF( ISERROR(IND_min_gas_kWh/1000),0,IND_min_gas_kWh/1000)*0.902</f>
        <v>0</v>
      </c>
      <c r="E12" s="34">
        <f>C34*'E Balans VL '!I22/100/3.6*1000000</f>
        <v>267.74408283439675</v>
      </c>
      <c r="F12" s="34">
        <f>C34*'E Balans VL '!L22/100/3.6*1000000+C34*'E Balans VL '!N22/100/3.6*1000000</f>
        <v>2922.3085101711831</v>
      </c>
      <c r="G12" s="35"/>
      <c r="H12" s="34"/>
      <c r="I12" s="34"/>
      <c r="J12" s="41">
        <f>C34*'E Balans VL '!D22/100/3.6*1000000+C34*'E Balans VL '!E22/100/3.6*1000000</f>
        <v>69.747992514826521</v>
      </c>
      <c r="K12" s="34"/>
      <c r="L12" s="34"/>
      <c r="M12" s="34"/>
      <c r="N12" s="34">
        <f>C34*'E Balans VL '!Y22/100/3.6*1000000</f>
        <v>0</v>
      </c>
      <c r="O12" s="34"/>
      <c r="P12" s="34"/>
      <c r="R12" s="33"/>
    </row>
    <row r="13" spans="1:18">
      <c r="A13" s="6" t="s">
        <v>39</v>
      </c>
      <c r="B13" s="38">
        <f t="shared" si="0"/>
        <v>6164.9094023698799</v>
      </c>
      <c r="C13" s="34"/>
      <c r="D13" s="38">
        <f>IF( ISERROR(IND_papier_gas_kWh/1000),0,IND_papier_gas_kWh/1000)*0.902</f>
        <v>2989.477828225783</v>
      </c>
      <c r="E13" s="34">
        <f>C35*'E Balans VL '!I23/100/3.6*1000000</f>
        <v>209.98575278545255</v>
      </c>
      <c r="F13" s="34">
        <f>C35*'E Balans VL '!L23/100/3.6*1000000+C35*'E Balans VL '!N23/100/3.6*1000000</f>
        <v>1018.2983459623074</v>
      </c>
      <c r="G13" s="35"/>
      <c r="H13" s="34"/>
      <c r="I13" s="34"/>
      <c r="J13" s="41">
        <f>C35*'E Balans VL '!D23/100/3.6*1000000+C35*'E Balans VL '!E23/100/3.6*1000000</f>
        <v>0</v>
      </c>
      <c r="K13" s="34"/>
      <c r="L13" s="34"/>
      <c r="M13" s="34"/>
      <c r="N13" s="34">
        <f>C35*'E Balans VL '!Y23/100/3.6*1000000</f>
        <v>2268.5213300183391</v>
      </c>
      <c r="O13" s="34"/>
      <c r="P13" s="34"/>
      <c r="R13" s="33"/>
    </row>
    <row r="14" spans="1:18">
      <c r="A14" s="6" t="s">
        <v>34</v>
      </c>
      <c r="B14" s="38">
        <f t="shared" si="0"/>
        <v>891.43174432867295</v>
      </c>
      <c r="C14" s="34"/>
      <c r="D14" s="38">
        <f>IF( ISERROR(IND_chemie_gas_kWh/1000),0,IND_chemie_gas_kWh/1000)*0.902</f>
        <v>17.850416161352122</v>
      </c>
      <c r="E14" s="34">
        <f>C36*'E Balans VL '!I24/100/3.6*1000000</f>
        <v>6.7397006417823562</v>
      </c>
      <c r="F14" s="34">
        <f>C36*'E Balans VL '!L24/100/3.6*1000000+C36*'E Balans VL '!N24/100/3.6*1000000</f>
        <v>16.493951912825818</v>
      </c>
      <c r="G14" s="35"/>
      <c r="H14" s="34"/>
      <c r="I14" s="34"/>
      <c r="J14" s="41">
        <f>C36*'E Balans VL '!D24/100/3.6*1000000+C36*'E Balans VL '!E24/100/3.6*1000000</f>
        <v>0</v>
      </c>
      <c r="K14" s="34"/>
      <c r="L14" s="34"/>
      <c r="M14" s="34"/>
      <c r="N14" s="34">
        <f>C36*'E Balans VL '!Y24/100/3.6*1000000</f>
        <v>0.25849221927292237</v>
      </c>
      <c r="O14" s="34"/>
      <c r="P14" s="34"/>
      <c r="R14" s="33"/>
    </row>
    <row r="15" spans="1:18">
      <c r="A15" s="6" t="s">
        <v>270</v>
      </c>
      <c r="B15" s="38">
        <f t="shared" si="0"/>
        <v>60099.0244232552</v>
      </c>
      <c r="C15" s="34"/>
      <c r="D15" s="38">
        <f>IF( ISERROR(IND_rest_gas_kWh/1000),0,IND_rest_gas_kWh/1000)*0.902</f>
        <v>242110.89243631726</v>
      </c>
      <c r="E15" s="34">
        <f>C37*'E Balans VL '!I15/100/3.6*1000000</f>
        <v>540.03125960911541</v>
      </c>
      <c r="F15" s="34">
        <f>C37*'E Balans VL '!L15/100/3.6*1000000+C37*'E Balans VL '!N15/100/3.6*1000000</f>
        <v>11834.728162444855</v>
      </c>
      <c r="G15" s="35"/>
      <c r="H15" s="34"/>
      <c r="I15" s="34"/>
      <c r="J15" s="41">
        <f>C37*'E Balans VL '!D15/100/3.6*1000000+C37*'E Balans VL '!E15/100/3.6*1000000</f>
        <v>302.22419527524647</v>
      </c>
      <c r="K15" s="34"/>
      <c r="L15" s="34"/>
      <c r="M15" s="34"/>
      <c r="N15" s="34">
        <f>C37*'E Balans VL '!Y15/100/3.6*1000000</f>
        <v>1844.8817212129061</v>
      </c>
      <c r="O15" s="34"/>
      <c r="P15" s="34"/>
      <c r="R15" s="33"/>
    </row>
    <row r="16" spans="1:18">
      <c r="A16" s="17" t="s">
        <v>502</v>
      </c>
      <c r="B16" s="250">
        <f>'lokale energieproductie'!N90+'lokale energieproductie'!N59</f>
        <v>3627</v>
      </c>
      <c r="C16" s="250">
        <f>'lokale energieproductie'!O90+'lokale energieproductie'!O59</f>
        <v>5181.4285714285716</v>
      </c>
      <c r="D16" s="312">
        <f>('lokale energieproductie'!P59+'lokale energieproductie'!P90)*(-1)</f>
        <v>-10362.857142857143</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368780.09387626365</v>
      </c>
      <c r="C18" s="22">
        <f>C5+C16</f>
        <v>5181.4285714285716</v>
      </c>
      <c r="D18" s="22">
        <f>MAX((D5+D16),0)</f>
        <v>313850.51813627389</v>
      </c>
      <c r="E18" s="22">
        <f>MAX((E5+E16),0)</f>
        <v>3556.4275408057169</v>
      </c>
      <c r="F18" s="22">
        <f>MAX((F5+F16),0)</f>
        <v>82300.828841505223</v>
      </c>
      <c r="G18" s="22"/>
      <c r="H18" s="22"/>
      <c r="I18" s="22"/>
      <c r="J18" s="22">
        <f>MAX((J5+J16),0)</f>
        <v>2371.8508070596854</v>
      </c>
      <c r="K18" s="22"/>
      <c r="L18" s="22">
        <f>MAX((L5+L16),0)</f>
        <v>0</v>
      </c>
      <c r="M18" s="22"/>
      <c r="N18" s="22">
        <f>MAX((N5+N16),0)</f>
        <v>9854.0659924921238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0.21096550777415771</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77799.879761607503</v>
      </c>
      <c r="C22" s="24">
        <f ca="1">C18*C20</f>
        <v>1231.3512605042022</v>
      </c>
      <c r="D22" s="24">
        <f>D18*D20</f>
        <v>63397.804663527328</v>
      </c>
      <c r="E22" s="24">
        <f>E18*E20</f>
        <v>807.30905176289775</v>
      </c>
      <c r="F22" s="24">
        <f>F18*F20</f>
        <v>21974.321300681895</v>
      </c>
      <c r="G22" s="24"/>
      <c r="H22" s="24"/>
      <c r="I22" s="24"/>
      <c r="J22" s="24">
        <f>J18*J20</f>
        <v>839.63518569912856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31.242965897695701</v>
      </c>
      <c r="C29" s="40">
        <f>IF(ISERROR(B29*3.6/1000000/'E Balans VL '!Z17*100),0,B29*3.6/1000000/'E Balans VL '!Z17*100)</f>
        <v>3.26622487164695E-2</v>
      </c>
      <c r="D29" s="240" t="s">
        <v>707</v>
      </c>
    </row>
    <row r="30" spans="1:18">
      <c r="A30" s="174" t="s">
        <v>36</v>
      </c>
      <c r="B30" s="38">
        <f>IF( ISERROR(IND_metaal_ele_kWh/1000),0,IND_metaal_ele_kWh/1000)</f>
        <v>120985.25822444422</v>
      </c>
      <c r="C30" s="40">
        <f>IF(ISERROR(B30*3.6/1000000/'E Balans VL '!Z18*100),0,B30*3.6/1000000/'E Balans VL '!Z18*100)</f>
        <v>6.7320205987097674</v>
      </c>
      <c r="D30" s="240" t="s">
        <v>707</v>
      </c>
    </row>
    <row r="31" spans="1:18">
      <c r="A31" s="6" t="s">
        <v>33</v>
      </c>
      <c r="B31" s="38">
        <f>IF( ISERROR(IND_ander_ele_kWh/1000),0,IND_ander_ele_kWh/1000)</f>
        <v>47064.868508479201</v>
      </c>
      <c r="C31" s="40">
        <f>IF(ISERROR(B31*3.6/1000000/'E Balans VL '!Z19*100),0,B31*3.6/1000000/'E Balans VL '!Z19*100)</f>
        <v>2.187922130367189</v>
      </c>
      <c r="D31" s="240" t="s">
        <v>707</v>
      </c>
    </row>
    <row r="32" spans="1:18">
      <c r="A32" s="174" t="s">
        <v>41</v>
      </c>
      <c r="B32" s="38">
        <f>IF( ISERROR(IND_voed_ele_kWh/1000),0,IND_voed_ele_kWh/1000)</f>
        <v>117383.179596902</v>
      </c>
      <c r="C32" s="40">
        <f>IF(ISERROR(B32*3.6/1000000/'E Balans VL '!Z20*100),0,B32*3.6/1000000/'E Balans VL '!Z20*100)</f>
        <v>4.1492583333794677</v>
      </c>
      <c r="D32" s="240" t="s">
        <v>707</v>
      </c>
    </row>
    <row r="33" spans="1:5">
      <c r="A33" s="174" t="s">
        <v>40</v>
      </c>
      <c r="B33" s="38">
        <f>IF( ISERROR(IND_textiel_ele_kWh/1000),0,IND_textiel_ele_kWh/1000)</f>
        <v>1972.02361372876</v>
      </c>
      <c r="C33" s="40">
        <f>IF(ISERROR(B33*3.6/1000000/'E Balans VL '!Z21*100),0,B33*3.6/1000000/'E Balans VL '!Z21*100)</f>
        <v>0.26635171239539779</v>
      </c>
      <c r="D33" s="240" t="s">
        <v>707</v>
      </c>
    </row>
    <row r="34" spans="1:5">
      <c r="A34" s="174" t="s">
        <v>37</v>
      </c>
      <c r="B34" s="38">
        <f>IF( ISERROR(IND_min_ele_kWh/1000),0,IND_min_ele_kWh/1000)</f>
        <v>10561.155396858043</v>
      </c>
      <c r="C34" s="40">
        <f>IF(ISERROR(B34*3.6/1000000/'E Balans VL '!Z22*100),0,B34*3.6/1000000/'E Balans VL '!Z22*100)</f>
        <v>2.122494420247671</v>
      </c>
      <c r="D34" s="240" t="s">
        <v>707</v>
      </c>
    </row>
    <row r="35" spans="1:5">
      <c r="A35" s="174" t="s">
        <v>39</v>
      </c>
      <c r="B35" s="38">
        <f>IF( ISERROR(IND_papier_ele_kWh/1000),0,IND_papier_ele_kWh/1000)</f>
        <v>6164.9094023698799</v>
      </c>
      <c r="C35" s="40">
        <f>IF(ISERROR(B35*3.6/1000000/'E Balans VL '!Z22*100),0,B35*3.6/1000000/'E Balans VL '!Z22*100)</f>
        <v>1.2389729453043816</v>
      </c>
      <c r="D35" s="240" t="s">
        <v>707</v>
      </c>
    </row>
    <row r="36" spans="1:5">
      <c r="A36" s="174" t="s">
        <v>34</v>
      </c>
      <c r="B36" s="38">
        <f>IF( ISERROR(IND_chemie_ele_kWh/1000),0,IND_chemie_ele_kWh/1000)</f>
        <v>891.43174432867295</v>
      </c>
      <c r="C36" s="40">
        <f>IF(ISERROR(B36*3.6/1000000/'E Balans VL '!Z24*100),0,B36*3.6/1000000/'E Balans VL '!Z24*100)</f>
        <v>2.1951706240589456E-2</v>
      </c>
      <c r="D36" s="240" t="s">
        <v>707</v>
      </c>
    </row>
    <row r="37" spans="1:5">
      <c r="A37" s="174" t="s">
        <v>270</v>
      </c>
      <c r="B37" s="38">
        <f>IF( ISERROR(IND_rest_ele_kWh/1000),0,IND_rest_ele_kWh/1000)</f>
        <v>60099.0244232552</v>
      </c>
      <c r="C37" s="40">
        <f>IF(ISERROR(B37*3.6/1000000/'E Balans VL '!Z15*100),0,B37*3.6/1000000/'E Balans VL '!Z15*100)</f>
        <v>0.45383641407946695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20757.83582085821</v>
      </c>
      <c r="C5" s="18">
        <f>'Eigen informatie GS &amp; warmtenet'!B60</f>
        <v>0</v>
      </c>
      <c r="D5" s="31">
        <f>IF(ISERROR(SUM(LB_lb_gas_kWh,LB_rest_gas_kWh)/1000),0,SUM(LB_lb_gas_kWh,LB_rest_gas_kWh)/1000)*0.902</f>
        <v>18151.959689174808</v>
      </c>
      <c r="E5" s="18">
        <f>B17*'E Balans VL '!I25/3.6*1000000/100</f>
        <v>195.55272163871649</v>
      </c>
      <c r="F5" s="18">
        <f>B17*('E Balans VL '!L25/3.6*1000000+'E Balans VL '!N25/3.6*1000000)/100</f>
        <v>67739.707204161779</v>
      </c>
      <c r="G5" s="19"/>
      <c r="H5" s="18"/>
      <c r="I5" s="18"/>
      <c r="J5" s="18">
        <f>('E Balans VL '!D25+'E Balans VL '!E25)/3.6*1000000*landbouw!B17/100</f>
        <v>2567.8452571341982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20757.83582085821</v>
      </c>
      <c r="C8" s="22">
        <f>C5+C6</f>
        <v>0</v>
      </c>
      <c r="D8" s="22">
        <f>MAX((D5+D6),0)</f>
        <v>18151.959689174808</v>
      </c>
      <c r="E8" s="22">
        <f>MAX((E5+E6),0)</f>
        <v>195.55272163871649</v>
      </c>
      <c r="F8" s="22">
        <f>MAX((F5+F6),0)</f>
        <v>67739.707204161779</v>
      </c>
      <c r="G8" s="22"/>
      <c r="H8" s="22"/>
      <c r="I8" s="22"/>
      <c r="J8" s="22">
        <f>MAX((J5+J6),0)</f>
        <v>2567.8452571341982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0.21096550777415771</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4379.1873742399521</v>
      </c>
      <c r="C12" s="24">
        <f ca="1">C8*C10</f>
        <v>0</v>
      </c>
      <c r="D12" s="24">
        <f>D8*D10</f>
        <v>3666.6958572133112</v>
      </c>
      <c r="E12" s="24">
        <f>E8*E10</f>
        <v>44.390467811988643</v>
      </c>
      <c r="F12" s="24">
        <f>F8*F10</f>
        <v>18086.501823511197</v>
      </c>
      <c r="G12" s="24"/>
      <c r="H12" s="24"/>
      <c r="I12" s="24"/>
      <c r="J12" s="24">
        <f>J8*J10</f>
        <v>909.01722102550605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2.8102792705312152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73.089421823409424</v>
      </c>
      <c r="C26" s="250">
        <f>B26*'GWP N2O_CH4'!B5</f>
        <v>1534.8778582915979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8.4165124339749635</v>
      </c>
      <c r="C27" s="250">
        <f>B27*'GWP N2O_CH4'!B5</f>
        <v>176.74676111347424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1.0053134819975464</v>
      </c>
      <c r="C28" s="250">
        <f>B28*'GWP N2O_CH4'!B4</f>
        <v>311.64717941923942</v>
      </c>
      <c r="D28" s="51"/>
    </row>
    <row r="29" spans="1:4">
      <c r="A29" s="42" t="s">
        <v>277</v>
      </c>
      <c r="B29" s="250">
        <f>B34*'ha_N2O bodem landbouw'!B4</f>
        <v>8.8742220503120119</v>
      </c>
      <c r="C29" s="250">
        <f>B29*'GWP N2O_CH4'!B4</f>
        <v>2751.0088355967237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2.3957605907061167E-3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2.0491751509758505E-4</v>
      </c>
      <c r="C5" s="447" t="s">
        <v>211</v>
      </c>
      <c r="D5" s="432">
        <f>SUM(D6:D11)</f>
        <v>5.6242459171782053E-4</v>
      </c>
      <c r="E5" s="432">
        <f>SUM(E6:E11)</f>
        <v>3.7225233422542553E-2</v>
      </c>
      <c r="F5" s="445" t="s">
        <v>211</v>
      </c>
      <c r="G5" s="432">
        <f>SUM(G6:G11)</f>
        <v>8.235581412222917</v>
      </c>
      <c r="H5" s="432">
        <f>SUM(H6:H11)</f>
        <v>1.2911590689177235</v>
      </c>
      <c r="I5" s="447" t="s">
        <v>211</v>
      </c>
      <c r="J5" s="447" t="s">
        <v>211</v>
      </c>
      <c r="K5" s="447" t="s">
        <v>211</v>
      </c>
      <c r="L5" s="447" t="s">
        <v>211</v>
      </c>
      <c r="M5" s="432">
        <f>SUM(M6:M11)</f>
        <v>0.42579577458219353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5.9622421591407637E-5</v>
      </c>
      <c r="C6" s="433"/>
      <c r="D6" s="433">
        <f>vkm_2011_GW_PW*SUMIFS(TableVerdeelsleutelVkm[CNG],TableVerdeelsleutelVkm[Voertuigtype],"Lichte voertuigen")*SUMIFS(TableECFTransport[EnergieConsumptieFactor (PJ per km)],TableECFTransport[Index],CONCATENATE($A6,"_CNG_CNG"))</f>
        <v>1.4559895202925853E-4</v>
      </c>
      <c r="E6" s="435">
        <f>vkm_2011_GW_PW*SUMIFS(TableVerdeelsleutelVkm[LPG],TableVerdeelsleutelVkm[Voertuigtype],"Lichte voertuigen")*SUMIFS(TableECFTransport[EnergieConsumptieFactor (PJ per km)],TableECFTransport[Index],CONCATENATE($A6,"_LPG_LPG"))</f>
        <v>8.6303534411453931E-3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1.2476191128764875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0.32696512605177663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7.0512781993938511E-2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0.38895665037758109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1.5692884428216499E-4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1.7327898431976248E-2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2.6761694764072713E-5</v>
      </c>
      <c r="C8" s="433"/>
      <c r="D8" s="435">
        <f>vkm_2011_NGW_PW*SUMIFS(TableVerdeelsleutelVkm[CNG],TableVerdeelsleutelVkm[Voertuigtype],"Lichte voertuigen")*SUMIFS(TableECFTransport[EnergieConsumptieFactor (PJ per km)],TableECFTransport[Index],CONCATENATE($A8,"_CNG_CNG"))</f>
        <v>1.1725350065234468E-4</v>
      </c>
      <c r="E8" s="435">
        <f>vkm_2011_NGW_PW*SUMIFS(TableVerdeelsleutelVkm[LPG],TableVerdeelsleutelVkm[Voertuigtype],"Lichte voertuigen")*SUMIFS(TableECFTransport[EnergieConsumptieFactor (PJ per km)],TableECFTransport[Index],CONCATENATE($A8,"_LPG_LPG"))</f>
        <v>6.3760946226370813E-3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0.87075342463330241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0.25214586573716075</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5.0308396821567167E-2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0.11637993205371285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4.0883307439939929E-5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5.1844122684233385E-3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1.1853339874210469E-4</v>
      </c>
      <c r="C10" s="433"/>
      <c r="D10" s="435">
        <f>vkm_2011_SW_PW*SUMIFS(TableVerdeelsleutelVkm[CNG],TableVerdeelsleutelVkm[Voertuigtype],"Lichte voertuigen")*SUMIFS(TableECFTransport[EnergieConsumptieFactor (PJ per km)],TableECFTransport[Index],CONCATENATE($A10,"_CNG_CNG"))</f>
        <v>2.9957213903621728E-4</v>
      </c>
      <c r="E10" s="435">
        <f>vkm_2011_SW_PW*SUMIFS(TableVerdeelsleutelVkm[LPG],TableVerdeelsleutelVkm[Voertuigtype],"Lichte voertuigen")*SUMIFS(TableECFTransport[EnergieConsumptieFactor (PJ per km)],TableECFTransport[Index],CONCATENATE($A10,"_LPG_LPG"))</f>
        <v>2.2218785358760079E-2</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2.9272007006080911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0.71070108755806882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0.162857976792986</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2.6846715916737427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1.1491774189953576E-3</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0.11960430827330228</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56.921531971551403</v>
      </c>
      <c r="C14" s="22"/>
      <c r="D14" s="22">
        <f t="shared" ref="D14:M14" si="0">((D5)*10^9/3600)+D12</f>
        <v>156.22905325495014</v>
      </c>
      <c r="E14" s="22">
        <f t="shared" si="0"/>
        <v>10340.342617372931</v>
      </c>
      <c r="F14" s="22"/>
      <c r="G14" s="22">
        <f t="shared" si="0"/>
        <v>2287661.5033952547</v>
      </c>
      <c r="H14" s="22">
        <f t="shared" si="0"/>
        <v>358655.29692158982</v>
      </c>
      <c r="I14" s="22"/>
      <c r="J14" s="22"/>
      <c r="K14" s="22"/>
      <c r="L14" s="22"/>
      <c r="M14" s="22">
        <f t="shared" si="0"/>
        <v>118276.60405060933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0.21096550777415771</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12.008479895661294</v>
      </c>
      <c r="C18" s="24"/>
      <c r="D18" s="24">
        <f t="shared" ref="D18:M18" si="1">D14*D16</f>
        <v>31.558268757499931</v>
      </c>
      <c r="E18" s="24">
        <f t="shared" si="1"/>
        <v>2347.2577741436553</v>
      </c>
      <c r="F18" s="24"/>
      <c r="G18" s="24">
        <f t="shared" si="1"/>
        <v>610805.62140653306</v>
      </c>
      <c r="H18" s="24">
        <f t="shared" si="1"/>
        <v>89305.16893347587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0.1131907365361929</v>
      </c>
      <c r="C50" s="323">
        <f t="shared" ref="C50:P50" si="2">SUM(C51:C52)</f>
        <v>0</v>
      </c>
      <c r="D50" s="323">
        <f t="shared" si="2"/>
        <v>0</v>
      </c>
      <c r="E50" s="323">
        <f t="shared" si="2"/>
        <v>0</v>
      </c>
      <c r="F50" s="323">
        <f t="shared" si="2"/>
        <v>0</v>
      </c>
      <c r="G50" s="323">
        <f t="shared" si="2"/>
        <v>0.18703512159512806</v>
      </c>
      <c r="H50" s="323">
        <f t="shared" si="2"/>
        <v>0</v>
      </c>
      <c r="I50" s="323">
        <f t="shared" si="2"/>
        <v>0</v>
      </c>
      <c r="J50" s="323">
        <f t="shared" si="2"/>
        <v>0</v>
      </c>
      <c r="K50" s="323">
        <f t="shared" si="2"/>
        <v>0</v>
      </c>
      <c r="L50" s="323">
        <f t="shared" si="2"/>
        <v>0</v>
      </c>
      <c r="M50" s="323">
        <f t="shared" si="2"/>
        <v>8.2130207229742652E-3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0.18703512159512806</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8.2130207229742652E-3</v>
      </c>
      <c r="N51" s="325"/>
      <c r="O51" s="325"/>
      <c r="P51" s="328"/>
    </row>
    <row r="52" spans="1:18">
      <c r="A52" s="4" t="s">
        <v>330</v>
      </c>
      <c r="B52" s="329">
        <f>vkm_2011_tram*SUMIFS(TableECFTransport[EnergieConsumptieFactor (PJ per km)],TableECFTransport[Index],"Tram_gemiddeld_Electric_Electric")</f>
        <v>0.1131907365361929</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31441.87126005358</v>
      </c>
      <c r="C54" s="22">
        <f t="shared" ref="C54:P54" si="3">(C50)*10^9/3600</f>
        <v>0</v>
      </c>
      <c r="D54" s="22">
        <f t="shared" si="3"/>
        <v>0</v>
      </c>
      <c r="E54" s="22">
        <f t="shared" si="3"/>
        <v>0</v>
      </c>
      <c r="F54" s="22">
        <f t="shared" si="3"/>
        <v>0</v>
      </c>
      <c r="G54" s="22">
        <f t="shared" si="3"/>
        <v>51954.200443091126</v>
      </c>
      <c r="H54" s="22">
        <f t="shared" si="3"/>
        <v>0</v>
      </c>
      <c r="I54" s="22">
        <f t="shared" si="3"/>
        <v>0</v>
      </c>
      <c r="J54" s="22">
        <f t="shared" si="3"/>
        <v>0</v>
      </c>
      <c r="K54" s="22">
        <f t="shared" si="3"/>
        <v>0</v>
      </c>
      <c r="L54" s="22">
        <f t="shared" si="3"/>
        <v>0</v>
      </c>
      <c r="M54" s="22">
        <f t="shared" si="3"/>
        <v>2281.3946452706291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0.21096550777415771</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6633.1503357468991</v>
      </c>
      <c r="C58" s="24">
        <f t="shared" ref="C58:P58" ca="1" si="4">C54*C56</f>
        <v>0</v>
      </c>
      <c r="D58" s="24">
        <f t="shared" si="4"/>
        <v>0</v>
      </c>
      <c r="E58" s="24">
        <f t="shared" si="4"/>
        <v>0</v>
      </c>
      <c r="F58" s="24">
        <f t="shared" si="4"/>
        <v>0</v>
      </c>
      <c r="G58" s="24">
        <f t="shared" si="4"/>
        <v>13871.771518305331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1278731.4890120078</v>
      </c>
      <c r="D10" s="688">
        <f ca="1">tertiair!C16</f>
        <v>12662.214285714284</v>
      </c>
      <c r="E10" s="688">
        <f ca="1">tertiair!D16</f>
        <v>1564205.0866444518</v>
      </c>
      <c r="F10" s="688">
        <f>tertiair!E16</f>
        <v>9166.9118492861817</v>
      </c>
      <c r="G10" s="688">
        <f ca="1">tertiair!F16</f>
        <v>217924.96778611394</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17.196666666666669</v>
      </c>
      <c r="Q10" s="689">
        <f>tertiair!P16</f>
        <v>724.5333333333333</v>
      </c>
      <c r="R10" s="691">
        <f ca="1">SUM(C10:Q10)</f>
        <v>3083432.3995775743</v>
      </c>
      <c r="S10" s="68"/>
    </row>
    <row r="11" spans="1:19" s="457" customFormat="1">
      <c r="A11" s="803" t="s">
        <v>225</v>
      </c>
      <c r="B11" s="808"/>
      <c r="C11" s="688">
        <f>huishoudens!B8</f>
        <v>696010.38683732436</v>
      </c>
      <c r="D11" s="688">
        <f>huishoudens!C8</f>
        <v>0</v>
      </c>
      <c r="E11" s="688">
        <f>huishoudens!D8</f>
        <v>2323611.7882931801</v>
      </c>
      <c r="F11" s="688">
        <f>huishoudens!E8</f>
        <v>40253.980390954894</v>
      </c>
      <c r="G11" s="688">
        <f>huishoudens!F8</f>
        <v>97384.745154495613</v>
      </c>
      <c r="H11" s="688">
        <f>huishoudens!G8</f>
        <v>0</v>
      </c>
      <c r="I11" s="688">
        <f>huishoudens!H8</f>
        <v>0</v>
      </c>
      <c r="J11" s="688">
        <f>huishoudens!I8</f>
        <v>0</v>
      </c>
      <c r="K11" s="688">
        <f>huishoudens!J8</f>
        <v>0</v>
      </c>
      <c r="L11" s="688">
        <f>huishoudens!K8</f>
        <v>0</v>
      </c>
      <c r="M11" s="688">
        <f>huishoudens!L8</f>
        <v>0</v>
      </c>
      <c r="N11" s="688">
        <f>huishoudens!M8</f>
        <v>0</v>
      </c>
      <c r="O11" s="688">
        <f>huishoudens!N8</f>
        <v>125279.57156695028</v>
      </c>
      <c r="P11" s="688">
        <f>huishoudens!O8</f>
        <v>522.15333333333331</v>
      </c>
      <c r="Q11" s="689">
        <f>huishoudens!P8</f>
        <v>400.4</v>
      </c>
      <c r="R11" s="691">
        <f>SUM(C11:Q11)</f>
        <v>3283463.0255762381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368780.09387626365</v>
      </c>
      <c r="D13" s="688">
        <f>industrie!C18</f>
        <v>5181.4285714285716</v>
      </c>
      <c r="E13" s="688">
        <f>industrie!D18</f>
        <v>313850.51813627389</v>
      </c>
      <c r="F13" s="688">
        <f>industrie!E18</f>
        <v>3556.4275408057169</v>
      </c>
      <c r="G13" s="688">
        <f>industrie!F18</f>
        <v>82300.828841505223</v>
      </c>
      <c r="H13" s="688">
        <f>industrie!G18</f>
        <v>0</v>
      </c>
      <c r="I13" s="688">
        <f>industrie!H18</f>
        <v>0</v>
      </c>
      <c r="J13" s="688">
        <f>industrie!I18</f>
        <v>0</v>
      </c>
      <c r="K13" s="688">
        <f>industrie!J18</f>
        <v>2371.8508070596854</v>
      </c>
      <c r="L13" s="688">
        <f>industrie!K18</f>
        <v>0</v>
      </c>
      <c r="M13" s="688">
        <f>industrie!L18</f>
        <v>0</v>
      </c>
      <c r="N13" s="688">
        <f>industrie!M18</f>
        <v>0</v>
      </c>
      <c r="O13" s="688">
        <f>industrie!N18</f>
        <v>9854.0659924921238</v>
      </c>
      <c r="P13" s="688">
        <f>industrie!O18</f>
        <v>0</v>
      </c>
      <c r="Q13" s="689">
        <f>industrie!P18</f>
        <v>0</v>
      </c>
      <c r="R13" s="691">
        <f>SUM(C13:Q13)</f>
        <v>785895.21376582887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2343521.9697255958</v>
      </c>
      <c r="D16" s="721">
        <f t="shared" ref="D16:R16" ca="1" si="0">SUM(D9:D15)</f>
        <v>17843.642857142855</v>
      </c>
      <c r="E16" s="721">
        <f t="shared" ca="1" si="0"/>
        <v>4201667.3930739062</v>
      </c>
      <c r="F16" s="721">
        <f t="shared" si="0"/>
        <v>52977.31978104679</v>
      </c>
      <c r="G16" s="721">
        <f t="shared" ca="1" si="0"/>
        <v>397610.54178211477</v>
      </c>
      <c r="H16" s="721">
        <f t="shared" si="0"/>
        <v>0</v>
      </c>
      <c r="I16" s="721">
        <f t="shared" si="0"/>
        <v>0</v>
      </c>
      <c r="J16" s="721">
        <f t="shared" si="0"/>
        <v>0</v>
      </c>
      <c r="K16" s="721">
        <f t="shared" si="0"/>
        <v>2371.8508070596854</v>
      </c>
      <c r="L16" s="721">
        <f t="shared" si="0"/>
        <v>0</v>
      </c>
      <c r="M16" s="721">
        <f t="shared" ca="1" si="0"/>
        <v>0</v>
      </c>
      <c r="N16" s="721">
        <f t="shared" si="0"/>
        <v>0</v>
      </c>
      <c r="O16" s="721">
        <f t="shared" ca="1" si="0"/>
        <v>135133.6375594424</v>
      </c>
      <c r="P16" s="721">
        <f t="shared" si="0"/>
        <v>539.35</v>
      </c>
      <c r="Q16" s="721">
        <f t="shared" si="0"/>
        <v>1124.9333333333334</v>
      </c>
      <c r="R16" s="721">
        <f t="shared" ca="1" si="0"/>
        <v>7152790.6389196413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31441.87126005358</v>
      </c>
      <c r="D19" s="688">
        <f>transport!C54</f>
        <v>0</v>
      </c>
      <c r="E19" s="688">
        <f>transport!D54</f>
        <v>0</v>
      </c>
      <c r="F19" s="688">
        <f>transport!E54</f>
        <v>0</v>
      </c>
      <c r="G19" s="688">
        <f>transport!F54</f>
        <v>0</v>
      </c>
      <c r="H19" s="688">
        <f>transport!G54</f>
        <v>51954.200443091126</v>
      </c>
      <c r="I19" s="688">
        <f>transport!H54</f>
        <v>0</v>
      </c>
      <c r="J19" s="688">
        <f>transport!I54</f>
        <v>0</v>
      </c>
      <c r="K19" s="688">
        <f>transport!J54</f>
        <v>0</v>
      </c>
      <c r="L19" s="688">
        <f>transport!K54</f>
        <v>0</v>
      </c>
      <c r="M19" s="688">
        <f>transport!L54</f>
        <v>0</v>
      </c>
      <c r="N19" s="688">
        <f>transport!M54</f>
        <v>2281.3946452706291</v>
      </c>
      <c r="O19" s="688">
        <f>transport!N54</f>
        <v>0</v>
      </c>
      <c r="P19" s="688">
        <f>transport!O54</f>
        <v>0</v>
      </c>
      <c r="Q19" s="689">
        <f>transport!P54</f>
        <v>0</v>
      </c>
      <c r="R19" s="691">
        <f>SUM(C19:Q19)</f>
        <v>85677.466348415328</v>
      </c>
      <c r="S19" s="68"/>
    </row>
    <row r="20" spans="1:19" s="457" customFormat="1">
      <c r="A20" s="803" t="s">
        <v>307</v>
      </c>
      <c r="B20" s="808"/>
      <c r="C20" s="688">
        <f>transport!B14</f>
        <v>56.921531971551403</v>
      </c>
      <c r="D20" s="688">
        <f>transport!C14</f>
        <v>0</v>
      </c>
      <c r="E20" s="688">
        <f>transport!D14</f>
        <v>156.22905325495014</v>
      </c>
      <c r="F20" s="688">
        <f>transport!E14</f>
        <v>10340.342617372931</v>
      </c>
      <c r="G20" s="688">
        <f>transport!F14</f>
        <v>0</v>
      </c>
      <c r="H20" s="688">
        <f>transport!G14</f>
        <v>2287661.5033952547</v>
      </c>
      <c r="I20" s="688">
        <f>transport!H14</f>
        <v>358655.29692158982</v>
      </c>
      <c r="J20" s="688">
        <f>transport!I14</f>
        <v>0</v>
      </c>
      <c r="K20" s="688">
        <f>transport!J14</f>
        <v>0</v>
      </c>
      <c r="L20" s="688">
        <f>transport!K14</f>
        <v>0</v>
      </c>
      <c r="M20" s="688">
        <f>transport!L14</f>
        <v>0</v>
      </c>
      <c r="N20" s="688">
        <f>transport!M14</f>
        <v>118276.60405060933</v>
      </c>
      <c r="O20" s="688">
        <f>transport!N14</f>
        <v>0</v>
      </c>
      <c r="P20" s="688">
        <f>transport!O14</f>
        <v>0</v>
      </c>
      <c r="Q20" s="689">
        <f>transport!P14</f>
        <v>0</v>
      </c>
      <c r="R20" s="691">
        <f>SUM(C20:Q20)</f>
        <v>2775146.8975700531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31498.792792025131</v>
      </c>
      <c r="D22" s="806">
        <f t="shared" ref="D22:R22" si="1">SUM(D18:D21)</f>
        <v>0</v>
      </c>
      <c r="E22" s="806">
        <f t="shared" si="1"/>
        <v>156.22905325495014</v>
      </c>
      <c r="F22" s="806">
        <f t="shared" si="1"/>
        <v>10340.342617372931</v>
      </c>
      <c r="G22" s="806">
        <f t="shared" si="1"/>
        <v>0</v>
      </c>
      <c r="H22" s="806">
        <f t="shared" si="1"/>
        <v>2339615.7038383461</v>
      </c>
      <c r="I22" s="806">
        <f t="shared" si="1"/>
        <v>358655.29692158982</v>
      </c>
      <c r="J22" s="806">
        <f t="shared" si="1"/>
        <v>0</v>
      </c>
      <c r="K22" s="806">
        <f t="shared" si="1"/>
        <v>0</v>
      </c>
      <c r="L22" s="806">
        <f t="shared" si="1"/>
        <v>0</v>
      </c>
      <c r="M22" s="806">
        <f t="shared" si="1"/>
        <v>0</v>
      </c>
      <c r="N22" s="806">
        <f t="shared" si="1"/>
        <v>120557.99869587996</v>
      </c>
      <c r="O22" s="806">
        <f t="shared" si="1"/>
        <v>0</v>
      </c>
      <c r="P22" s="806">
        <f t="shared" si="1"/>
        <v>0</v>
      </c>
      <c r="Q22" s="806">
        <f t="shared" si="1"/>
        <v>0</v>
      </c>
      <c r="R22" s="806">
        <f t="shared" si="1"/>
        <v>2860824.3639184684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20757.83582085821</v>
      </c>
      <c r="D24" s="688">
        <f>+landbouw!C8</f>
        <v>0</v>
      </c>
      <c r="E24" s="688">
        <f>+landbouw!D8</f>
        <v>18151.959689174808</v>
      </c>
      <c r="F24" s="688">
        <f>+landbouw!E8</f>
        <v>195.55272163871649</v>
      </c>
      <c r="G24" s="688">
        <f>+landbouw!F8</f>
        <v>67739.707204161779</v>
      </c>
      <c r="H24" s="688">
        <f>+landbouw!G8</f>
        <v>0</v>
      </c>
      <c r="I24" s="688">
        <f>+landbouw!H8</f>
        <v>0</v>
      </c>
      <c r="J24" s="688">
        <f>+landbouw!I8</f>
        <v>0</v>
      </c>
      <c r="K24" s="688">
        <f>+landbouw!J8</f>
        <v>2567.8452571341982</v>
      </c>
      <c r="L24" s="688">
        <f>+landbouw!K8</f>
        <v>0</v>
      </c>
      <c r="M24" s="688">
        <f>+landbouw!L8</f>
        <v>0</v>
      </c>
      <c r="N24" s="688">
        <f>+landbouw!M8</f>
        <v>0</v>
      </c>
      <c r="O24" s="688">
        <f>+landbouw!N8</f>
        <v>0</v>
      </c>
      <c r="P24" s="688">
        <f>+landbouw!O8</f>
        <v>0</v>
      </c>
      <c r="Q24" s="689">
        <f>+landbouw!P8</f>
        <v>0</v>
      </c>
      <c r="R24" s="691">
        <f>SUM(C24:Q24)</f>
        <v>109412.90069296771</v>
      </c>
      <c r="S24" s="68"/>
    </row>
    <row r="25" spans="1:19" s="457" customFormat="1" ht="15" thickBot="1">
      <c r="A25" s="825" t="s">
        <v>912</v>
      </c>
      <c r="B25" s="1001"/>
      <c r="C25" s="1002">
        <f>IF(Onbekend_ele_kWh="---",0,Onbekend_ele_kWh)/1000+IF(REST_rest_ele_kWh="---",0,REST_rest_ele_kWh)/1000</f>
        <v>43511.950099882997</v>
      </c>
      <c r="D25" s="1002"/>
      <c r="E25" s="1002">
        <f>IF(onbekend_gas_kWh="---",0,onbekend_gas_kWh)/1000+IF(REST_rest_gas_kWh="---",0,REST_rest_gas_kWh)/1000</f>
        <v>212668.840317225</v>
      </c>
      <c r="F25" s="1002"/>
      <c r="G25" s="1002"/>
      <c r="H25" s="1002"/>
      <c r="I25" s="1002"/>
      <c r="J25" s="1002"/>
      <c r="K25" s="1002"/>
      <c r="L25" s="1002"/>
      <c r="M25" s="1002"/>
      <c r="N25" s="1002"/>
      <c r="O25" s="1002"/>
      <c r="P25" s="1002"/>
      <c r="Q25" s="1003"/>
      <c r="R25" s="691">
        <f>SUM(C25:Q25)</f>
        <v>256180.79041710799</v>
      </c>
      <c r="S25" s="68"/>
    </row>
    <row r="26" spans="1:19" s="457" customFormat="1" ht="15.75" thickBot="1">
      <c r="A26" s="694" t="s">
        <v>913</v>
      </c>
      <c r="B26" s="811"/>
      <c r="C26" s="806">
        <f>SUM(C24:C25)</f>
        <v>64269.785920741211</v>
      </c>
      <c r="D26" s="806">
        <f t="shared" ref="D26:R26" si="2">SUM(D24:D25)</f>
        <v>0</v>
      </c>
      <c r="E26" s="806">
        <f t="shared" si="2"/>
        <v>230820.8000063998</v>
      </c>
      <c r="F26" s="806">
        <f t="shared" si="2"/>
        <v>195.55272163871649</v>
      </c>
      <c r="G26" s="806">
        <f t="shared" si="2"/>
        <v>67739.707204161779</v>
      </c>
      <c r="H26" s="806">
        <f t="shared" si="2"/>
        <v>0</v>
      </c>
      <c r="I26" s="806">
        <f t="shared" si="2"/>
        <v>0</v>
      </c>
      <c r="J26" s="806">
        <f t="shared" si="2"/>
        <v>0</v>
      </c>
      <c r="K26" s="806">
        <f t="shared" si="2"/>
        <v>2567.8452571341982</v>
      </c>
      <c r="L26" s="806">
        <f t="shared" si="2"/>
        <v>0</v>
      </c>
      <c r="M26" s="806">
        <f t="shared" si="2"/>
        <v>0</v>
      </c>
      <c r="N26" s="806">
        <f t="shared" si="2"/>
        <v>0</v>
      </c>
      <c r="O26" s="806">
        <f t="shared" si="2"/>
        <v>0</v>
      </c>
      <c r="P26" s="806">
        <f t="shared" si="2"/>
        <v>0</v>
      </c>
      <c r="Q26" s="806">
        <f t="shared" si="2"/>
        <v>0</v>
      </c>
      <c r="R26" s="806">
        <f t="shared" si="2"/>
        <v>365593.69111007568</v>
      </c>
      <c r="S26" s="68"/>
    </row>
    <row r="27" spans="1:19" s="457" customFormat="1" ht="17.25" thickTop="1" thickBot="1">
      <c r="A27" s="695" t="s">
        <v>116</v>
      </c>
      <c r="B27" s="798"/>
      <c r="C27" s="696">
        <f ca="1">C22+C16+C26</f>
        <v>2439290.5484383618</v>
      </c>
      <c r="D27" s="696">
        <f t="shared" ref="D27:R27" ca="1" si="3">D22+D16+D26</f>
        <v>17843.642857142855</v>
      </c>
      <c r="E27" s="696">
        <f t="shared" ca="1" si="3"/>
        <v>4432644.4221335612</v>
      </c>
      <c r="F27" s="696">
        <f t="shared" si="3"/>
        <v>63513.215120058441</v>
      </c>
      <c r="G27" s="696">
        <f t="shared" ca="1" si="3"/>
        <v>465350.24898627657</v>
      </c>
      <c r="H27" s="696">
        <f t="shared" si="3"/>
        <v>2339615.7038383461</v>
      </c>
      <c r="I27" s="696">
        <f t="shared" si="3"/>
        <v>358655.29692158982</v>
      </c>
      <c r="J27" s="696">
        <f t="shared" si="3"/>
        <v>0</v>
      </c>
      <c r="K27" s="696">
        <f t="shared" si="3"/>
        <v>4939.696064193884</v>
      </c>
      <c r="L27" s="696">
        <f t="shared" si="3"/>
        <v>0</v>
      </c>
      <c r="M27" s="696">
        <f t="shared" ca="1" si="3"/>
        <v>0</v>
      </c>
      <c r="N27" s="696">
        <f t="shared" si="3"/>
        <v>120557.99869587996</v>
      </c>
      <c r="O27" s="696">
        <f t="shared" ca="1" si="3"/>
        <v>135133.6375594424</v>
      </c>
      <c r="P27" s="696">
        <f t="shared" si="3"/>
        <v>539.35</v>
      </c>
      <c r="Q27" s="696">
        <f t="shared" si="3"/>
        <v>1124.9333333333334</v>
      </c>
      <c r="R27" s="696">
        <f t="shared" ca="1" si="3"/>
        <v>10379208.693948185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269768.23788622301</v>
      </c>
      <c r="D40" s="688">
        <f ca="1">tertiair!C20</f>
        <v>3009.1379831932782</v>
      </c>
      <c r="E40" s="688">
        <f ca="1">tertiair!D20</f>
        <v>315969.42750217929</v>
      </c>
      <c r="F40" s="688">
        <f>tertiair!E20</f>
        <v>2080.8889897879635</v>
      </c>
      <c r="G40" s="688">
        <f ca="1">tertiair!F20</f>
        <v>58185.966398892422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649013.65876027604</v>
      </c>
    </row>
    <row r="41" spans="1:18">
      <c r="A41" s="816" t="s">
        <v>225</v>
      </c>
      <c r="B41" s="823"/>
      <c r="C41" s="688">
        <f ca="1">huishoudens!B12</f>
        <v>146834.18467522407</v>
      </c>
      <c r="D41" s="688">
        <f ca="1">huishoudens!C12</f>
        <v>0</v>
      </c>
      <c r="E41" s="688">
        <f>huishoudens!D12</f>
        <v>469369.5812352224</v>
      </c>
      <c r="F41" s="688">
        <f>huishoudens!E12</f>
        <v>9137.6535487467609</v>
      </c>
      <c r="G41" s="688">
        <f>huishoudens!F12</f>
        <v>26001.726956250332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651343.14641544351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77799.879761607503</v>
      </c>
      <c r="D43" s="688">
        <f ca="1">industrie!C22</f>
        <v>1231.3512605042022</v>
      </c>
      <c r="E43" s="688">
        <f>industrie!D22</f>
        <v>63397.804663527328</v>
      </c>
      <c r="F43" s="688">
        <f>industrie!E22</f>
        <v>807.30905176289775</v>
      </c>
      <c r="G43" s="688">
        <f>industrie!F22</f>
        <v>21974.321300681895</v>
      </c>
      <c r="H43" s="688">
        <f>industrie!G22</f>
        <v>0</v>
      </c>
      <c r="I43" s="688">
        <f>industrie!H22</f>
        <v>0</v>
      </c>
      <c r="J43" s="688">
        <f>industrie!I22</f>
        <v>0</v>
      </c>
      <c r="K43" s="688">
        <f>industrie!J22</f>
        <v>839.63518569912856</v>
      </c>
      <c r="L43" s="688">
        <f>industrie!K22</f>
        <v>0</v>
      </c>
      <c r="M43" s="688">
        <f>industrie!L22</f>
        <v>0</v>
      </c>
      <c r="N43" s="688">
        <f>industrie!M22</f>
        <v>0</v>
      </c>
      <c r="O43" s="688">
        <f>industrie!N22</f>
        <v>0</v>
      </c>
      <c r="P43" s="688">
        <f>industrie!O22</f>
        <v>0</v>
      </c>
      <c r="Q43" s="763">
        <f>industrie!P22</f>
        <v>0</v>
      </c>
      <c r="R43" s="843">
        <f t="shared" ca="1" si="4"/>
        <v>166050.30122378294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494402.30232305458</v>
      </c>
      <c r="D46" s="721">
        <f t="shared" ref="D46:Q46" ca="1" si="5">SUM(D39:D45)</f>
        <v>4240.4892436974806</v>
      </c>
      <c r="E46" s="721">
        <f t="shared" ca="1" si="5"/>
        <v>848736.81340092898</v>
      </c>
      <c r="F46" s="721">
        <f t="shared" si="5"/>
        <v>12025.851590297621</v>
      </c>
      <c r="G46" s="721">
        <f t="shared" ca="1" si="5"/>
        <v>106162.01465582465</v>
      </c>
      <c r="H46" s="721">
        <f t="shared" si="5"/>
        <v>0</v>
      </c>
      <c r="I46" s="721">
        <f t="shared" si="5"/>
        <v>0</v>
      </c>
      <c r="J46" s="721">
        <f t="shared" si="5"/>
        <v>0</v>
      </c>
      <c r="K46" s="721">
        <f t="shared" si="5"/>
        <v>839.63518569912856</v>
      </c>
      <c r="L46" s="721">
        <f t="shared" si="5"/>
        <v>0</v>
      </c>
      <c r="M46" s="721">
        <f t="shared" ca="1" si="5"/>
        <v>0</v>
      </c>
      <c r="N46" s="721">
        <f t="shared" si="5"/>
        <v>0</v>
      </c>
      <c r="O46" s="721">
        <f t="shared" ca="1" si="5"/>
        <v>0</v>
      </c>
      <c r="P46" s="721">
        <f t="shared" si="5"/>
        <v>0</v>
      </c>
      <c r="Q46" s="721">
        <f t="shared" si="5"/>
        <v>0</v>
      </c>
      <c r="R46" s="721">
        <f ca="1">SUM(R39:R45)</f>
        <v>1466407.1063995026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6633.1503357468991</v>
      </c>
      <c r="D49" s="688">
        <f ca="1">transport!C58</f>
        <v>0</v>
      </c>
      <c r="E49" s="688">
        <f>transport!D58</f>
        <v>0</v>
      </c>
      <c r="F49" s="688">
        <f>transport!E58</f>
        <v>0</v>
      </c>
      <c r="G49" s="688">
        <f>transport!F58</f>
        <v>0</v>
      </c>
      <c r="H49" s="688">
        <f>transport!G58</f>
        <v>13871.771518305331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20504.921854052231</v>
      </c>
    </row>
    <row r="50" spans="1:18">
      <c r="A50" s="819" t="s">
        <v>307</v>
      </c>
      <c r="B50" s="829"/>
      <c r="C50" s="1008">
        <f ca="1">transport!B18</f>
        <v>12.008479895661294</v>
      </c>
      <c r="D50" s="1008">
        <f>transport!C18</f>
        <v>0</v>
      </c>
      <c r="E50" s="1008">
        <f>transport!D18</f>
        <v>31.558268757499931</v>
      </c>
      <c r="F50" s="1008">
        <f>transport!E18</f>
        <v>2347.2577741436553</v>
      </c>
      <c r="G50" s="1008">
        <f>transport!F18</f>
        <v>0</v>
      </c>
      <c r="H50" s="1008">
        <f>transport!G18</f>
        <v>610805.62140653306</v>
      </c>
      <c r="I50" s="1008">
        <f>transport!H18</f>
        <v>89305.16893347587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702501.6148628057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6645.1588156425605</v>
      </c>
      <c r="D52" s="721">
        <f t="shared" ref="D52:Q52" ca="1" si="6">SUM(D48:D51)</f>
        <v>0</v>
      </c>
      <c r="E52" s="721">
        <f t="shared" si="6"/>
        <v>31.558268757499931</v>
      </c>
      <c r="F52" s="721">
        <f t="shared" si="6"/>
        <v>2347.2577741436553</v>
      </c>
      <c r="G52" s="721">
        <f t="shared" si="6"/>
        <v>0</v>
      </c>
      <c r="H52" s="721">
        <f t="shared" si="6"/>
        <v>624677.39292483835</v>
      </c>
      <c r="I52" s="721">
        <f t="shared" si="6"/>
        <v>89305.16893347587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723006.53671685793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4379.1873742399521</v>
      </c>
      <c r="D54" s="1008">
        <f ca="1">+landbouw!C12</f>
        <v>0</v>
      </c>
      <c r="E54" s="1008">
        <f>+landbouw!D12</f>
        <v>3666.6958572133112</v>
      </c>
      <c r="F54" s="1008">
        <f>+landbouw!E12</f>
        <v>44.390467811988643</v>
      </c>
      <c r="G54" s="1008">
        <f>+landbouw!F12</f>
        <v>18086.501823511197</v>
      </c>
      <c r="H54" s="1008">
        <f>+landbouw!G12</f>
        <v>0</v>
      </c>
      <c r="I54" s="1008">
        <f>+landbouw!H12</f>
        <v>0</v>
      </c>
      <c r="J54" s="1008">
        <f>+landbouw!I12</f>
        <v>0</v>
      </c>
      <c r="K54" s="1008">
        <f>+landbouw!J12</f>
        <v>909.01722102550605</v>
      </c>
      <c r="L54" s="1008">
        <f>+landbouw!K12</f>
        <v>0</v>
      </c>
      <c r="M54" s="1008">
        <f>+landbouw!L12</f>
        <v>0</v>
      </c>
      <c r="N54" s="1008">
        <f>+landbouw!M12</f>
        <v>0</v>
      </c>
      <c r="O54" s="1008">
        <f>+landbouw!N12</f>
        <v>0</v>
      </c>
      <c r="P54" s="1008">
        <f>+landbouw!O12</f>
        <v>0</v>
      </c>
      <c r="Q54" s="1009">
        <f>+landbouw!P12</f>
        <v>0</v>
      </c>
      <c r="R54" s="720">
        <f ca="1">SUM(C54:Q54)</f>
        <v>27085.792743801958</v>
      </c>
    </row>
    <row r="55" spans="1:18" ht="15" thickBot="1">
      <c r="A55" s="819" t="s">
        <v>912</v>
      </c>
      <c r="B55" s="829"/>
      <c r="C55" s="1008">
        <f ca="1">C25*'EF ele_warmte'!B12</f>
        <v>9179.5206470656285</v>
      </c>
      <c r="D55" s="1008"/>
      <c r="E55" s="1008">
        <f>E25*EF_CO2_aardgas</f>
        <v>42959.105744079454</v>
      </c>
      <c r="F55" s="1008"/>
      <c r="G55" s="1008"/>
      <c r="H55" s="1008"/>
      <c r="I55" s="1008"/>
      <c r="J55" s="1008"/>
      <c r="K55" s="1008"/>
      <c r="L55" s="1008"/>
      <c r="M55" s="1008"/>
      <c r="N55" s="1008"/>
      <c r="O55" s="1008"/>
      <c r="P55" s="1008"/>
      <c r="Q55" s="1009"/>
      <c r="R55" s="720">
        <f ca="1">SUM(C55:Q55)</f>
        <v>52138.626391145081</v>
      </c>
    </row>
    <row r="56" spans="1:18" ht="15.75" thickBot="1">
      <c r="A56" s="817" t="s">
        <v>913</v>
      </c>
      <c r="B56" s="830"/>
      <c r="C56" s="721">
        <f ca="1">SUM(C54:C55)</f>
        <v>13558.708021305581</v>
      </c>
      <c r="D56" s="721">
        <f t="shared" ref="D56:Q56" ca="1" si="7">SUM(D54:D55)</f>
        <v>0</v>
      </c>
      <c r="E56" s="721">
        <f t="shared" si="7"/>
        <v>46625.801601292762</v>
      </c>
      <c r="F56" s="721">
        <f t="shared" si="7"/>
        <v>44.390467811988643</v>
      </c>
      <c r="G56" s="721">
        <f t="shared" si="7"/>
        <v>18086.501823511197</v>
      </c>
      <c r="H56" s="721">
        <f t="shared" si="7"/>
        <v>0</v>
      </c>
      <c r="I56" s="721">
        <f t="shared" si="7"/>
        <v>0</v>
      </c>
      <c r="J56" s="721">
        <f t="shared" si="7"/>
        <v>0</v>
      </c>
      <c r="K56" s="721">
        <f t="shared" si="7"/>
        <v>909.01722102550605</v>
      </c>
      <c r="L56" s="721">
        <f t="shared" si="7"/>
        <v>0</v>
      </c>
      <c r="M56" s="721">
        <f t="shared" si="7"/>
        <v>0</v>
      </c>
      <c r="N56" s="721">
        <f t="shared" si="7"/>
        <v>0</v>
      </c>
      <c r="O56" s="721">
        <f t="shared" si="7"/>
        <v>0</v>
      </c>
      <c r="P56" s="721">
        <f t="shared" si="7"/>
        <v>0</v>
      </c>
      <c r="Q56" s="722">
        <f t="shared" si="7"/>
        <v>0</v>
      </c>
      <c r="R56" s="723">
        <f ca="1">SUM(R54:R55)</f>
        <v>79224.419134947035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514606.16916000273</v>
      </c>
      <c r="D61" s="729">
        <f t="shared" ref="D61:Q61" ca="1" si="8">D46+D52+D56</f>
        <v>4240.4892436974806</v>
      </c>
      <c r="E61" s="729">
        <f t="shared" ca="1" si="8"/>
        <v>895394.17327097931</v>
      </c>
      <c r="F61" s="729">
        <f t="shared" si="8"/>
        <v>14417.499832253265</v>
      </c>
      <c r="G61" s="729">
        <f t="shared" ca="1" si="8"/>
        <v>124248.51647933584</v>
      </c>
      <c r="H61" s="729">
        <f t="shared" si="8"/>
        <v>624677.39292483835</v>
      </c>
      <c r="I61" s="729">
        <f t="shared" si="8"/>
        <v>89305.16893347587</v>
      </c>
      <c r="J61" s="729">
        <f t="shared" si="8"/>
        <v>0</v>
      </c>
      <c r="K61" s="729">
        <f t="shared" si="8"/>
        <v>1748.6524067246346</v>
      </c>
      <c r="L61" s="729">
        <f t="shared" si="8"/>
        <v>0</v>
      </c>
      <c r="M61" s="729">
        <f t="shared" ca="1" si="8"/>
        <v>0</v>
      </c>
      <c r="N61" s="729">
        <f t="shared" si="8"/>
        <v>0</v>
      </c>
      <c r="O61" s="729">
        <f t="shared" ca="1" si="8"/>
        <v>0</v>
      </c>
      <c r="P61" s="729">
        <f t="shared" si="8"/>
        <v>0</v>
      </c>
      <c r="Q61" s="729">
        <f t="shared" si="8"/>
        <v>0</v>
      </c>
      <c r="R61" s="729">
        <f ca="1">R46+R52+R56</f>
        <v>2268638.0622513075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0.21096550777415773</v>
      </c>
      <c r="D63" s="773">
        <f t="shared" ca="1" si="9"/>
        <v>0.23764705882352952</v>
      </c>
      <c r="E63" s="1010">
        <f t="shared" ca="1" si="9"/>
        <v>0.20199999999999999</v>
      </c>
      <c r="F63" s="773">
        <f t="shared" si="9"/>
        <v>0.22699999999999998</v>
      </c>
      <c r="G63" s="773">
        <f t="shared" ca="1" si="9"/>
        <v>0.26700000000000002</v>
      </c>
      <c r="H63" s="773">
        <f t="shared" si="9"/>
        <v>0.26699999999999996</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44697.625348518493</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47230.584902447474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12490.55</v>
      </c>
      <c r="D76" s="1020">
        <f>'lokale energieproductie'!C8</f>
        <v>14694.764705882353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2968.3424705882353</v>
      </c>
      <c r="R76" s="846">
        <v>0</v>
      </c>
    </row>
    <row r="77" spans="1:18" ht="30.75" thickBot="1">
      <c r="A77" s="742" t="s">
        <v>353</v>
      </c>
      <c r="B77" s="739">
        <f>'lokale energieproductie'!B9*IFERROR(SUM(I77:O77)/SUM(D77:O77),0)</f>
        <v>19768.5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56481.428571428572</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111696.71025096596</v>
      </c>
      <c r="C78" s="744">
        <f>SUM(C72:C77)</f>
        <v>12490.55</v>
      </c>
      <c r="D78" s="745">
        <f t="shared" ref="D78:H78" si="10">SUM(D76:D77)</f>
        <v>14694.764705882353</v>
      </c>
      <c r="E78" s="745">
        <f t="shared" si="10"/>
        <v>0</v>
      </c>
      <c r="F78" s="745">
        <f t="shared" si="10"/>
        <v>0</v>
      </c>
      <c r="G78" s="745">
        <f t="shared" si="10"/>
        <v>0</v>
      </c>
      <c r="H78" s="745">
        <f t="shared" si="10"/>
        <v>0</v>
      </c>
      <c r="I78" s="745">
        <f>SUM(I76:I77)</f>
        <v>0</v>
      </c>
      <c r="J78" s="745">
        <f>SUM(J76:J77)</f>
        <v>56481.428571428572</v>
      </c>
      <c r="K78" s="745">
        <f t="shared" ref="K78:L78" si="11">SUM(K76:K77)</f>
        <v>0</v>
      </c>
      <c r="L78" s="745">
        <f t="shared" si="11"/>
        <v>0</v>
      </c>
      <c r="M78" s="745">
        <f>SUM(M76:M77)</f>
        <v>0</v>
      </c>
      <c r="N78" s="745">
        <f>SUM(N76:N77)</f>
        <v>0</v>
      </c>
      <c r="O78" s="854">
        <f>SUM(O76:O77)</f>
        <v>0</v>
      </c>
      <c r="P78" s="746">
        <v>0</v>
      </c>
      <c r="Q78" s="746">
        <f>SUM(Q76:Q77)</f>
        <v>2968.3424705882353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17843.642857142859</v>
      </c>
      <c r="D87" s="766">
        <f>'lokale energieproductie'!C17</f>
        <v>20992.521008403364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4240.4892436974797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17843.642857142859</v>
      </c>
      <c r="D90" s="744">
        <f t="shared" ref="D90:H90" si="12">SUM(D87:D89)</f>
        <v>20992.521008403364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4240.4892436974797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44697.625348518493</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47230.584902447474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12490.55</v>
      </c>
      <c r="C8" s="558">
        <f>B101</f>
        <v>14694.764705882353</v>
      </c>
      <c r="D8" s="991"/>
      <c r="E8" s="991">
        <f>E101</f>
        <v>0</v>
      </c>
      <c r="F8" s="992"/>
      <c r="G8" s="559"/>
      <c r="H8" s="991">
        <f>I101</f>
        <v>0</v>
      </c>
      <c r="I8" s="991">
        <f>G101+F101</f>
        <v>0</v>
      </c>
      <c r="J8" s="991">
        <f>H101+D101+C101</f>
        <v>0</v>
      </c>
      <c r="K8" s="991"/>
      <c r="L8" s="991"/>
      <c r="M8" s="991"/>
      <c r="N8" s="560"/>
      <c r="O8" s="561">
        <f>C8*$C$12+D8*$D$12+E8*$E$12+F8*$F$12+G8*$G$12+H8*$H$12+I8*$I$12+J8*$J$12</f>
        <v>2968.3424705882353</v>
      </c>
      <c r="P8" s="1245"/>
      <c r="Q8" s="1246"/>
      <c r="S8" s="1028"/>
      <c r="T8" s="1220"/>
      <c r="U8" s="1220"/>
    </row>
    <row r="9" spans="1:21" s="546" customFormat="1" ht="17.45" customHeight="1" thickBot="1">
      <c r="A9" s="562" t="s">
        <v>248</v>
      </c>
      <c r="B9" s="993">
        <f>N89+'Eigen informatie GS &amp; warmtenet'!B12</f>
        <v>19768.5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124187.26025096596</v>
      </c>
      <c r="C10" s="570">
        <f t="shared" ref="C10:L10" si="0">SUM(C8:C9)</f>
        <v>14694.764705882353</v>
      </c>
      <c r="D10" s="570">
        <f t="shared" si="0"/>
        <v>0</v>
      </c>
      <c r="E10" s="570">
        <f t="shared" si="0"/>
        <v>0</v>
      </c>
      <c r="F10" s="570">
        <f t="shared" si="0"/>
        <v>0</v>
      </c>
      <c r="G10" s="570">
        <f t="shared" si="0"/>
        <v>0</v>
      </c>
      <c r="H10" s="570">
        <f t="shared" si="0"/>
        <v>0</v>
      </c>
      <c r="I10" s="570">
        <f t="shared" si="0"/>
        <v>0</v>
      </c>
      <c r="J10" s="570">
        <f t="shared" si="0"/>
        <v>56481.428571428572</v>
      </c>
      <c r="K10" s="570">
        <f t="shared" si="0"/>
        <v>0</v>
      </c>
      <c r="L10" s="570">
        <f t="shared" si="0"/>
        <v>0</v>
      </c>
      <c r="M10" s="995"/>
      <c r="N10" s="995"/>
      <c r="O10" s="571">
        <f>SUM(O4:O9)</f>
        <v>2968.3424705882353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17843.642857142859</v>
      </c>
      <c r="C17" s="582">
        <f>B102</f>
        <v>20992.521008403364</v>
      </c>
      <c r="D17" s="583"/>
      <c r="E17" s="583">
        <f>E102</f>
        <v>0</v>
      </c>
      <c r="F17" s="584"/>
      <c r="G17" s="585"/>
      <c r="H17" s="582">
        <f>I102</f>
        <v>0</v>
      </c>
      <c r="I17" s="583">
        <f>G102+F102</f>
        <v>0</v>
      </c>
      <c r="J17" s="583">
        <f>H102+D102+C102</f>
        <v>0</v>
      </c>
      <c r="K17" s="583"/>
      <c r="L17" s="583"/>
      <c r="M17" s="583"/>
      <c r="N17" s="998"/>
      <c r="O17" s="586">
        <f>C17*$C$22+E17*$E$22+H17*$H$22+I17*$I$22+J17*$J$22+D17*$D$22+F17*$F$22+G17*$G$22+K17*$K$22+L17*$L$22</f>
        <v>4240.4892436974797</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17843.642857142859</v>
      </c>
      <c r="C20" s="569">
        <f>SUM(C17:C19)</f>
        <v>20992.521008403364</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4240.4892436974797</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11002</v>
      </c>
      <c r="C28" s="789">
        <v>2610</v>
      </c>
      <c r="D28" s="642" t="s">
        <v>948</v>
      </c>
      <c r="E28" s="641" t="s">
        <v>949</v>
      </c>
      <c r="F28" s="641" t="s">
        <v>950</v>
      </c>
      <c r="G28" s="641" t="s">
        <v>951</v>
      </c>
      <c r="H28" s="641" t="s">
        <v>952</v>
      </c>
      <c r="I28" s="641" t="s">
        <v>953</v>
      </c>
      <c r="J28" s="788">
        <v>37264</v>
      </c>
      <c r="K28" s="788">
        <v>38504</v>
      </c>
      <c r="L28" s="641" t="s">
        <v>954</v>
      </c>
      <c r="M28" s="641">
        <v>828</v>
      </c>
      <c r="N28" s="641">
        <v>3726</v>
      </c>
      <c r="O28" s="641">
        <v>5322.8571428571431</v>
      </c>
      <c r="P28" s="641">
        <v>10645.714285714286</v>
      </c>
      <c r="Q28" s="641">
        <v>0</v>
      </c>
      <c r="R28" s="641">
        <v>0</v>
      </c>
      <c r="S28" s="641">
        <v>0</v>
      </c>
      <c r="T28" s="641">
        <v>0</v>
      </c>
      <c r="U28" s="641">
        <v>0</v>
      </c>
      <c r="V28" s="641">
        <v>0</v>
      </c>
      <c r="W28" s="641"/>
      <c r="X28" s="641">
        <v>1500</v>
      </c>
      <c r="Y28" s="641" t="s">
        <v>51</v>
      </c>
      <c r="Z28" s="643" t="s">
        <v>156</v>
      </c>
    </row>
    <row r="29" spans="1:26" s="595" customFormat="1" ht="51">
      <c r="A29" s="594"/>
      <c r="B29" s="789">
        <v>11002</v>
      </c>
      <c r="C29" s="789">
        <v>2018</v>
      </c>
      <c r="D29" s="642" t="s">
        <v>955</v>
      </c>
      <c r="E29" s="641" t="s">
        <v>956</v>
      </c>
      <c r="F29" s="641" t="s">
        <v>957</v>
      </c>
      <c r="G29" s="641" t="s">
        <v>951</v>
      </c>
      <c r="H29" s="641" t="s">
        <v>952</v>
      </c>
      <c r="I29" s="641" t="s">
        <v>956</v>
      </c>
      <c r="J29" s="788">
        <v>39370</v>
      </c>
      <c r="K29" s="788">
        <v>39448</v>
      </c>
      <c r="L29" s="641" t="s">
        <v>954</v>
      </c>
      <c r="M29" s="641">
        <v>220</v>
      </c>
      <c r="N29" s="641">
        <v>990</v>
      </c>
      <c r="O29" s="641">
        <v>1414.2857142857142</v>
      </c>
      <c r="P29" s="641">
        <v>2828.5714285714289</v>
      </c>
      <c r="Q29" s="641">
        <v>0</v>
      </c>
      <c r="R29" s="641">
        <v>0</v>
      </c>
      <c r="S29" s="641">
        <v>0</v>
      </c>
      <c r="T29" s="641">
        <v>0</v>
      </c>
      <c r="U29" s="641">
        <v>0</v>
      </c>
      <c r="V29" s="641">
        <v>0</v>
      </c>
      <c r="W29" s="641"/>
      <c r="X29" s="641">
        <v>1500</v>
      </c>
      <c r="Y29" s="641" t="s">
        <v>51</v>
      </c>
      <c r="Z29" s="643" t="s">
        <v>156</v>
      </c>
    </row>
    <row r="30" spans="1:26" s="595" customFormat="1" ht="25.5">
      <c r="A30" s="594"/>
      <c r="B30" s="789">
        <v>11002</v>
      </c>
      <c r="C30" s="789">
        <v>2170</v>
      </c>
      <c r="D30" s="642" t="s">
        <v>958</v>
      </c>
      <c r="E30" s="641" t="s">
        <v>959</v>
      </c>
      <c r="F30" s="641" t="s">
        <v>960</v>
      </c>
      <c r="G30" s="641" t="s">
        <v>951</v>
      </c>
      <c r="H30" s="641" t="s">
        <v>952</v>
      </c>
      <c r="I30" s="641" t="s">
        <v>959</v>
      </c>
      <c r="J30" s="788">
        <v>39797</v>
      </c>
      <c r="K30" s="788">
        <v>39812</v>
      </c>
      <c r="L30" s="641" t="s">
        <v>954</v>
      </c>
      <c r="M30" s="641">
        <v>806</v>
      </c>
      <c r="N30" s="641">
        <v>3627</v>
      </c>
      <c r="O30" s="641">
        <v>5181.4285714285716</v>
      </c>
      <c r="P30" s="641">
        <v>10362.857142857143</v>
      </c>
      <c r="Q30" s="641">
        <v>0</v>
      </c>
      <c r="R30" s="641">
        <v>0</v>
      </c>
      <c r="S30" s="641">
        <v>0</v>
      </c>
      <c r="T30" s="641">
        <v>0</v>
      </c>
      <c r="U30" s="641">
        <v>0</v>
      </c>
      <c r="V30" s="641">
        <v>0</v>
      </c>
      <c r="W30" s="641"/>
      <c r="X30" s="641">
        <v>500</v>
      </c>
      <c r="Y30" s="641" t="s">
        <v>41</v>
      </c>
      <c r="Z30" s="643" t="s">
        <v>391</v>
      </c>
    </row>
    <row r="31" spans="1:26" s="595" customFormat="1" ht="51">
      <c r="A31" s="594"/>
      <c r="B31" s="789">
        <v>11002</v>
      </c>
      <c r="C31" s="789">
        <v>2018</v>
      </c>
      <c r="D31" s="642" t="s">
        <v>961</v>
      </c>
      <c r="E31" s="641" t="s">
        <v>962</v>
      </c>
      <c r="F31" s="641" t="s">
        <v>963</v>
      </c>
      <c r="G31" s="641" t="s">
        <v>951</v>
      </c>
      <c r="H31" s="641" t="s">
        <v>952</v>
      </c>
      <c r="I31" s="641" t="s">
        <v>962</v>
      </c>
      <c r="J31" s="788">
        <v>40470</v>
      </c>
      <c r="K31" s="788">
        <v>40756</v>
      </c>
      <c r="L31" s="641" t="s">
        <v>954</v>
      </c>
      <c r="M31" s="641">
        <v>60</v>
      </c>
      <c r="N31" s="641">
        <v>270</v>
      </c>
      <c r="O31" s="641">
        <v>385.71428571428572</v>
      </c>
      <c r="P31" s="641">
        <v>771.42857142857144</v>
      </c>
      <c r="Q31" s="641">
        <v>0</v>
      </c>
      <c r="R31" s="641">
        <v>0</v>
      </c>
      <c r="S31" s="641">
        <v>0</v>
      </c>
      <c r="T31" s="641">
        <v>0</v>
      </c>
      <c r="U31" s="641">
        <v>0</v>
      </c>
      <c r="V31" s="641">
        <v>0</v>
      </c>
      <c r="W31" s="641"/>
      <c r="X31" s="641">
        <v>1500</v>
      </c>
      <c r="Y31" s="641" t="s">
        <v>51</v>
      </c>
      <c r="Z31" s="643" t="s">
        <v>156</v>
      </c>
    </row>
    <row r="32" spans="1:26" s="595" customFormat="1" ht="51">
      <c r="A32" s="594"/>
      <c r="B32" s="789">
        <v>11002</v>
      </c>
      <c r="C32" s="789">
        <v>2020</v>
      </c>
      <c r="D32" s="642" t="s">
        <v>964</v>
      </c>
      <c r="E32" s="641" t="s">
        <v>965</v>
      </c>
      <c r="F32" s="641" t="s">
        <v>966</v>
      </c>
      <c r="G32" s="641" t="s">
        <v>951</v>
      </c>
      <c r="H32" s="641" t="s">
        <v>952</v>
      </c>
      <c r="I32" s="641" t="s">
        <v>965</v>
      </c>
      <c r="J32" s="788">
        <v>40483</v>
      </c>
      <c r="K32" s="788">
        <v>40603</v>
      </c>
      <c r="L32" s="641" t="s">
        <v>954</v>
      </c>
      <c r="M32" s="641">
        <v>834</v>
      </c>
      <c r="N32" s="641">
        <v>3753</v>
      </c>
      <c r="O32" s="641">
        <v>5361.4285714285716</v>
      </c>
      <c r="P32" s="641">
        <v>10722.857142857143</v>
      </c>
      <c r="Q32" s="641">
        <v>0</v>
      </c>
      <c r="R32" s="641">
        <v>0</v>
      </c>
      <c r="S32" s="641">
        <v>0</v>
      </c>
      <c r="T32" s="641">
        <v>0</v>
      </c>
      <c r="U32" s="641">
        <v>0</v>
      </c>
      <c r="V32" s="641">
        <v>0</v>
      </c>
      <c r="W32" s="641"/>
      <c r="X32" s="641">
        <v>1500</v>
      </c>
      <c r="Y32" s="641" t="s">
        <v>51</v>
      </c>
      <c r="Z32" s="643" t="s">
        <v>156</v>
      </c>
    </row>
    <row r="33" spans="1:26" s="595" customFormat="1" ht="63.75">
      <c r="A33" s="594"/>
      <c r="B33" s="789">
        <v>11002</v>
      </c>
      <c r="C33" s="789">
        <v>2018</v>
      </c>
      <c r="D33" s="642" t="s">
        <v>967</v>
      </c>
      <c r="E33" s="641" t="s">
        <v>968</v>
      </c>
      <c r="F33" s="641" t="s">
        <v>969</v>
      </c>
      <c r="G33" s="641" t="s">
        <v>951</v>
      </c>
      <c r="H33" s="641" t="s">
        <v>952</v>
      </c>
      <c r="I33" s="641" t="s">
        <v>970</v>
      </c>
      <c r="J33" s="788">
        <v>40963</v>
      </c>
      <c r="K33" s="788">
        <v>41183</v>
      </c>
      <c r="L33" s="641" t="s">
        <v>954</v>
      </c>
      <c r="M33" s="641">
        <v>199</v>
      </c>
      <c r="N33" s="641">
        <v>89.550000000000011</v>
      </c>
      <c r="O33" s="641">
        <v>127.92857142857144</v>
      </c>
      <c r="P33" s="641">
        <v>255.85714285714292</v>
      </c>
      <c r="Q33" s="641">
        <v>0</v>
      </c>
      <c r="R33" s="641">
        <v>0</v>
      </c>
      <c r="S33" s="641">
        <v>0</v>
      </c>
      <c r="T33" s="641">
        <v>0</v>
      </c>
      <c r="U33" s="641">
        <v>0</v>
      </c>
      <c r="V33" s="641">
        <v>0</v>
      </c>
      <c r="W33" s="641"/>
      <c r="X33" s="641">
        <v>1600</v>
      </c>
      <c r="Y33" s="641" t="s">
        <v>50</v>
      </c>
      <c r="Z33" s="643" t="s">
        <v>156</v>
      </c>
    </row>
    <row r="34" spans="1:26" s="595" customFormat="1" ht="63.75">
      <c r="A34" s="594"/>
      <c r="B34" s="789">
        <v>11002</v>
      </c>
      <c r="C34" s="789">
        <v>2610</v>
      </c>
      <c r="D34" s="642" t="s">
        <v>967</v>
      </c>
      <c r="E34" s="641" t="s">
        <v>968</v>
      </c>
      <c r="F34" s="641" t="s">
        <v>971</v>
      </c>
      <c r="G34" s="641" t="s">
        <v>951</v>
      </c>
      <c r="H34" s="641" t="s">
        <v>952</v>
      </c>
      <c r="I34" s="641" t="s">
        <v>972</v>
      </c>
      <c r="J34" s="788">
        <v>40963</v>
      </c>
      <c r="K34" s="788">
        <v>41153</v>
      </c>
      <c r="L34" s="641" t="s">
        <v>954</v>
      </c>
      <c r="M34" s="641">
        <v>70</v>
      </c>
      <c r="N34" s="641">
        <v>35</v>
      </c>
      <c r="O34" s="641">
        <v>50</v>
      </c>
      <c r="P34" s="641">
        <v>100</v>
      </c>
      <c r="Q34" s="641">
        <v>0</v>
      </c>
      <c r="R34" s="641">
        <v>0</v>
      </c>
      <c r="S34" s="641">
        <v>0</v>
      </c>
      <c r="T34" s="641">
        <v>0</v>
      </c>
      <c r="U34" s="641">
        <v>0</v>
      </c>
      <c r="V34" s="641">
        <v>0</v>
      </c>
      <c r="W34" s="641"/>
      <c r="X34" s="641">
        <v>1600</v>
      </c>
      <c r="Y34" s="641" t="s">
        <v>50</v>
      </c>
      <c r="Z34" s="643" t="s">
        <v>156</v>
      </c>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3017</v>
      </c>
      <c r="N58" s="599">
        <f>SUM(N28:N57)</f>
        <v>12490.55</v>
      </c>
      <c r="O58" s="599">
        <f t="shared" ref="O58:W58" si="2">SUM(O28:O57)</f>
        <v>17843.642857142859</v>
      </c>
      <c r="P58" s="599">
        <f t="shared" si="2"/>
        <v>35687.285714285717</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806</v>
      </c>
      <c r="N59" s="599">
        <f t="shared" si="3"/>
        <v>3627</v>
      </c>
      <c r="O59" s="599">
        <f t="shared" si="3"/>
        <v>5181.4285714285716</v>
      </c>
      <c r="P59" s="599">
        <f t="shared" si="3"/>
        <v>10362.857142857143</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2211</v>
      </c>
      <c r="N60" s="599">
        <f ca="1">SUMIF($Z$28:AD57,"tertiair",N28:N57)</f>
        <v>8863.5499999999993</v>
      </c>
      <c r="O60" s="599">
        <f ca="1">SUMIF($Z$28:AE57,"tertiair",O28:O57)</f>
        <v>12662.214285714284</v>
      </c>
      <c r="P60" s="599">
        <f ca="1">SUMIF($Z$28:AF57,"tertiair",P28:P57)</f>
        <v>25324.428571428569</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11002</v>
      </c>
      <c r="C64" s="789">
        <v>2030</v>
      </c>
      <c r="D64" s="644" t="s">
        <v>973</v>
      </c>
      <c r="E64" s="644" t="s">
        <v>974</v>
      </c>
      <c r="F64" s="644" t="s">
        <v>975</v>
      </c>
      <c r="G64" s="644" t="s">
        <v>976</v>
      </c>
      <c r="H64" s="644" t="s">
        <v>977</v>
      </c>
      <c r="I64" s="644" t="s">
        <v>974</v>
      </c>
      <c r="J64" s="788">
        <v>38183</v>
      </c>
      <c r="K64" s="788">
        <v>38200</v>
      </c>
      <c r="L64" s="644" t="s">
        <v>954</v>
      </c>
      <c r="M64" s="644">
        <v>4093</v>
      </c>
      <c r="N64" s="644">
        <v>18418.5</v>
      </c>
      <c r="O64" s="644">
        <v>0</v>
      </c>
      <c r="P64" s="644">
        <v>0</v>
      </c>
      <c r="Q64" s="644">
        <v>0</v>
      </c>
      <c r="R64" s="644">
        <v>52624.285714285717</v>
      </c>
      <c r="S64" s="644">
        <v>0</v>
      </c>
      <c r="T64" s="644">
        <v>0</v>
      </c>
      <c r="U64" s="644">
        <v>0</v>
      </c>
      <c r="V64" s="644">
        <v>0</v>
      </c>
      <c r="W64" s="644"/>
      <c r="X64" s="644">
        <v>1600</v>
      </c>
      <c r="Y64" s="644" t="s">
        <v>50</v>
      </c>
      <c r="Z64" s="645" t="s">
        <v>156</v>
      </c>
    </row>
    <row r="65" spans="1:26" s="610" customFormat="1" ht="63.75">
      <c r="A65" s="596"/>
      <c r="B65" s="789">
        <v>11002</v>
      </c>
      <c r="C65" s="789">
        <v>2020</v>
      </c>
      <c r="D65" s="644" t="s">
        <v>978</v>
      </c>
      <c r="E65" s="644" t="s">
        <v>979</v>
      </c>
      <c r="F65" s="644" t="s">
        <v>980</v>
      </c>
      <c r="G65" s="644" t="s">
        <v>981</v>
      </c>
      <c r="H65" s="644" t="s">
        <v>977</v>
      </c>
      <c r="I65" s="644" t="s">
        <v>982</v>
      </c>
      <c r="J65" s="788">
        <v>38200</v>
      </c>
      <c r="K65" s="788">
        <v>38261</v>
      </c>
      <c r="L65" s="644" t="s">
        <v>983</v>
      </c>
      <c r="M65" s="644">
        <v>300</v>
      </c>
      <c r="N65" s="644">
        <v>1350</v>
      </c>
      <c r="O65" s="644">
        <v>0</v>
      </c>
      <c r="P65" s="644">
        <v>0</v>
      </c>
      <c r="Q65" s="644">
        <v>3857.1428571428573</v>
      </c>
      <c r="R65" s="644">
        <v>0</v>
      </c>
      <c r="S65" s="644">
        <v>0</v>
      </c>
      <c r="T65" s="644">
        <v>0</v>
      </c>
      <c r="U65" s="644">
        <v>0</v>
      </c>
      <c r="V65" s="644">
        <v>0</v>
      </c>
      <c r="W65" s="644"/>
      <c r="X65" s="644">
        <v>1600</v>
      </c>
      <c r="Y65" s="644" t="s">
        <v>50</v>
      </c>
      <c r="Z65" s="645" t="s">
        <v>156</v>
      </c>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4393</v>
      </c>
      <c r="N89" s="599">
        <f t="shared" ref="N89:W89" si="5">SUM(N64:N88)</f>
        <v>19768.5</v>
      </c>
      <c r="O89" s="599">
        <f t="shared" si="5"/>
        <v>0</v>
      </c>
      <c r="P89" s="599">
        <f t="shared" si="5"/>
        <v>0</v>
      </c>
      <c r="Q89" s="599">
        <f t="shared" si="5"/>
        <v>3857.1428571428573</v>
      </c>
      <c r="R89" s="599">
        <f t="shared" si="5"/>
        <v>52624.285714285717</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4393</v>
      </c>
      <c r="N91" s="599">
        <f t="shared" si="7"/>
        <v>19768.5</v>
      </c>
      <c r="O91" s="599">
        <f t="shared" si="7"/>
        <v>0</v>
      </c>
      <c r="P91" s="599">
        <f t="shared" si="7"/>
        <v>0</v>
      </c>
      <c r="Q91" s="599">
        <f t="shared" si="7"/>
        <v>3857.1428571428573</v>
      </c>
      <c r="R91" s="599">
        <f t="shared" si="7"/>
        <v>52624.285714285717</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14694.764705882353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20992.521008403364</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696010.38683732436</v>
      </c>
      <c r="C4" s="461">
        <f>huishoudens!C8</f>
        <v>0</v>
      </c>
      <c r="D4" s="461">
        <f>huishoudens!D8</f>
        <v>2323611.7882931801</v>
      </c>
      <c r="E4" s="461">
        <f>huishoudens!E8</f>
        <v>40253.980390954894</v>
      </c>
      <c r="F4" s="461">
        <f>huishoudens!F8</f>
        <v>97384.745154495613</v>
      </c>
      <c r="G4" s="461">
        <f>huishoudens!G8</f>
        <v>0</v>
      </c>
      <c r="H4" s="461">
        <f>huishoudens!H8</f>
        <v>0</v>
      </c>
      <c r="I4" s="461">
        <f>huishoudens!I8</f>
        <v>0</v>
      </c>
      <c r="J4" s="461">
        <f>huishoudens!J8</f>
        <v>0</v>
      </c>
      <c r="K4" s="461">
        <f>huishoudens!K8</f>
        <v>0</v>
      </c>
      <c r="L4" s="461">
        <f>huishoudens!L8</f>
        <v>0</v>
      </c>
      <c r="M4" s="461">
        <f>huishoudens!M8</f>
        <v>0</v>
      </c>
      <c r="N4" s="461">
        <f>huishoudens!N8</f>
        <v>125279.57156695028</v>
      </c>
      <c r="O4" s="461">
        <f>huishoudens!O8</f>
        <v>522.15333333333331</v>
      </c>
      <c r="P4" s="462">
        <f>huishoudens!P8</f>
        <v>400.4</v>
      </c>
      <c r="Q4" s="463">
        <f>SUM(B4:P4)</f>
        <v>3283463.0255762381</v>
      </c>
    </row>
    <row r="5" spans="1:17">
      <c r="A5" s="460" t="s">
        <v>156</v>
      </c>
      <c r="B5" s="461">
        <f ca="1">tertiair!B16</f>
        <v>1246803.7930120078</v>
      </c>
      <c r="C5" s="461">
        <f ca="1">tertiair!C16</f>
        <v>12662.214285714284</v>
      </c>
      <c r="D5" s="461">
        <f ca="1">tertiair!D16</f>
        <v>1564205.0866444518</v>
      </c>
      <c r="E5" s="461">
        <f>tertiair!E16</f>
        <v>9166.9118492861817</v>
      </c>
      <c r="F5" s="461">
        <f ca="1">tertiair!F16</f>
        <v>217924.96778611394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17.196666666666669</v>
      </c>
      <c r="P5" s="462">
        <f>tertiair!P16</f>
        <v>724.5333333333333</v>
      </c>
      <c r="Q5" s="460">
        <f t="shared" ref="Q5:Q14" ca="1" si="0">SUM(B5:P5)</f>
        <v>3051504.7035775739</v>
      </c>
    </row>
    <row r="6" spans="1:17">
      <c r="A6" s="460" t="s">
        <v>194</v>
      </c>
      <c r="B6" s="461">
        <f>'openbare verlichting'!B8</f>
        <v>31927.696</v>
      </c>
      <c r="C6" s="461"/>
      <c r="D6" s="461"/>
      <c r="E6" s="461"/>
      <c r="F6" s="461"/>
      <c r="G6" s="461"/>
      <c r="H6" s="461"/>
      <c r="I6" s="461"/>
      <c r="J6" s="461"/>
      <c r="K6" s="461"/>
      <c r="L6" s="461"/>
      <c r="M6" s="461"/>
      <c r="N6" s="461"/>
      <c r="O6" s="461"/>
      <c r="P6" s="462"/>
      <c r="Q6" s="460">
        <f t="shared" si="0"/>
        <v>31927.696</v>
      </c>
    </row>
    <row r="7" spans="1:17">
      <c r="A7" s="460" t="s">
        <v>112</v>
      </c>
      <c r="B7" s="461">
        <f>landbouw!B8</f>
        <v>20757.83582085821</v>
      </c>
      <c r="C7" s="461">
        <f>landbouw!C8</f>
        <v>0</v>
      </c>
      <c r="D7" s="461">
        <f>landbouw!D8</f>
        <v>18151.959689174808</v>
      </c>
      <c r="E7" s="461">
        <f>landbouw!E8</f>
        <v>195.55272163871649</v>
      </c>
      <c r="F7" s="461">
        <f>landbouw!F8</f>
        <v>67739.707204161779</v>
      </c>
      <c r="G7" s="461">
        <f>landbouw!G8</f>
        <v>0</v>
      </c>
      <c r="H7" s="461">
        <f>landbouw!H8</f>
        <v>0</v>
      </c>
      <c r="I7" s="461">
        <f>landbouw!I8</f>
        <v>0</v>
      </c>
      <c r="J7" s="461">
        <f>landbouw!J8</f>
        <v>2567.8452571341982</v>
      </c>
      <c r="K7" s="461">
        <f>landbouw!K8</f>
        <v>0</v>
      </c>
      <c r="L7" s="461">
        <f>landbouw!L8</f>
        <v>0</v>
      </c>
      <c r="M7" s="461">
        <f>landbouw!M8</f>
        <v>0</v>
      </c>
      <c r="N7" s="461">
        <f>landbouw!N8</f>
        <v>0</v>
      </c>
      <c r="O7" s="461">
        <f>landbouw!O8</f>
        <v>0</v>
      </c>
      <c r="P7" s="462">
        <f>landbouw!P8</f>
        <v>0</v>
      </c>
      <c r="Q7" s="460">
        <f t="shared" si="0"/>
        <v>109412.90069296771</v>
      </c>
    </row>
    <row r="8" spans="1:17">
      <c r="A8" s="460" t="s">
        <v>685</v>
      </c>
      <c r="B8" s="461">
        <f>industrie!B18</f>
        <v>368780.09387626365</v>
      </c>
      <c r="C8" s="461">
        <f>industrie!C18</f>
        <v>5181.4285714285716</v>
      </c>
      <c r="D8" s="461">
        <f>industrie!D18</f>
        <v>313850.51813627389</v>
      </c>
      <c r="E8" s="461">
        <f>industrie!E18</f>
        <v>3556.4275408057169</v>
      </c>
      <c r="F8" s="461">
        <f>industrie!F18</f>
        <v>82300.828841505223</v>
      </c>
      <c r="G8" s="461">
        <f>industrie!G18</f>
        <v>0</v>
      </c>
      <c r="H8" s="461">
        <f>industrie!H18</f>
        <v>0</v>
      </c>
      <c r="I8" s="461">
        <f>industrie!I18</f>
        <v>0</v>
      </c>
      <c r="J8" s="461">
        <f>industrie!J18</f>
        <v>2371.8508070596854</v>
      </c>
      <c r="K8" s="461">
        <f>industrie!K18</f>
        <v>0</v>
      </c>
      <c r="L8" s="461">
        <f>industrie!L18</f>
        <v>0</v>
      </c>
      <c r="M8" s="461">
        <f>industrie!M18</f>
        <v>0</v>
      </c>
      <c r="N8" s="461">
        <f>industrie!N18</f>
        <v>9854.0659924921238</v>
      </c>
      <c r="O8" s="461">
        <f>industrie!O18</f>
        <v>0</v>
      </c>
      <c r="P8" s="462">
        <f>industrie!P18</f>
        <v>0</v>
      </c>
      <c r="Q8" s="460">
        <f t="shared" si="0"/>
        <v>785895.21376582887</v>
      </c>
    </row>
    <row r="9" spans="1:17" s="466" customFormat="1">
      <c r="A9" s="464" t="s">
        <v>579</v>
      </c>
      <c r="B9" s="465">
        <f>transport!B14</f>
        <v>56.921531971551403</v>
      </c>
      <c r="C9" s="465">
        <f>transport!C14</f>
        <v>0</v>
      </c>
      <c r="D9" s="465">
        <f>transport!D14</f>
        <v>156.22905325495014</v>
      </c>
      <c r="E9" s="465">
        <f>transport!E14</f>
        <v>10340.342617372931</v>
      </c>
      <c r="F9" s="465">
        <f>transport!F14</f>
        <v>0</v>
      </c>
      <c r="G9" s="465">
        <f>transport!G14</f>
        <v>2287661.5033952547</v>
      </c>
      <c r="H9" s="465">
        <f>transport!H14</f>
        <v>358655.29692158982</v>
      </c>
      <c r="I9" s="465">
        <f>transport!I14</f>
        <v>0</v>
      </c>
      <c r="J9" s="465">
        <f>transport!J14</f>
        <v>0</v>
      </c>
      <c r="K9" s="465">
        <f>transport!K14</f>
        <v>0</v>
      </c>
      <c r="L9" s="465">
        <f>transport!L14</f>
        <v>0</v>
      </c>
      <c r="M9" s="465">
        <f>transport!M14</f>
        <v>118276.60405060933</v>
      </c>
      <c r="N9" s="465">
        <f>transport!N14</f>
        <v>0</v>
      </c>
      <c r="O9" s="465">
        <f>transport!O14</f>
        <v>0</v>
      </c>
      <c r="P9" s="465">
        <f>transport!P14</f>
        <v>0</v>
      </c>
      <c r="Q9" s="464">
        <f>SUM(B9:P9)</f>
        <v>2775146.8975700531</v>
      </c>
    </row>
    <row r="10" spans="1:17">
      <c r="A10" s="460" t="s">
        <v>569</v>
      </c>
      <c r="B10" s="461">
        <f>transport!B54</f>
        <v>31441.87126005358</v>
      </c>
      <c r="C10" s="461">
        <f>transport!C54</f>
        <v>0</v>
      </c>
      <c r="D10" s="461">
        <f>transport!D54</f>
        <v>0</v>
      </c>
      <c r="E10" s="461">
        <f>transport!E54</f>
        <v>0</v>
      </c>
      <c r="F10" s="461">
        <f>transport!F54</f>
        <v>0</v>
      </c>
      <c r="G10" s="461">
        <f>transport!G54</f>
        <v>51954.200443091126</v>
      </c>
      <c r="H10" s="461">
        <f>transport!H54</f>
        <v>0</v>
      </c>
      <c r="I10" s="461">
        <f>transport!I54</f>
        <v>0</v>
      </c>
      <c r="J10" s="461">
        <f>transport!J54</f>
        <v>0</v>
      </c>
      <c r="K10" s="461">
        <f>transport!K54</f>
        <v>0</v>
      </c>
      <c r="L10" s="461">
        <f>transport!L54</f>
        <v>0</v>
      </c>
      <c r="M10" s="461">
        <f>transport!M54</f>
        <v>2281.3946452706291</v>
      </c>
      <c r="N10" s="461">
        <f>transport!N54</f>
        <v>0</v>
      </c>
      <c r="O10" s="461">
        <f>transport!O54</f>
        <v>0</v>
      </c>
      <c r="P10" s="462">
        <f>transport!P54</f>
        <v>0</v>
      </c>
      <c r="Q10" s="460">
        <f t="shared" si="0"/>
        <v>85677.466348415328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43511.950099882997</v>
      </c>
      <c r="C14" s="468"/>
      <c r="D14" s="468">
        <f>'SEAP template'!E25</f>
        <v>212668.840317225</v>
      </c>
      <c r="E14" s="468"/>
      <c r="F14" s="468"/>
      <c r="G14" s="468"/>
      <c r="H14" s="468"/>
      <c r="I14" s="468"/>
      <c r="J14" s="468"/>
      <c r="K14" s="468"/>
      <c r="L14" s="468"/>
      <c r="M14" s="468"/>
      <c r="N14" s="468"/>
      <c r="O14" s="468"/>
      <c r="P14" s="469"/>
      <c r="Q14" s="460">
        <f t="shared" si="0"/>
        <v>256180.79041710799</v>
      </c>
    </row>
    <row r="15" spans="1:17" s="473" customFormat="1">
      <c r="A15" s="470" t="s">
        <v>573</v>
      </c>
      <c r="B15" s="471">
        <f ca="1">SUM(B4:B14)</f>
        <v>2439290.5484383623</v>
      </c>
      <c r="C15" s="471">
        <f t="shared" ref="C15:Q15" ca="1" si="1">SUM(C4:C14)</f>
        <v>17843.642857142855</v>
      </c>
      <c r="D15" s="471">
        <f t="shared" ca="1" si="1"/>
        <v>4432644.4221335612</v>
      </c>
      <c r="E15" s="471">
        <f t="shared" si="1"/>
        <v>63513.215120058441</v>
      </c>
      <c r="F15" s="471">
        <f t="shared" ca="1" si="1"/>
        <v>465350.24898627657</v>
      </c>
      <c r="G15" s="471">
        <f t="shared" si="1"/>
        <v>2339615.7038383461</v>
      </c>
      <c r="H15" s="471">
        <f t="shared" si="1"/>
        <v>358655.29692158982</v>
      </c>
      <c r="I15" s="471">
        <f t="shared" si="1"/>
        <v>0</v>
      </c>
      <c r="J15" s="471">
        <f t="shared" si="1"/>
        <v>4939.696064193884</v>
      </c>
      <c r="K15" s="471">
        <f t="shared" si="1"/>
        <v>0</v>
      </c>
      <c r="L15" s="471">
        <f t="shared" ca="1" si="1"/>
        <v>0</v>
      </c>
      <c r="M15" s="471">
        <f t="shared" si="1"/>
        <v>120557.99869587996</v>
      </c>
      <c r="N15" s="471">
        <f t="shared" ca="1" si="1"/>
        <v>135133.6375594424</v>
      </c>
      <c r="O15" s="471">
        <f t="shared" si="1"/>
        <v>539.35</v>
      </c>
      <c r="P15" s="471">
        <f t="shared" si="1"/>
        <v>1124.9333333333334</v>
      </c>
      <c r="Q15" s="471">
        <f t="shared" ca="1" si="1"/>
        <v>10379208.693948185</v>
      </c>
    </row>
    <row r="17" spans="1:17">
      <c r="A17" s="474" t="s">
        <v>574</v>
      </c>
      <c r="B17" s="778">
        <f ca="1">huishoudens!B10</f>
        <v>0.21096550777415771</v>
      </c>
      <c r="C17" s="778">
        <f ca="1">huishoudens!C10</f>
        <v>0.23764705882352949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146834.18467522407</v>
      </c>
      <c r="C22" s="461">
        <f t="shared" ref="C22:C32" ca="1" si="3">C4*$C$17</f>
        <v>0</v>
      </c>
      <c r="D22" s="461">
        <f t="shared" ref="D22:D32" si="4">D4*$D$17</f>
        <v>469369.5812352224</v>
      </c>
      <c r="E22" s="461">
        <f t="shared" ref="E22:E32" si="5">E4*$E$17</f>
        <v>9137.6535487467609</v>
      </c>
      <c r="F22" s="461">
        <f t="shared" ref="F22:F32" si="6">F4*$F$17</f>
        <v>26001.726956250332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651343.14641544351</v>
      </c>
    </row>
    <row r="23" spans="1:17">
      <c r="A23" s="460" t="s">
        <v>156</v>
      </c>
      <c r="B23" s="461">
        <f t="shared" ca="1" si="2"/>
        <v>263032.59528752405</v>
      </c>
      <c r="C23" s="461">
        <f t="shared" ca="1" si="3"/>
        <v>3009.1379831932782</v>
      </c>
      <c r="D23" s="461">
        <f t="shared" ca="1" si="4"/>
        <v>315969.42750217929</v>
      </c>
      <c r="E23" s="461">
        <f t="shared" si="5"/>
        <v>2080.8889897879635</v>
      </c>
      <c r="F23" s="461">
        <f t="shared" ca="1" si="6"/>
        <v>58185.966398892422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642278.01616157708</v>
      </c>
    </row>
    <row r="24" spans="1:17">
      <c r="A24" s="460" t="s">
        <v>194</v>
      </c>
      <c r="B24" s="461">
        <f t="shared" ca="1" si="2"/>
        <v>6735.6425986989443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6735.6425986989443</v>
      </c>
    </row>
    <row r="25" spans="1:17">
      <c r="A25" s="460" t="s">
        <v>112</v>
      </c>
      <c r="B25" s="461">
        <f t="shared" ca="1" si="2"/>
        <v>4379.1873742399521</v>
      </c>
      <c r="C25" s="461">
        <f t="shared" ca="1" si="3"/>
        <v>0</v>
      </c>
      <c r="D25" s="461">
        <f t="shared" si="4"/>
        <v>3666.6958572133112</v>
      </c>
      <c r="E25" s="461">
        <f t="shared" si="5"/>
        <v>44.390467811988643</v>
      </c>
      <c r="F25" s="461">
        <f t="shared" si="6"/>
        <v>18086.501823511197</v>
      </c>
      <c r="G25" s="461">
        <f t="shared" si="7"/>
        <v>0</v>
      </c>
      <c r="H25" s="461">
        <f t="shared" si="8"/>
        <v>0</v>
      </c>
      <c r="I25" s="461">
        <f t="shared" si="9"/>
        <v>0</v>
      </c>
      <c r="J25" s="461">
        <f t="shared" si="10"/>
        <v>909.01722102550605</v>
      </c>
      <c r="K25" s="461">
        <f t="shared" si="11"/>
        <v>0</v>
      </c>
      <c r="L25" s="461">
        <f t="shared" si="12"/>
        <v>0</v>
      </c>
      <c r="M25" s="461">
        <f t="shared" si="13"/>
        <v>0</v>
      </c>
      <c r="N25" s="461">
        <f t="shared" si="14"/>
        <v>0</v>
      </c>
      <c r="O25" s="461">
        <f t="shared" si="15"/>
        <v>0</v>
      </c>
      <c r="P25" s="462">
        <f t="shared" si="16"/>
        <v>0</v>
      </c>
      <c r="Q25" s="460">
        <f t="shared" ca="1" si="17"/>
        <v>27085.792743801958</v>
      </c>
    </row>
    <row r="26" spans="1:17">
      <c r="A26" s="460" t="s">
        <v>685</v>
      </c>
      <c r="B26" s="461">
        <f t="shared" ca="1" si="2"/>
        <v>77799.879761607503</v>
      </c>
      <c r="C26" s="461">
        <f t="shared" ca="1" si="3"/>
        <v>1231.3512605042022</v>
      </c>
      <c r="D26" s="461">
        <f t="shared" si="4"/>
        <v>63397.804663527328</v>
      </c>
      <c r="E26" s="461">
        <f t="shared" si="5"/>
        <v>807.30905176289775</v>
      </c>
      <c r="F26" s="461">
        <f t="shared" si="6"/>
        <v>21974.321300681895</v>
      </c>
      <c r="G26" s="461">
        <f t="shared" si="7"/>
        <v>0</v>
      </c>
      <c r="H26" s="461">
        <f t="shared" si="8"/>
        <v>0</v>
      </c>
      <c r="I26" s="461">
        <f t="shared" si="9"/>
        <v>0</v>
      </c>
      <c r="J26" s="461">
        <f t="shared" si="10"/>
        <v>839.63518569912856</v>
      </c>
      <c r="K26" s="461">
        <f t="shared" si="11"/>
        <v>0</v>
      </c>
      <c r="L26" s="461">
        <f t="shared" si="12"/>
        <v>0</v>
      </c>
      <c r="M26" s="461">
        <f t="shared" si="13"/>
        <v>0</v>
      </c>
      <c r="N26" s="461">
        <f t="shared" si="14"/>
        <v>0</v>
      </c>
      <c r="O26" s="461">
        <f t="shared" si="15"/>
        <v>0</v>
      </c>
      <c r="P26" s="462">
        <f t="shared" si="16"/>
        <v>0</v>
      </c>
      <c r="Q26" s="460">
        <f t="shared" ca="1" si="17"/>
        <v>166050.30122378294</v>
      </c>
    </row>
    <row r="27" spans="1:17" s="466" customFormat="1">
      <c r="A27" s="464" t="s">
        <v>579</v>
      </c>
      <c r="B27" s="772">
        <f t="shared" ca="1" si="2"/>
        <v>12.008479895661294</v>
      </c>
      <c r="C27" s="465">
        <f t="shared" ca="1" si="3"/>
        <v>0</v>
      </c>
      <c r="D27" s="465">
        <f t="shared" si="4"/>
        <v>31.558268757499931</v>
      </c>
      <c r="E27" s="465">
        <f t="shared" si="5"/>
        <v>2347.2577741436553</v>
      </c>
      <c r="F27" s="465">
        <f t="shared" si="6"/>
        <v>0</v>
      </c>
      <c r="G27" s="465">
        <f t="shared" si="7"/>
        <v>610805.62140653306</v>
      </c>
      <c r="H27" s="465">
        <f t="shared" si="8"/>
        <v>89305.16893347587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702501.6148628057</v>
      </c>
    </row>
    <row r="28" spans="1:17">
      <c r="A28" s="460" t="s">
        <v>569</v>
      </c>
      <c r="B28" s="461">
        <f t="shared" ca="1" si="2"/>
        <v>6633.1503357468991</v>
      </c>
      <c r="C28" s="461">
        <f t="shared" ca="1" si="3"/>
        <v>0</v>
      </c>
      <c r="D28" s="461">
        <f t="shared" si="4"/>
        <v>0</v>
      </c>
      <c r="E28" s="461">
        <f t="shared" si="5"/>
        <v>0</v>
      </c>
      <c r="F28" s="461">
        <f t="shared" si="6"/>
        <v>0</v>
      </c>
      <c r="G28" s="461">
        <f t="shared" si="7"/>
        <v>13871.771518305331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20504.921854052231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9179.5206470656285</v>
      </c>
      <c r="C32" s="461">
        <f t="shared" ca="1" si="3"/>
        <v>0</v>
      </c>
      <c r="D32" s="461">
        <f t="shared" si="4"/>
        <v>42959.105744079454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52138.626391145081</v>
      </c>
    </row>
    <row r="33" spans="1:17" s="473" customFormat="1">
      <c r="A33" s="470" t="s">
        <v>573</v>
      </c>
      <c r="B33" s="471">
        <f ca="1">SUM(B22:B32)</f>
        <v>514606.16916000273</v>
      </c>
      <c r="C33" s="471">
        <f t="shared" ref="C33:Q33" ca="1" si="18">SUM(C22:C32)</f>
        <v>4240.4892436974806</v>
      </c>
      <c r="D33" s="471">
        <f t="shared" ca="1" si="18"/>
        <v>895394.17327097931</v>
      </c>
      <c r="E33" s="471">
        <f t="shared" si="18"/>
        <v>14417.499832253267</v>
      </c>
      <c r="F33" s="471">
        <f t="shared" ca="1" si="18"/>
        <v>124248.51647933584</v>
      </c>
      <c r="G33" s="471">
        <f t="shared" si="18"/>
        <v>624677.39292483835</v>
      </c>
      <c r="H33" s="471">
        <f t="shared" si="18"/>
        <v>89305.16893347587</v>
      </c>
      <c r="I33" s="471">
        <f t="shared" si="18"/>
        <v>0</v>
      </c>
      <c r="J33" s="471">
        <f t="shared" si="18"/>
        <v>1748.6524067246346</v>
      </c>
      <c r="K33" s="471">
        <f t="shared" si="18"/>
        <v>0</v>
      </c>
      <c r="L33" s="471">
        <f t="shared" ca="1" si="18"/>
        <v>0</v>
      </c>
      <c r="M33" s="471">
        <f t="shared" si="18"/>
        <v>0</v>
      </c>
      <c r="N33" s="471">
        <f t="shared" ca="1" si="18"/>
        <v>0</v>
      </c>
      <c r="O33" s="471">
        <f t="shared" si="18"/>
        <v>0</v>
      </c>
      <c r="P33" s="471">
        <f t="shared" si="18"/>
        <v>0</v>
      </c>
      <c r="Q33" s="471">
        <f t="shared" ca="1" si="18"/>
        <v>2268638.0622513071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44697.625348518493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47230.584902447474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12490.55</v>
      </c>
      <c r="D8" s="1037">
        <f>'SEAP template'!D76</f>
        <v>14694.764705882353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2968.3424705882353</v>
      </c>
    </row>
    <row r="9" spans="1:16">
      <c r="A9" s="1040" t="s">
        <v>924</v>
      </c>
      <c r="B9" s="1037">
        <f>'SEAP template'!B77</f>
        <v>19768.5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56481.428571428572</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111696.71025096596</v>
      </c>
      <c r="C10" s="1041">
        <f>SUM(C4:C9)</f>
        <v>12490.55</v>
      </c>
      <c r="D10" s="1041">
        <f t="shared" ref="D10:H10" si="0">SUM(D8:D9)</f>
        <v>14694.764705882353</v>
      </c>
      <c r="E10" s="1041">
        <f t="shared" si="0"/>
        <v>0</v>
      </c>
      <c r="F10" s="1041">
        <f t="shared" si="0"/>
        <v>0</v>
      </c>
      <c r="G10" s="1041">
        <f t="shared" si="0"/>
        <v>0</v>
      </c>
      <c r="H10" s="1041">
        <f t="shared" si="0"/>
        <v>0</v>
      </c>
      <c r="I10" s="1041">
        <f>SUM(I8:I9)</f>
        <v>0</v>
      </c>
      <c r="J10" s="1041">
        <f>SUM(J8:J9)</f>
        <v>56481.428571428572</v>
      </c>
      <c r="K10" s="1041">
        <f t="shared" ref="K10:L10" si="1">SUM(K8:K9)</f>
        <v>0</v>
      </c>
      <c r="L10" s="1041">
        <f t="shared" si="1"/>
        <v>0</v>
      </c>
      <c r="M10" s="1041">
        <f>SUM(M8:M9)</f>
        <v>0</v>
      </c>
      <c r="N10" s="1041">
        <f>SUM(N8:N9)</f>
        <v>0</v>
      </c>
      <c r="O10" s="1041">
        <f>SUM(O8:O9)</f>
        <v>0</v>
      </c>
      <c r="P10" s="1041">
        <f>SUM(P8:P9)</f>
        <v>2968.3424705882353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0.21096550777415771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17843.642857142859</v>
      </c>
      <c r="D17" s="1038">
        <f>'SEAP template'!D87</f>
        <v>20992.521008403364</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4240.4892436974797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17843.642857142859</v>
      </c>
      <c r="D20" s="1041">
        <f t="shared" ref="D20:H20" si="2">SUM(D17:D19)</f>
        <v>20992.521008403364</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4240.4892436974797</v>
      </c>
    </row>
    <row r="22" spans="1:16">
      <c r="A22" s="474" t="s">
        <v>932</v>
      </c>
      <c r="B22" s="778" t="s">
        <v>926</v>
      </c>
      <c r="C22" s="778">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0.21096550777415771</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2019-08-12T07:52:11Z</dcterms:modified>
</cp:coreProperties>
</file>