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G78" i="14"/>
  <c r="G9" i="55"/>
  <c r="G10" s="1"/>
  <c r="C77" i="14"/>
  <c r="C9" i="55" s="1"/>
  <c r="F9"/>
  <c r="M90" i="14"/>
  <c r="M17" i="55"/>
  <c r="M20" s="1"/>
  <c r="L90" i="14"/>
  <c r="E20" i="55"/>
  <c r="P32" i="48"/>
  <c r="K22" i="14"/>
  <c r="P31" i="48"/>
  <c r="F76" i="14"/>
  <c r="K20" i="55"/>
  <c r="B14" i="48"/>
  <c r="F101" i="18"/>
  <c r="L78" i="14"/>
  <c r="L8" i="55"/>
  <c r="L10" s="1"/>
  <c r="O78" i="14"/>
  <c r="O9" i="55"/>
  <c r="N78" i="14"/>
  <c r="N9" i="55"/>
  <c r="N10" s="1"/>
  <c r="F90" i="14"/>
  <c r="F18" i="55"/>
  <c r="N90" i="14"/>
  <c r="N18" i="55"/>
  <c r="N20" s="1"/>
  <c r="H90" i="14"/>
  <c r="D22"/>
  <c r="L20" i="55"/>
  <c r="D14" i="48"/>
  <c r="C101" i="18"/>
  <c r="R9" i="14"/>
  <c r="E10" i="55"/>
  <c r="O10"/>
  <c r="H20"/>
  <c r="P24" i="48"/>
  <c r="B101" i="18"/>
  <c r="C8" s="1"/>
  <c r="D76" i="14" s="1"/>
  <c r="E90"/>
  <c r="E18" i="55"/>
  <c r="F20"/>
  <c r="O20"/>
  <c r="L22" i="14"/>
  <c r="M22"/>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K90"/>
  <c r="Q76" l="1"/>
  <c r="P8" i="55" s="1"/>
  <c r="D8"/>
  <c r="D10" s="1"/>
  <c r="F8"/>
  <c r="F10" s="1"/>
  <c r="F78" i="14"/>
  <c r="Q14" i="48"/>
  <c r="P9" i="55"/>
  <c r="D78" i="14"/>
  <c r="I10" i="18"/>
  <c r="I76" i="14"/>
  <c r="I8" i="55" s="1"/>
  <c r="I10" s="1"/>
  <c r="J20" i="18"/>
  <c r="J87" i="14"/>
  <c r="I20" i="18"/>
  <c r="I87" i="14"/>
  <c r="I17" i="55" s="1"/>
  <c r="I20" s="1"/>
  <c r="O8" i="18"/>
  <c r="O10" s="1"/>
  <c r="J10"/>
  <c r="J76" i="14"/>
  <c r="Q87"/>
  <c r="D90"/>
  <c r="J78" l="1"/>
  <c r="J8" i="55"/>
  <c r="J10" s="1"/>
  <c r="P10"/>
  <c r="Q90" i="14"/>
  <c r="B17" i="6" s="1"/>
  <c r="P17" i="55"/>
  <c r="P20" s="1"/>
  <c r="J90" i="14"/>
  <c r="J17" i="55"/>
  <c r="J20" s="1"/>
  <c r="Q78" i="14"/>
  <c r="B9" i="6" s="1"/>
  <c r="I78" i="14"/>
  <c r="C76"/>
  <c r="B76"/>
  <c r="I90"/>
  <c r="B87"/>
  <c r="C87"/>
  <c r="H14" i="15"/>
  <c r="H16" s="1"/>
  <c r="G14"/>
  <c r="G16" s="1"/>
  <c r="C78" i="14" l="1"/>
  <c r="C8" i="55"/>
  <c r="C10" s="1"/>
  <c r="B90" i="14"/>
  <c r="B17" i="55"/>
  <c r="B20" s="1"/>
  <c r="C90" i="14"/>
  <c r="C17" i="55"/>
  <c r="C20" s="1"/>
  <c r="B78" i="14"/>
  <c r="B8" i="55"/>
  <c r="B1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L32" i="48" l="1"/>
  <c r="L30"/>
  <c r="L22"/>
  <c r="L28"/>
  <c r="L24"/>
  <c r="L27"/>
  <c r="L31"/>
  <c r="L29"/>
  <c r="Q10" i="14"/>
  <c r="P5" i="48"/>
  <c r="P23" s="1"/>
  <c r="J32"/>
  <c r="J27"/>
  <c r="J31"/>
  <c r="J24"/>
  <c r="J30"/>
  <c r="J28"/>
  <c r="J29"/>
  <c r="P11" i="14"/>
  <c r="O4" i="48"/>
  <c r="N10" i="14"/>
  <c r="N16" s="1"/>
  <c r="M5" i="48"/>
  <c r="B4"/>
  <c r="C11" i="14"/>
  <c r="F32" i="48"/>
  <c r="F29"/>
  <c r="F24"/>
  <c r="F31"/>
  <c r="F30"/>
  <c r="F27"/>
  <c r="F28"/>
  <c r="N32"/>
  <c r="N31"/>
  <c r="N30"/>
  <c r="N28"/>
  <c r="N29"/>
  <c r="N24"/>
  <c r="N27"/>
  <c r="C24" i="14"/>
  <c r="C26" s="1"/>
  <c r="B7" i="48"/>
  <c r="B8" i="9"/>
  <c r="B6" i="48" s="1"/>
  <c r="Q6" s="1"/>
  <c r="L10" i="14"/>
  <c r="L16" s="1"/>
  <c r="L27" s="1"/>
  <c r="K5" i="48"/>
  <c r="J10" i="14"/>
  <c r="J16" s="1"/>
  <c r="J27" s="1"/>
  <c r="I5" i="48"/>
  <c r="P4"/>
  <c r="Q11" i="14"/>
  <c r="I26" i="48"/>
  <c r="I28"/>
  <c r="I32"/>
  <c r="I30"/>
  <c r="I24"/>
  <c r="I25"/>
  <c r="I29"/>
  <c r="I22"/>
  <c r="I31"/>
  <c r="I27"/>
  <c r="H12" i="22"/>
  <c r="H14" s="1"/>
  <c r="H13" i="48"/>
  <c r="H31" s="1"/>
  <c r="I18" i="14"/>
  <c r="D4" i="48"/>
  <c r="D22" s="1"/>
  <c r="E11" i="14"/>
  <c r="H30" i="48"/>
  <c r="H32"/>
  <c r="H26"/>
  <c r="H24"/>
  <c r="H22"/>
  <c r="H29"/>
  <c r="H25"/>
  <c r="H28"/>
  <c r="H23"/>
  <c r="C18" i="16"/>
  <c r="E30" i="48"/>
  <c r="E24"/>
  <c r="E32"/>
  <c r="E28"/>
  <c r="E29"/>
  <c r="E31"/>
  <c r="M30"/>
  <c r="M24"/>
  <c r="M26"/>
  <c r="M32"/>
  <c r="M25"/>
  <c r="M22"/>
  <c r="M29"/>
  <c r="D24"/>
  <c r="D30"/>
  <c r="D29"/>
  <c r="D28"/>
  <c r="D31"/>
  <c r="D32"/>
  <c r="K30"/>
  <c r="K32"/>
  <c r="K28"/>
  <c r="K31"/>
  <c r="K29"/>
  <c r="K24"/>
  <c r="K22"/>
  <c r="K26"/>
  <c r="K25"/>
  <c r="K27"/>
  <c r="C19" i="14"/>
  <c r="B10" i="48"/>
  <c r="D11" i="14"/>
  <c r="C4" i="48"/>
  <c r="G30"/>
  <c r="G32"/>
  <c r="G25"/>
  <c r="G29"/>
  <c r="G24"/>
  <c r="G22"/>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K15"/>
  <c r="K23"/>
  <c r="K33" s="1"/>
  <c r="P22"/>
  <c r="M23"/>
  <c r="G12" i="22"/>
  <c r="G13" i="48"/>
  <c r="H18" i="14"/>
  <c r="R18" s="1"/>
  <c r="L46"/>
  <c r="L61" s="1"/>
  <c r="L63" s="1"/>
  <c r="O5" i="48"/>
  <c r="O23" s="1"/>
  <c r="P10" i="14"/>
  <c r="M13" i="48"/>
  <c r="M31" s="1"/>
  <c r="N18" i="14"/>
  <c r="I15" i="48"/>
  <c r="I23"/>
  <c r="I33" s="1"/>
  <c r="G11" i="14"/>
  <c r="F4" i="48"/>
  <c r="F22" s="1"/>
  <c r="P22" i="16"/>
  <c r="Q43" i="14" s="1"/>
  <c r="P8" i="48"/>
  <c r="P26" s="1"/>
  <c r="Q13" i="14"/>
  <c r="Q16" s="1"/>
  <c r="Q27" s="1"/>
  <c r="O22" i="48"/>
  <c r="I22" i="14"/>
  <c r="I27" s="1"/>
  <c r="J63"/>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G31" i="48"/>
  <c r="Q13"/>
  <c r="H27"/>
  <c r="H33" s="1"/>
  <c r="H15"/>
  <c r="C20" i="14"/>
  <c r="B9" i="48"/>
  <c r="E9"/>
  <c r="E27" s="1"/>
  <c r="F20" i="14"/>
  <c r="F22" s="1"/>
  <c r="E20"/>
  <c r="E22" s="1"/>
  <c r="D9" i="48"/>
  <c r="D27" s="1"/>
  <c r="O8"/>
  <c r="O26" s="1"/>
  <c r="O33" s="1"/>
  <c r="P13" i="14"/>
  <c r="G14" i="22"/>
  <c r="P16" i="14"/>
  <c r="P27" s="1"/>
  <c r="O15" i="48"/>
  <c r="C15"/>
  <c r="P15"/>
  <c r="Q46" i="14"/>
  <c r="Q61" s="1"/>
  <c r="Q63" s="1"/>
  <c r="E10"/>
  <c r="P33" i="48"/>
  <c r="M10"/>
  <c r="M28" s="1"/>
  <c r="N19" i="14"/>
  <c r="E12" i="13"/>
  <c r="F41" i="14" s="1"/>
  <c r="F11"/>
  <c r="R11" s="1"/>
  <c r="E4" i="48"/>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52" l="1"/>
  <c r="N61" s="1"/>
  <c r="G28" i="48"/>
  <c r="Q10"/>
  <c r="H52" i="14"/>
  <c r="H61" s="1"/>
  <c r="G9" i="48"/>
  <c r="H20" i="14"/>
  <c r="H22" s="1"/>
  <c r="H27" s="1"/>
  <c r="C22"/>
  <c r="B15" i="48"/>
  <c r="E22"/>
  <c r="Q4"/>
  <c r="M18" i="22"/>
  <c r="N50" i="14" s="1"/>
  <c r="N20"/>
  <c r="N22" s="1"/>
  <c r="N27" s="1"/>
  <c r="M9" i="48"/>
  <c r="G18" i="22"/>
  <c r="H50" i="14" s="1"/>
  <c r="D15" i="48"/>
  <c r="J5"/>
  <c r="K10" i="14"/>
  <c r="E20" i="15"/>
  <c r="F40" i="14" s="1"/>
  <c r="E5" i="48"/>
  <c r="F10" i="14"/>
  <c r="L15" i="48"/>
  <c r="Q7"/>
  <c r="R24" i="14"/>
  <c r="R26" s="1"/>
  <c r="J18" i="16"/>
  <c r="N18"/>
  <c r="E18"/>
  <c r="F18"/>
  <c r="F22" s="1"/>
  <c r="G43" i="14" s="1"/>
  <c r="G27" i="48" l="1"/>
  <c r="G33" s="1"/>
  <c r="G15"/>
  <c r="M27"/>
  <c r="M33" s="1"/>
  <c r="M15"/>
  <c r="R20" i="14"/>
  <c r="R22" s="1"/>
  <c r="N63"/>
  <c r="H63"/>
  <c r="Q9" i="48"/>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<sst xmlns="http://schemas.openxmlformats.org/spreadsheetml/2006/main" count="2505" uniqueCount="972">
  <si>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</si>
  <si>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</si>
  <si>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</si>
  <si>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</si>
  <si>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</si>
  <si>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</si>
  <si>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</si>
  <si>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</si>
  <si>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</si>
  <si>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</si>
  <si>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</si>
  <si>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</si>
  <si>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</si>
  <si>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</si>
  <si>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</si>
  <si>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</si>
  <si>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</si>
  <si>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</si>
  <si>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</si>
  <si>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</si>
  <si>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</si>
  <si>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</si>
  <si>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</si>
  <si>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</si>
  <si>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</si>
  <si>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</si>
  <si>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</si>
  <si>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</si>
  <si>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</si>
  <si>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</si>
  <si>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</si>
  <si>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</si>
  <si>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</si>
  <si>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</si>
  <si>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</si>
  <si>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</si>
  <si>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</si>
  <si>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</si>
  <si>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</si>
  <si>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</si>
  <si>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</si>
  <si>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</si>
  <si>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</si>
  <si>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</si>
  <si>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</si>
  <si>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</si>
  <si>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</si>
  <si>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</si>
  <si>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</si>
  <si>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</si>
  <si>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</si>
  <si>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</si>
  <si>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</si>
  <si>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</si>
  <si>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</si>
  <si>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</si>
  <si>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</si>
  <si>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</si>
  <si>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</si>
  <si>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</si>
  <si>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</si>
  <si>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</si>
  <si>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</si>
  <si>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</si>
  <si>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</si>
  <si>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</si>
  <si>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</si>
  <si>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</si>
  <si>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</si>
  <si>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</si>
  <si>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</si>
  <si>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</si>
  <si>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</si>
  <si>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</si>
  <si>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</si>
  <si>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</si>
  <si>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</si>
  <si>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</si>
  <si>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</si>
  <si>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</si>
  <si>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</si>
  <si>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</si>
  <si>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</si>
  <si>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</si>
  <si>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</si>
  <si>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</si>
  <si>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</si>
  <si>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</si>
  <si>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</si>
  <si>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</si>
  <si>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</si>
  <si>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</si>
  <si>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</si>
  <si>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</si>
  <si>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</si>
  <si>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</si>
  <si>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</si>
  <si>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</si>
  <si>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</si>
  <si>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</si>
  <si>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</si>
  <si>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</si>
  <si>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</si>
  <si>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</si>
  <si>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</si>
  <si>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</si>
  <si>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</si>
  <si>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</si>
  <si>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</si>
  <si>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</si>
  <si>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</si>
  <si>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</si>
  <si>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</si>
  <si>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</si>
  <si>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</si>
  <si>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</si>
  <si>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</si>
  <si>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</si>
  <si>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</si>
  <si>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</si>
  <si>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</si>
  <si>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</si>
  <si>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</si>
  <si>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</si>
  <si>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</si>
  <si>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</si>
  <si>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</si>
  <si>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</si>
  <si>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</si>
  <si>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</si>
  <si>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</si>
  <si>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</si>
  <si>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</si>
  <si>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</si>
  <si>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</si>
  <si>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</si>
  <si>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</si>
  <si>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</si>
  <si>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</si>
  <si>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</si>
  <si>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</si>
  <si>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</si>
  <si>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</si>
  <si>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</si>
  <si>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</si>
  <si>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</si>
  <si>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</si>
  <si>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</si>
  <si>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</si>
  <si>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</si>
  <si>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</si>
  <si>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</si>
  <si>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</si>
  <si>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</si>
  <si>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</si>
  <si>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</si>
  <si>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</si>
  <si>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</si>
  <si>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</si>
  <si>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</si>
  <si>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</si>
  <si>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</si>
  <si>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</si>
  <si>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</si>
  <si>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</si>
  <si>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</si>
  <si>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</si>
  <si>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</si>
  <si>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</si>
  <si>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</si>
  <si>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</si>
  <si>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</si>
  <si>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</si>
  <si>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</si>
  <si>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</si>
  <si>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</si>
  <si>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</si>
  <si>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</si>
  <si>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</si>
  <si>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</si>
  <si>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</si>
  <si>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</si>
  <si>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</si>
  <si>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</si>
  <si>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</si>
  <si>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</si>
  <si>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</si>
  <si>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</si>
  <si>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</si>
  <si>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</si>
  <si>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</si>
  <si>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</si>
  <si>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</si>
  <si>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</si>
  <si>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</si>
  <si>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</si>
  <si>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</si>
  <si>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</si>
  <si>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</si>
  <si>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</si>
  <si>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</si>
  <si>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</si>
  <si>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</si>
  <si>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</si>
  <si>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</si>
  <si>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</si>
  <si>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</si>
  <si>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</si>
  <si>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</si>
  <si>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</si>
  <si>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</si>
  <si>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</si>
  <si>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</si>
  <si>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</si>
  <si>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</si>
  <si>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</si>
  <si>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</si>
  <si>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</si>
  <si>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</si>
  <si>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</si>
  <si>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</si>
  <si>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</si>
  <si>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</si>
  <si>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</si>
  <si>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</si>
  <si>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</si>
  <si>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</si>
  <si>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</si>
  <si>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</si>
  <si>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</si>
  <si>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</si>
  <si>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</si>
  <si>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</si>
  <si>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</si>
  <si>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</si>
  <si>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</si>
  <si>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</si>
  <si>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</si>
  <si>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</si>
  <si>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</si>
  <si>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</si>
  <si>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</si>
  <si>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</si>
  <si>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</si>
  <si>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</si>
  <si>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</si>
  <si>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</si>
  <si>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</si>
  <si>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</si>
  <si>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</si>
  <si>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</si>
  <si>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</si>
  <si>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</si>
  <si>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</si>
  <si>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</si>
  <si>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</si>
  <si>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</si>
  <si>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</si>
  <si>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</si>
  <si>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</si>
  <si>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</si>
  <si>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</si>
  <si>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</si>
  <si>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</si>
  <si>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</si>
  <si>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</si>
  <si>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</si>
  <si>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</si>
  <si>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</si>
  <si>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</si>
  <si>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</si>
  <si>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</si>
  <si>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</si>
  <si>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</si>
  <si>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</si>
  <si>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</si>
  <si>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</si>
  <si>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</si>
  <si>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</si>
  <si>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</si>
  <si>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</si>
  <si>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</si>
  <si>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</si>
  <si>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</si>
  <si>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</si>
  <si>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</si>
  <si>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</si>
  <si>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</si>
  <si>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</si>
  <si>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</si>
  <si>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</si>
  <si>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</si>
  <si>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</si>
  <si>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</si>
  <si>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</si>
  <si>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</si>
  <si>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</si>
  <si>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</si>
  <si>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</si>
  <si>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</si>
  <si>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</si>
  <si>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</si>
  <si>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</si>
  <si>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</si>
  <si>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</si>
  <si>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</si>
  <si>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</si>
  <si>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</si>
  <si>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</si>
  <si>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</si>
  <si>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</si>
  <si>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</si>
  <si>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</si>
  <si>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</si>
  <si>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</si>
  <si>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</si>
  <si>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</si>
  <si>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</si>
  <si>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</si>
  <si>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</si>
  <si>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</si>
  <si>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</si>
  <si>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</si>
  <si>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</si>
  <si>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</si>
  <si>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</si>
  <si>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</si>
  <si>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</si>
  <si>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</si>
  <si>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</si>
  <si>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</si>
  <si>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</si>
  <si>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</si>
  <si>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</si>
  <si>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</si>
  <si>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</si>
  <si>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</si>
  <si>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</si>
  <si>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</si>
  <si>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</si>
  <si>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</si>
  <si>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</si>
  <si>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</si>
  <si>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</si>
  <si>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</si>
  <si>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</si>
  <si>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</si>
  <si>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</si>
  <si>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</si>
  <si>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</si>
  <si>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</si>
  <si>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</si>
  <si>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</si>
  <si>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</si>
  <si>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</si>
  <si>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</si>
  <si>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</si>
  <si>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</si>
  <si>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</si>
  <si>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</si>
  <si>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</si>
  <si>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</si>
  <si>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</si>
  <si>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</si>
  <si>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</si>
  <si>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</si>
  <si>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</si>
  <si>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</si>
  <si>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</si>
  <si>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</si>
  <si>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</si>
  <si>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</si>
  <si>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</si>
  <si>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</si>
  <si>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</si>
  <si>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</si>
  <si>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</si>
  <si>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</si>
  <si>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</si>
  <si>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</si>
  <si>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</si>
  <si>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</si>
  <si>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</si>
  <si>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</si>
  <si>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</si>
  <si>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</si>
  <si>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</si>
  <si>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</si>
  <si>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</si>
  <si>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</si>
  <si>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</si>
  <si>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</si>
  <si>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</si>
  <si>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</si>
  <si>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</si>
  <si>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</si>
  <si>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</si>
  <si>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</si>
  <si>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</si>
  <si>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</si>
  <si>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</si>
  <si>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</si>
  <si>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</si>
  <si>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</si>
  <si>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</si>
  <si>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</si>
  <si>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</si>
  <si>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</si>
  <si>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</si>
  <si>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</si>
  <si>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</si>
  <si>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</si>
  <si>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</si>
  <si>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</si>
  <si>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</si>
  <si>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</si>
  <si>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</si>
  <si>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</si>
  <si>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</si>
  <si>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</si>
  <si>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</si>
  <si>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</si>
  <si>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</si>
  <si>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</si>
  <si>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</si>
  <si>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</si>
  <si>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</si>
  <si>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</si>
  <si>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</si>
  <si>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</si>
  <si>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</si>
  <si>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</si>
  <si>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</si>
  <si>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</si>
  <si>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</si>
  <si>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</si>
  <si>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</si>
  <si>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</si>
  <si>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</si>
  <si>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</si>
  <si>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</si>
  <si>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</si>
  <si>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</si>
  <si>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</si>
  <si>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</si>
  <si>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</si>
  <si>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</si>
  <si>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</si>
  <si>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</si>
  <si>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</si>
  <si>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</si>
  <si>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</si>
  <si>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</si>
  <si>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</si>
  <si>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</si>
  <si>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</si>
  <si>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</si>
  <si>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</si>
  <si>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</si>
  <si>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</si>
  <si>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</si>
  <si>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</si>
  <si>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</si>
  <si>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</si>
  <si>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</si>
  <si>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</si>
  <si>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</si>
  <si>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</si>
  <si>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</si>
  <si>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</si>
  <si>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</si>
  <si>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</si>
  <si>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</si>
  <si>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</si>
  <si>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</si>
  <si>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</si>
  <si>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</si>
  <si>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</si>
  <si>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</si>
  <si>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</si>
  <si>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</si>
  <si>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</si>
  <si>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</si>
  <si>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</si>
  <si>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</si>
  <si>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</si>
  <si>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</si>
  <si>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</si>
  <si>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</si>
  <si>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</si>
  <si>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</si>
  <si>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</si>
  <si>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</si>
  <si>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</si>
  <si>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</si>
  <si>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</si>
  <si>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</si>
  <si>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</si>
  <si>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</si>
  <si>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</si>
  <si>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</si>
  <si>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</si>
  <si>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</si>
  <si>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</si>
  <si>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</si>
  <si>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</si>
  <si>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</si>
  <si>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</si>
  <si>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</si>
  <si>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</si>
  <si>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</si>
  <si>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</si>
  <si>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</si>
  <si>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</si>
  <si>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</si>
  <si>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</si>
  <si>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</si>
  <si>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</si>
  <si>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</si>
  <si>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</si>
  <si>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</si>
  <si>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</si>
  <si>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</si>
  <si>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</si>
  <si>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</si>
  <si>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</si>
  <si>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</si>
  <si>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</si>
  <si>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</si>
  <si>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</si>
  <si>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</si>
  <si>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</si>
  <si>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</si>
  <si>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</si>
  <si>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</si>
  <si>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</si>
  <si>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</si>
  <si>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</si>
  <si>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</si>
  <si>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</si>
  <si>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</si>
  <si>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</si>
  <si>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</si>
  <si>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</si>
  <si>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</si>
  <si>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</si>
  <si>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</si>
  <si>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</si>
  <si>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</si>
  <si>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</si>
  <si>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</si>
  <si>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</si>
  <si>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</si>
  <si>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</si>
  <si>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</si>
  <si>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</si>
  <si>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</si>
  <si>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</si>
  <si>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</si>
  <si>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</si>
  <si>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</si>
  <si>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</si>
  <si>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</si>
  <si>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</si>
  <si>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</si>
  <si>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</si>
  <si>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</si>
  <si>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</si>
  <si>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</si>
  <si>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</si>
  <si>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</si>
  <si>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</si>
  <si>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</si>
  <si>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</si>
  <si>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</si>
  <si>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</si>
  <si>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</si>
  <si>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</si>
  <si>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</si>
  <si>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</si>
  <si>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</si>
  <si>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</si>
  <si>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</si>
  <si>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</si>
  <si>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</si>
  <si>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</si>
  <si>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</si>
  <si>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</si>
  <si>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</si>
  <si>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</si>
  <si>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</si>
  <si>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</si>
  <si>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</si>
  <si>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</si>
  <si>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</si>
  <si>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</si>
  <si>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</si>
  <si>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</si>
  <si>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</si>
  <si>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</si>
  <si>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</si>
  <si>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</si>
  <si>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</si>
  <si>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</si>
  <si>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</si>
  <si>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</si>
  <si>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</si>
  <si>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</si>
  <si>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</si>
  <si>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</si>
  <si>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</si>
  <si>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</si>
  <si>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</si>
  <si>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</si>
  <si>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</si>
  <si>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</si>
  <si>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</si>
  <si>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</si>
  <si>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</si>
  <si>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</si>
  <si>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</si>
  <si>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</si>
  <si>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</si>
  <si>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</si>
  <si>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</si>
  <si>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</si>
  <si>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</si>
  <si>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</si>
  <si>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</si>
  <si>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</si>
  <si>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</si>
  <si>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</si>
  <si>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</si>
  <si>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</si>
  <si>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</si>
  <si>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</si>
  <si>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</si>
  <si>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</si>
  <si>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</si>
  <si>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</si>
  <si>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</si>
  <si>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</si>
  <si>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</si>
  <si>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</si>
  <si>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</si>
  <si>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</si>
  <si>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</si>
  <si>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</si>
  <si>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</si>
  <si>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</si>
  <si>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</si>
  <si>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</si>
  <si>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</si>
  <si>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</si>
  <si>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</si>
  <si>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</si>
  <si>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</si>
  <si>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</si>
  <si>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</si>
  <si>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</si>
  <si>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</si>
  <si>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</si>
  <si>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</si>
  <si>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</si>
  <si>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</si>
  <si>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</si>
  <si>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</si>
  <si>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</si>
  <si>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</si>
  <si>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</si>
  <si>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</si>
  <si>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</si>
  <si>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</si>
  <si>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</si>
  <si>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</si>
  <si>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</si>
  <si>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</si>
  <si>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</si>
  <si>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</si>
  <si>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</si>
  <si>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</si>
  <si>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</si>
  <si>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</si>
  <si>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</si>
  <si>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</si>
  <si>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</si>
  <si>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</si>
  <si>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</si>
  <si>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</si>
  <si>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</si>
  <si>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</si>
  <si>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</si>
  <si>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</si>
  <si>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</si>
  <si>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</si>
  <si>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</si>
  <si>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</si>
  <si>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</si>
  <si>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</si>
  <si>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</si>
  <si>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</si>
  <si>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</si>
  <si>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</si>
  <si>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</si>
  <si>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</si>
  <si>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</si>
  <si>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</si>
  <si>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</si>
  <si>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</si>
  <si>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</si>
  <si>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</si>
  <si>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</si>
  <si>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</si>
  <si>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</si>
  <si>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</si>
  <si>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</si>
  <si>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</si>
  <si>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</si>
  <si>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</si>
  <si>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</si>
  <si>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</si>
  <si>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</si>
  <si>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</si>
  <si>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</si>
  <si>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</si>
  <si>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</si>
  <si>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</si>
  <si>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</si>
  <si>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</si>
  <si>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</si>
  <si>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</si>
  <si>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</si>
  <si>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</si>
  <si>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</si>
  <si>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</si>
  <si>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</si>
  <si>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</si>
  <si>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</si>
  <si>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</si>
  <si>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</si>
  <si>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</si>
  <si>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</si>
  <si>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</si>
  <si>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</si>
  <si>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</si>
  <si>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</si>
  <si>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</si>
  <si>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</si>
  <si>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</si>
  <si>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</si>
  <si>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</si>
  <si>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</si>
  <si>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</si>
  <si>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</si>
  <si>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</si>
  <si>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</si>
  <si>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</si>
  <si>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</si>
  <si>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</si>
  <si>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</si>
  <si>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</si>
  <si>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</si>
  <si>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</si>
  <si>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</si>
  <si>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</si>
  <si>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</si>
  <si>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</si>
  <si>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</si>
  <si>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</si>
  <si>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</si>
  <si>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</si>
  <si>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</si>
  <si>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</si>
  <si>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</si>
  <si>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</si>
  <si>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</si>
  <si>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</si>
  <si>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</si>
  <si>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</si>
  <si>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</si>
  <si>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</si>
  <si>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</si>
  <si>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</si>
  <si>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</si>
  <si>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</si>
  <si>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</si>
  <si>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</si>
  <si>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</si>
  <si>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</si>
  <si>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</si>
  <si>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</si>
  <si>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</si>
  <si>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</si>
  <si>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</si>
  <si>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</si>
  <si>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</si>
  <si>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</si>
  <si>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</si>
  <si>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</si>
  <si>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</si>
  <si>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</si>
  <si>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</si>
  <si>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</si>
  <si>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</si>
  <si>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</si>
  <si>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</si>
  <si>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</si>
  <si>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</si>
  <si>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</si>
  <si>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</si>
  <si>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</si>
  <si>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</si>
  <si>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</si>
  <si>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</si>
  <si>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</si>
  <si>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</si>
  <si>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</si>
  <si>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</si>
  <si>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</si>
  <si>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</si>
  <si>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</si>
  <si>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</si>
  <si>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</si>
  <si>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</si>
  <si>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</si>
  <si>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</si>
  <si>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</si>
  <si>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</si>
  <si>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</si>
  <si>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</si>
  <si>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</si>
  <si>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</si>
  <si>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</si>
  <si>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</si>
  <si>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</si>
  <si>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</si>
  <si>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</si>
  <si>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</si>
  <si>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</si>
  <si>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</si>
  <si>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</si>
  <si>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</si>
  <si>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</si>
  <si>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</si>
  <si>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</si>
  <si>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</si>
  <si>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</si>
  <si>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</si>
  <si>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</si>
  <si>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</si>
  <si>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</si>
  <si>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</si>
  <si>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</si>
  <si>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</si>
  <si>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</si>
  <si>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</si>
  <si>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</si>
  <si>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</si>
  <si>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</si>
  <si>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</si>
  <si>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</si>
  <si>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</si>
  <si>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</si>
  <si>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</si>
  <si>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</si>
  <si>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</si>
  <si>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</si>
  <si>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</si>
  <si>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</si>
  <si>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</si>
  <si>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</si>
  <si>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</si>
  <si>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</si>
  <si>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</si>
  <si>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</si>
  <si>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</si>
  <si>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</si>
  <si>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</si>
  <si>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</si>
  <si>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</si>
  <si>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</si>
  <si>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</si>
  <si>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</si>
  <si>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</si>
  <si>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</si>
  <si>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</si>
  <si>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</si>
  <si>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</si>
  <si>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</si>
  <si>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</si>
  <si>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</si>
  <si>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</si>
  <si>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</si>
  <si>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</si>
  <si>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</si>
  <si>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</si>
  <si>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</si>
  <si>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</si>
  <si>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</si>
  <si>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</si>
  <si>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</si>
  <si>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</si>
  <si>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</si>
  <si>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</si>
  <si>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</si>
  <si>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</si>
  <si>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</si>
  <si>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</si>
  <si>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</si>
  <si>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</si>
  <si>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</si>
  <si>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</si>
  <si>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</si>
  <si>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</si>
  <si>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</si>
  <si>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</si>
  <si>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</si>
  <si>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</si>
  <si>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</si>
  <si>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</si>
  <si>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</si>
  <si>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</si>
  <si>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</si>
  <si>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</si>
  <si>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</si>
  <si>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</si>
  <si>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</si>
  <si>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</si>
  <si>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</si>
  <si>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</si>
  <si>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</si>
  <si>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</si>
  <si>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</si>
  <si>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</si>
  <si>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</si>
  <si>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</si>
  <si>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</si>
  <si>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</si>
  <si>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</si>
  <si>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</si>
  <si>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</si>
  <si>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</si>
  <si>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</si>
  <si>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</si>
  <si>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</si>
  <si>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</si>
  <si>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</si>
  <si>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</si>
  <si>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</si>
  <si>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</si>
  <si>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</si>
  <si>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</si>
  <si>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</si>
  <si>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</si>
  <si>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</si>
  <si>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</si>
  <si>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73001</t>
  </si>
  <si>
    <t>ALKEN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</si>
  <si>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</si>
  <si>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</si>
  <si>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</si>
  <si>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</si>
  <si>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</si>
  <si>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</si>
  <si>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</si>
  <si>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Brouwerijen Alken-Maes nv</t>
  </si>
  <si>
    <t>Blarenberglaan 10 , 2800 Mechelen</t>
  </si>
  <si>
    <t xml:space="preserve">WKK-0258 Brouwerijen Alken-Maes </t>
  </si>
  <si>
    <t>interne verbrandingsmotor</t>
  </si>
  <si>
    <t>WKK interne verbrandinsgmotor (gas)</t>
  </si>
  <si>
    <t>Meerdegatstraat 151 , 3570 Alken</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</si>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</sst>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73001</v>
      </c>
      <c r="B6" s="396"/>
      <c r="C6" s="397"/>
    </row>
    <row r="7" spans="1:7" s="394" customFormat="1" ht="15.75" customHeight="1">
      <c r="A7" s="398" t="str">
        <f>txtMunicipality</f>
        <v>ALKEN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9791.396999999999</v>
      </c>
      <c r="D10" s="687">
        <f ca="1">tertiair!C16</f>
        <v>0</v>
      </c>
      <c r="E10" s="687">
        <f ca="1">tertiair!D16</f>
        <v>7111.5177320000003</v>
      </c>
      <c r="F10" s="687">
        <f>tertiair!E16</f>
        <v>163.22483299172663</v>
      </c>
      <c r="G10" s="687">
        <f ca="1">tertiair!F16</f>
        <v>1685.7805908274802</v>
      </c>
      <c r="H10" s="687">
        <f>tertiair!G16</f>
        <v>0</v>
      </c>
      <c r="I10" s="687">
        <f>tertiair!H16</f>
        <v>0</v>
      </c>
      <c r="J10" s="687">
        <f>tertiair!I16</f>
        <v>0</v>
      </c>
      <c r="K10" s="687">
        <f>tertiair!J16</f>
        <v>0</v>
      </c>
      <c r="L10" s="687">
        <f>tertiair!K16</f>
        <v>0</v>
      </c>
      <c r="M10" s="687">
        <f ca="1">tertiair!L16</f>
        <v>0</v>
      </c>
      <c r="N10" s="687">
        <f>tertiair!M16</f>
        <v>0</v>
      </c>
      <c r="O10" s="687">
        <f ca="1">tertiair!N16</f>
        <v>307.08060293377633</v>
      </c>
      <c r="P10" s="687">
        <f>tertiair!O16</f>
        <v>1.5633333333333335</v>
      </c>
      <c r="Q10" s="688">
        <f>tertiair!P16</f>
        <v>19.066666666666666</v>
      </c>
      <c r="R10" s="690">
        <f ca="1">SUM(C10:Q10)</f>
        <v>19079.630758752977</v>
      </c>
      <c r="S10" s="67"/>
    </row>
    <row r="11" spans="1:19" s="456" customFormat="1">
      <c r="A11" s="802" t="s">
        <v>225</v>
      </c>
      <c r="B11" s="807"/>
      <c r="C11" s="687">
        <f>huishoudens!B8</f>
        <v>22218.992586460041</v>
      </c>
      <c r="D11" s="687">
        <f>huishoudens!C8</f>
        <v>0</v>
      </c>
      <c r="E11" s="687">
        <f>huishoudens!D8</f>
        <v>25053.153730000002</v>
      </c>
      <c r="F11" s="687">
        <f>huishoudens!E8</f>
        <v>1221.1710054177445</v>
      </c>
      <c r="G11" s="687">
        <f>huishoudens!F8</f>
        <v>53014.896125978354</v>
      </c>
      <c r="H11" s="687">
        <f>huishoudens!G8</f>
        <v>0</v>
      </c>
      <c r="I11" s="687">
        <f>huishoudens!H8</f>
        <v>0</v>
      </c>
      <c r="J11" s="687">
        <f>huishoudens!I8</f>
        <v>0</v>
      </c>
      <c r="K11" s="687">
        <f>huishoudens!J8</f>
        <v>0</v>
      </c>
      <c r="L11" s="687">
        <f>huishoudens!K8</f>
        <v>0</v>
      </c>
      <c r="M11" s="687">
        <f>huishoudens!L8</f>
        <v>0</v>
      </c>
      <c r="N11" s="687">
        <f>huishoudens!M8</f>
        <v>0</v>
      </c>
      <c r="O11" s="687">
        <f>huishoudens!N8</f>
        <v>5683.950317168119</v>
      </c>
      <c r="P11" s="687">
        <f>huishoudens!O8</f>
        <v>53.153333333333336</v>
      </c>
      <c r="Q11" s="688">
        <f>huishoudens!P8</f>
        <v>343.2</v>
      </c>
      <c r="R11" s="690">
        <f>SUM(C11:Q11)</f>
        <v>107588.51709835758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40157.149999999994</v>
      </c>
      <c r="D13" s="687">
        <f>industrie!C18</f>
        <v>1607.1428571428571</v>
      </c>
      <c r="E13" s="687">
        <f>industrie!D18</f>
        <v>42925.753354000008</v>
      </c>
      <c r="F13" s="687">
        <f>industrie!E18</f>
        <v>551.39403744218112</v>
      </c>
      <c r="G13" s="687">
        <f>industrie!F18</f>
        <v>22043.148239923212</v>
      </c>
      <c r="H13" s="687">
        <f>industrie!G18</f>
        <v>0</v>
      </c>
      <c r="I13" s="687">
        <f>industrie!H18</f>
        <v>0</v>
      </c>
      <c r="J13" s="687">
        <f>industrie!I18</f>
        <v>0</v>
      </c>
      <c r="K13" s="687">
        <f>industrie!J18</f>
        <v>63.753268607568522</v>
      </c>
      <c r="L13" s="687">
        <f>industrie!K18</f>
        <v>0</v>
      </c>
      <c r="M13" s="687">
        <f>industrie!L18</f>
        <v>0</v>
      </c>
      <c r="N13" s="687">
        <f>industrie!M18</f>
        <v>0</v>
      </c>
      <c r="O13" s="687">
        <f>industrie!N18</f>
        <v>0</v>
      </c>
      <c r="P13" s="687">
        <f>industrie!O18</f>
        <v>0</v>
      </c>
      <c r="Q13" s="688">
        <f>industrie!P18</f>
        <v>0</v>
      </c>
      <c r="R13" s="690">
        <f>SUM(C13:Q13)</f>
        <v>107348.34175711582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72167.539586460043</v>
      </c>
      <c r="D16" s="720">
        <f t="shared" ref="D16:R16" ca="1" si="0">SUM(D9:D15)</f>
        <v>1607.1428571428571</v>
      </c>
      <c r="E16" s="720">
        <f t="shared" ca="1" si="0"/>
        <v>75090.424816000013</v>
      </c>
      <c r="F16" s="720">
        <f t="shared" si="0"/>
        <v>1935.7898758516521</v>
      </c>
      <c r="G16" s="720">
        <f t="shared" ca="1" si="0"/>
        <v>76743.824956729048</v>
      </c>
      <c r="H16" s="720">
        <f t="shared" si="0"/>
        <v>0</v>
      </c>
      <c r="I16" s="720">
        <f t="shared" si="0"/>
        <v>0</v>
      </c>
      <c r="J16" s="720">
        <f t="shared" si="0"/>
        <v>0</v>
      </c>
      <c r="K16" s="720">
        <f t="shared" si="0"/>
        <v>63.753268607568522</v>
      </c>
      <c r="L16" s="720">
        <f t="shared" si="0"/>
        <v>0</v>
      </c>
      <c r="M16" s="720">
        <f t="shared" ca="1" si="0"/>
        <v>0</v>
      </c>
      <c r="N16" s="720">
        <f t="shared" si="0"/>
        <v>0</v>
      </c>
      <c r="O16" s="720">
        <f t="shared" ca="1" si="0"/>
        <v>5991.0309201018954</v>
      </c>
      <c r="P16" s="720">
        <f t="shared" si="0"/>
        <v>54.716666666666669</v>
      </c>
      <c r="Q16" s="720">
        <f t="shared" si="0"/>
        <v>362.26666666666665</v>
      </c>
      <c r="R16" s="720">
        <f t="shared" ca="1" si="0"/>
        <v>234016.48961422639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833.02209035360806</v>
      </c>
      <c r="I19" s="687">
        <f>transport!H54</f>
        <v>0</v>
      </c>
      <c r="J19" s="687">
        <f>transport!I54</f>
        <v>0</v>
      </c>
      <c r="K19" s="687">
        <f>transport!J54</f>
        <v>0</v>
      </c>
      <c r="L19" s="687">
        <f>transport!K54</f>
        <v>0</v>
      </c>
      <c r="M19" s="687">
        <f>transport!L54</f>
        <v>0</v>
      </c>
      <c r="N19" s="687">
        <f>transport!M54</f>
        <v>35.508112666823152</v>
      </c>
      <c r="O19" s="687">
        <f>transport!N54</f>
        <v>0</v>
      </c>
      <c r="P19" s="687">
        <f>transport!O54</f>
        <v>0</v>
      </c>
      <c r="Q19" s="688">
        <f>transport!P54</f>
        <v>0</v>
      </c>
      <c r="R19" s="690">
        <f>SUM(C19:Q19)</f>
        <v>868.53020302043126</v>
      </c>
      <c r="S19" s="67"/>
    </row>
    <row r="20" spans="1:19" s="456" customFormat="1">
      <c r="A20" s="802" t="s">
        <v>307</v>
      </c>
      <c r="B20" s="807"/>
      <c r="C20" s="687">
        <f>transport!B14</f>
        <v>0.79919081537059145</v>
      </c>
      <c r="D20" s="687">
        <f>transport!C14</f>
        <v>0</v>
      </c>
      <c r="E20" s="687">
        <f>transport!D14</f>
        <v>3.8952623162664217</v>
      </c>
      <c r="F20" s="687">
        <f>transport!E14</f>
        <v>396.08181564196451</v>
      </c>
      <c r="G20" s="687">
        <f>transport!F14</f>
        <v>0</v>
      </c>
      <c r="H20" s="687">
        <f>transport!G14</f>
        <v>65295.08380621102</v>
      </c>
      <c r="I20" s="687">
        <f>transport!H14</f>
        <v>12974.768821917078</v>
      </c>
      <c r="J20" s="687">
        <f>transport!I14</f>
        <v>0</v>
      </c>
      <c r="K20" s="687">
        <f>transport!J14</f>
        <v>0</v>
      </c>
      <c r="L20" s="687">
        <f>transport!K14</f>
        <v>0</v>
      </c>
      <c r="M20" s="687">
        <f>transport!L14</f>
        <v>0</v>
      </c>
      <c r="N20" s="687">
        <f>transport!M14</f>
        <v>3419.8708783830134</v>
      </c>
      <c r="O20" s="687">
        <f>transport!N14</f>
        <v>0</v>
      </c>
      <c r="P20" s="687">
        <f>transport!O14</f>
        <v>0</v>
      </c>
      <c r="Q20" s="688">
        <f>transport!P14</f>
        <v>0</v>
      </c>
      <c r="R20" s="690">
        <f>SUM(C20:Q20)</f>
        <v>82090.499775284712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0.79919081537059145</v>
      </c>
      <c r="D22" s="805">
        <f t="shared" ref="D22:R22" si="1">SUM(D18:D21)</f>
        <v>0</v>
      </c>
      <c r="E22" s="805">
        <f t="shared" si="1"/>
        <v>3.8952623162664217</v>
      </c>
      <c r="F22" s="805">
        <f t="shared" si="1"/>
        <v>396.08181564196451</v>
      </c>
      <c r="G22" s="805">
        <f t="shared" si="1"/>
        <v>0</v>
      </c>
      <c r="H22" s="805">
        <f t="shared" si="1"/>
        <v>66128.105896564623</v>
      </c>
      <c r="I22" s="805">
        <f t="shared" si="1"/>
        <v>12974.768821917078</v>
      </c>
      <c r="J22" s="805">
        <f t="shared" si="1"/>
        <v>0</v>
      </c>
      <c r="K22" s="805">
        <f t="shared" si="1"/>
        <v>0</v>
      </c>
      <c r="L22" s="805">
        <f t="shared" si="1"/>
        <v>0</v>
      </c>
      <c r="M22" s="805">
        <f t="shared" si="1"/>
        <v>0</v>
      </c>
      <c r="N22" s="805">
        <f t="shared" si="1"/>
        <v>3455.3789910498367</v>
      </c>
      <c r="O22" s="805">
        <f t="shared" si="1"/>
        <v>0</v>
      </c>
      <c r="P22" s="805">
        <f t="shared" si="1"/>
        <v>0</v>
      </c>
      <c r="Q22" s="805">
        <f t="shared" si="1"/>
        <v>0</v>
      </c>
      <c r="R22" s="805">
        <f t="shared" si="1"/>
        <v>82959.029978305145</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2725.9430000000002</v>
      </c>
      <c r="D24" s="687">
        <f>+landbouw!C8</f>
        <v>0</v>
      </c>
      <c r="E24" s="687">
        <f>+landbouw!D8</f>
        <v>83.597360000000009</v>
      </c>
      <c r="F24" s="687">
        <f>+landbouw!E8</f>
        <v>28.546665238593633</v>
      </c>
      <c r="G24" s="687">
        <f>+landbouw!F8</f>
        <v>11669.107316783678</v>
      </c>
      <c r="H24" s="687">
        <f>+landbouw!G8</f>
        <v>0</v>
      </c>
      <c r="I24" s="687">
        <f>+landbouw!H8</f>
        <v>0</v>
      </c>
      <c r="J24" s="687">
        <f>+landbouw!I8</f>
        <v>0</v>
      </c>
      <c r="K24" s="687">
        <f>+landbouw!J8</f>
        <v>243.45114294392846</v>
      </c>
      <c r="L24" s="687">
        <f>+landbouw!K8</f>
        <v>0</v>
      </c>
      <c r="M24" s="687">
        <f>+landbouw!L8</f>
        <v>0</v>
      </c>
      <c r="N24" s="687">
        <f>+landbouw!M8</f>
        <v>0</v>
      </c>
      <c r="O24" s="687">
        <f>+landbouw!N8</f>
        <v>0</v>
      </c>
      <c r="P24" s="687">
        <f>+landbouw!O8</f>
        <v>0</v>
      </c>
      <c r="Q24" s="688">
        <f>+landbouw!P8</f>
        <v>0</v>
      </c>
      <c r="R24" s="690">
        <f>SUM(C24:Q24)</f>
        <v>14750.6454849662</v>
      </c>
      <c r="S24" s="67"/>
    </row>
    <row r="25" spans="1:19" s="456" customFormat="1" ht="15" thickBot="1">
      <c r="A25" s="824" t="s">
        <v>925</v>
      </c>
      <c r="B25" s="988"/>
      <c r="C25" s="989">
        <f>IF(Onbekend_ele_kWh="---",0,Onbekend_ele_kWh)/1000+IF(REST_rest_ele_kWh="---",0,REST_rest_ele_kWh)/1000</f>
        <v>1024.175</v>
      </c>
      <c r="D25" s="989"/>
      <c r="E25" s="989">
        <f>IF(onbekend_gas_kWh="---",0,onbekend_gas_kWh)/1000+IF(REST_rest_gas_kWh="---",0,REST_rest_gas_kWh)/1000</f>
        <v>959.221</v>
      </c>
      <c r="F25" s="989"/>
      <c r="G25" s="989"/>
      <c r="H25" s="989"/>
      <c r="I25" s="989"/>
      <c r="J25" s="989"/>
      <c r="K25" s="989"/>
      <c r="L25" s="989"/>
      <c r="M25" s="989"/>
      <c r="N25" s="989"/>
      <c r="O25" s="989"/>
      <c r="P25" s="989"/>
      <c r="Q25" s="990"/>
      <c r="R25" s="690">
        <f>SUM(C25:Q25)</f>
        <v>1983.396</v>
      </c>
      <c r="S25" s="67"/>
    </row>
    <row r="26" spans="1:19" s="456" customFormat="1" ht="15.75" thickBot="1">
      <c r="A26" s="693" t="s">
        <v>926</v>
      </c>
      <c r="B26" s="810"/>
      <c r="C26" s="805">
        <f>SUM(C24:C25)</f>
        <v>3750.1180000000004</v>
      </c>
      <c r="D26" s="805">
        <f t="shared" ref="D26:R26" si="2">SUM(D24:D25)</f>
        <v>0</v>
      </c>
      <c r="E26" s="805">
        <f t="shared" si="2"/>
        <v>1042.81836</v>
      </c>
      <c r="F26" s="805">
        <f t="shared" si="2"/>
        <v>28.546665238593633</v>
      </c>
      <c r="G26" s="805">
        <f t="shared" si="2"/>
        <v>11669.107316783678</v>
      </c>
      <c r="H26" s="805">
        <f t="shared" si="2"/>
        <v>0</v>
      </c>
      <c r="I26" s="805">
        <f t="shared" si="2"/>
        <v>0</v>
      </c>
      <c r="J26" s="805">
        <f t="shared" si="2"/>
        <v>0</v>
      </c>
      <c r="K26" s="805">
        <f t="shared" si="2"/>
        <v>243.45114294392846</v>
      </c>
      <c r="L26" s="805">
        <f t="shared" si="2"/>
        <v>0</v>
      </c>
      <c r="M26" s="805">
        <f t="shared" si="2"/>
        <v>0</v>
      </c>
      <c r="N26" s="805">
        <f t="shared" si="2"/>
        <v>0</v>
      </c>
      <c r="O26" s="805">
        <f t="shared" si="2"/>
        <v>0</v>
      </c>
      <c r="P26" s="805">
        <f t="shared" si="2"/>
        <v>0</v>
      </c>
      <c r="Q26" s="805">
        <f t="shared" si="2"/>
        <v>0</v>
      </c>
      <c r="R26" s="805">
        <f t="shared" si="2"/>
        <v>16734.041484966201</v>
      </c>
      <c r="S26" s="67"/>
    </row>
    <row r="27" spans="1:19" s="456" customFormat="1" ht="17.25" thickTop="1" thickBot="1">
      <c r="A27" s="694" t="s">
        <v>116</v>
      </c>
      <c r="B27" s="797"/>
      <c r="C27" s="695">
        <f ca="1">C22+C16+C26</f>
        <v>75918.456777275409</v>
      </c>
      <c r="D27" s="695">
        <f t="shared" ref="D27:R27" ca="1" si="3">D22+D16+D26</f>
        <v>1607.1428571428571</v>
      </c>
      <c r="E27" s="695">
        <f t="shared" ca="1" si="3"/>
        <v>76137.13843831628</v>
      </c>
      <c r="F27" s="695">
        <f t="shared" si="3"/>
        <v>2360.4183567322102</v>
      </c>
      <c r="G27" s="695">
        <f t="shared" ca="1" si="3"/>
        <v>88412.932273512721</v>
      </c>
      <c r="H27" s="695">
        <f t="shared" si="3"/>
        <v>66128.105896564623</v>
      </c>
      <c r="I27" s="695">
        <f t="shared" si="3"/>
        <v>12974.768821917078</v>
      </c>
      <c r="J27" s="695">
        <f t="shared" si="3"/>
        <v>0</v>
      </c>
      <c r="K27" s="695">
        <f t="shared" si="3"/>
        <v>307.204411551497</v>
      </c>
      <c r="L27" s="695">
        <f t="shared" si="3"/>
        <v>0</v>
      </c>
      <c r="M27" s="695">
        <f t="shared" ca="1" si="3"/>
        <v>0</v>
      </c>
      <c r="N27" s="695">
        <f t="shared" si="3"/>
        <v>3455.3789910498367</v>
      </c>
      <c r="O27" s="695">
        <f t="shared" ca="1" si="3"/>
        <v>5991.0309201018954</v>
      </c>
      <c r="P27" s="695">
        <f t="shared" si="3"/>
        <v>54.716666666666669</v>
      </c>
      <c r="Q27" s="695">
        <f t="shared" si="3"/>
        <v>362.26666666666665</v>
      </c>
      <c r="R27" s="695">
        <f t="shared" ca="1" si="3"/>
        <v>333709.56107749772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2043.8502584104683</v>
      </c>
      <c r="D40" s="687">
        <f ca="1">tertiair!C20</f>
        <v>0</v>
      </c>
      <c r="E40" s="687">
        <f ca="1">tertiair!D20</f>
        <v>1436.526581864</v>
      </c>
      <c r="F40" s="687">
        <f>tertiair!E20</f>
        <v>37.052037089121946</v>
      </c>
      <c r="G40" s="687">
        <f ca="1">tertiair!F20</f>
        <v>450.10341775093724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3967.5322951145272</v>
      </c>
    </row>
    <row r="41" spans="1:18">
      <c r="A41" s="815" t="s">
        <v>225</v>
      </c>
      <c r="B41" s="822"/>
      <c r="C41" s="687">
        <f ca="1">huishoudens!B12</f>
        <v>4637.9790074344492</v>
      </c>
      <c r="D41" s="687">
        <f ca="1">huishoudens!C12</f>
        <v>0</v>
      </c>
      <c r="E41" s="687">
        <f>huishoudens!D12</f>
        <v>5060.7370534600004</v>
      </c>
      <c r="F41" s="687">
        <f>huishoudens!E12</f>
        <v>277.20581822982803</v>
      </c>
      <c r="G41" s="687">
        <f>huishoudens!F12</f>
        <v>14154.977265636222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24130.8991447605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8382.3790828344445</v>
      </c>
      <c r="D43" s="687">
        <f ca="1">industrie!C22</f>
        <v>0</v>
      </c>
      <c r="E43" s="687">
        <f>industrie!D22</f>
        <v>8671.0021775080022</v>
      </c>
      <c r="F43" s="687">
        <f>industrie!E22</f>
        <v>125.16644649937511</v>
      </c>
      <c r="G43" s="687">
        <f>industrie!F22</f>
        <v>5885.5205800594977</v>
      </c>
      <c r="H43" s="687">
        <f>industrie!G22</f>
        <v>0</v>
      </c>
      <c r="I43" s="687">
        <f>industrie!H22</f>
        <v>0</v>
      </c>
      <c r="J43" s="687">
        <f>industrie!I22</f>
        <v>0</v>
      </c>
      <c r="K43" s="687">
        <f>industrie!J22</f>
        <v>22.568657087079256</v>
      </c>
      <c r="L43" s="687">
        <f>industrie!K22</f>
        <v>0</v>
      </c>
      <c r="M43" s="687">
        <f>industrie!L22</f>
        <v>0</v>
      </c>
      <c r="N43" s="687">
        <f>industrie!M22</f>
        <v>0</v>
      </c>
      <c r="O43" s="687">
        <f>industrie!N22</f>
        <v>0</v>
      </c>
      <c r="P43" s="687">
        <f>industrie!O22</f>
        <v>0</v>
      </c>
      <c r="Q43" s="762">
        <f>industrie!P22</f>
        <v>0</v>
      </c>
      <c r="R43" s="842">
        <f t="shared" ca="1" si="4"/>
        <v>23086.636943988397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15064.208348679362</v>
      </c>
      <c r="D46" s="720">
        <f t="shared" ref="D46:Q46" ca="1" si="5">SUM(D39:D45)</f>
        <v>0</v>
      </c>
      <c r="E46" s="720">
        <f t="shared" ca="1" si="5"/>
        <v>15168.265812832004</v>
      </c>
      <c r="F46" s="720">
        <f t="shared" si="5"/>
        <v>439.42430181832509</v>
      </c>
      <c r="G46" s="720">
        <f t="shared" ca="1" si="5"/>
        <v>20490.601263446657</v>
      </c>
      <c r="H46" s="720">
        <f t="shared" si="5"/>
        <v>0</v>
      </c>
      <c r="I46" s="720">
        <f t="shared" si="5"/>
        <v>0</v>
      </c>
      <c r="J46" s="720">
        <f t="shared" si="5"/>
        <v>0</v>
      </c>
      <c r="K46" s="720">
        <f t="shared" si="5"/>
        <v>22.568657087079256</v>
      </c>
      <c r="L46" s="720">
        <f t="shared" si="5"/>
        <v>0</v>
      </c>
      <c r="M46" s="720">
        <f t="shared" ca="1" si="5"/>
        <v>0</v>
      </c>
      <c r="N46" s="720">
        <f t="shared" si="5"/>
        <v>0</v>
      </c>
      <c r="O46" s="720">
        <f t="shared" ca="1" si="5"/>
        <v>0</v>
      </c>
      <c r="P46" s="720">
        <f t="shared" si="5"/>
        <v>0</v>
      </c>
      <c r="Q46" s="720">
        <f t="shared" si="5"/>
        <v>0</v>
      </c>
      <c r="R46" s="720">
        <f ca="1">SUM(R39:R45)</f>
        <v>51185.068383863429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222.41689812441336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222.41689812441336</v>
      </c>
    </row>
    <row r="50" spans="1:18">
      <c r="A50" s="818" t="s">
        <v>307</v>
      </c>
      <c r="B50" s="828"/>
      <c r="C50" s="995">
        <f ca="1">transport!B18</f>
        <v>0.16682260503934795</v>
      </c>
      <c r="D50" s="995">
        <f>transport!C18</f>
        <v>0</v>
      </c>
      <c r="E50" s="995">
        <f>transport!D18</f>
        <v>0.78684298788581719</v>
      </c>
      <c r="F50" s="995">
        <f>transport!E18</f>
        <v>89.91057215072594</v>
      </c>
      <c r="G50" s="995">
        <f>transport!F18</f>
        <v>0</v>
      </c>
      <c r="H50" s="995">
        <f>transport!G18</f>
        <v>17433.787376258344</v>
      </c>
      <c r="I50" s="995">
        <f>transport!H18</f>
        <v>3230.7174366573522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20755.369050659348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0.16682260503934795</v>
      </c>
      <c r="D52" s="720">
        <f t="shared" ref="D52:Q52" ca="1" si="6">SUM(D48:D51)</f>
        <v>0</v>
      </c>
      <c r="E52" s="720">
        <f t="shared" si="6"/>
        <v>0.78684298788581719</v>
      </c>
      <c r="F52" s="720">
        <f t="shared" si="6"/>
        <v>89.91057215072594</v>
      </c>
      <c r="G52" s="720">
        <f t="shared" si="6"/>
        <v>0</v>
      </c>
      <c r="H52" s="720">
        <f t="shared" si="6"/>
        <v>17656.204274382759</v>
      </c>
      <c r="I52" s="720">
        <f t="shared" si="6"/>
        <v>3230.7174366573522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20977.785948783763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569.01168494773617</v>
      </c>
      <c r="D54" s="995">
        <f ca="1">+landbouw!C12</f>
        <v>0</v>
      </c>
      <c r="E54" s="995">
        <f>+landbouw!D12</f>
        <v>16.886666720000004</v>
      </c>
      <c r="F54" s="995">
        <f>+landbouw!E12</f>
        <v>6.4800930091607549</v>
      </c>
      <c r="G54" s="995">
        <f>+landbouw!F12</f>
        <v>3115.6516535812425</v>
      </c>
      <c r="H54" s="995">
        <f>+landbouw!G12</f>
        <v>0</v>
      </c>
      <c r="I54" s="995">
        <f>+landbouw!H12</f>
        <v>0</v>
      </c>
      <c r="J54" s="995">
        <f>+landbouw!I12</f>
        <v>0</v>
      </c>
      <c r="K54" s="995">
        <f>+landbouw!J12</f>
        <v>86.181704602150674</v>
      </c>
      <c r="L54" s="995">
        <f>+landbouw!K12</f>
        <v>0</v>
      </c>
      <c r="M54" s="995">
        <f>+landbouw!L12</f>
        <v>0</v>
      </c>
      <c r="N54" s="995">
        <f>+landbouw!M12</f>
        <v>0</v>
      </c>
      <c r="O54" s="995">
        <f>+landbouw!N12</f>
        <v>0</v>
      </c>
      <c r="P54" s="995">
        <f>+landbouw!O12</f>
        <v>0</v>
      </c>
      <c r="Q54" s="996">
        <f>+landbouw!P12</f>
        <v>0</v>
      </c>
      <c r="R54" s="719">
        <f ca="1">SUM(C54:Q54)</f>
        <v>3794.2118028602899</v>
      </c>
    </row>
    <row r="55" spans="1:18" ht="15" thickBot="1">
      <c r="A55" s="818" t="s">
        <v>925</v>
      </c>
      <c r="B55" s="828"/>
      <c r="C55" s="995">
        <f ca="1">C25*'EF ele_warmte'!B12</f>
        <v>213.78566698986279</v>
      </c>
      <c r="D55" s="995"/>
      <c r="E55" s="995">
        <f>E25*EF_CO2_aardgas</f>
        <v>193.762642</v>
      </c>
      <c r="F55" s="995"/>
      <c r="G55" s="995"/>
      <c r="H55" s="995"/>
      <c r="I55" s="995"/>
      <c r="J55" s="995"/>
      <c r="K55" s="995"/>
      <c r="L55" s="995"/>
      <c r="M55" s="995"/>
      <c r="N55" s="995"/>
      <c r="O55" s="995"/>
      <c r="P55" s="995"/>
      <c r="Q55" s="996"/>
      <c r="R55" s="719">
        <f ca="1">SUM(C55:Q55)</f>
        <v>407.54830898986279</v>
      </c>
    </row>
    <row r="56" spans="1:18" ht="15.75" thickBot="1">
      <c r="A56" s="816" t="s">
        <v>926</v>
      </c>
      <c r="B56" s="829"/>
      <c r="C56" s="720">
        <f ca="1">SUM(C54:C55)</f>
        <v>782.79735193759893</v>
      </c>
      <c r="D56" s="720">
        <f t="shared" ref="D56:Q56" ca="1" si="7">SUM(D54:D55)</f>
        <v>0</v>
      </c>
      <c r="E56" s="720">
        <f t="shared" si="7"/>
        <v>210.64930871999999</v>
      </c>
      <c r="F56" s="720">
        <f t="shared" si="7"/>
        <v>6.4800930091607549</v>
      </c>
      <c r="G56" s="720">
        <f t="shared" si="7"/>
        <v>3115.6516535812425</v>
      </c>
      <c r="H56" s="720">
        <f t="shared" si="7"/>
        <v>0</v>
      </c>
      <c r="I56" s="720">
        <f t="shared" si="7"/>
        <v>0</v>
      </c>
      <c r="J56" s="720">
        <f t="shared" si="7"/>
        <v>0</v>
      </c>
      <c r="K56" s="720">
        <f t="shared" si="7"/>
        <v>86.181704602150674</v>
      </c>
      <c r="L56" s="720">
        <f t="shared" si="7"/>
        <v>0</v>
      </c>
      <c r="M56" s="720">
        <f t="shared" si="7"/>
        <v>0</v>
      </c>
      <c r="N56" s="720">
        <f t="shared" si="7"/>
        <v>0</v>
      </c>
      <c r="O56" s="720">
        <f t="shared" si="7"/>
        <v>0</v>
      </c>
      <c r="P56" s="720">
        <f t="shared" si="7"/>
        <v>0</v>
      </c>
      <c r="Q56" s="721">
        <f t="shared" si="7"/>
        <v>0</v>
      </c>
      <c r="R56" s="722">
        <f ca="1">SUM(R54:R55)</f>
        <v>4201.7601118501525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15847.172523222</v>
      </c>
      <c r="D61" s="728">
        <f t="shared" ref="D61:Q61" ca="1" si="8">D46+D52+D56</f>
        <v>0</v>
      </c>
      <c r="E61" s="728">
        <f t="shared" ca="1" si="8"/>
        <v>15379.701964539889</v>
      </c>
      <c r="F61" s="728">
        <f t="shared" si="8"/>
        <v>535.81496697821183</v>
      </c>
      <c r="G61" s="728">
        <f t="shared" ca="1" si="8"/>
        <v>23606.252917027901</v>
      </c>
      <c r="H61" s="728">
        <f t="shared" si="8"/>
        <v>17656.204274382759</v>
      </c>
      <c r="I61" s="728">
        <f t="shared" si="8"/>
        <v>3230.7174366573522</v>
      </c>
      <c r="J61" s="728">
        <f t="shared" si="8"/>
        <v>0</v>
      </c>
      <c r="K61" s="728">
        <f t="shared" si="8"/>
        <v>108.75036168922993</v>
      </c>
      <c r="L61" s="728">
        <f t="shared" si="8"/>
        <v>0</v>
      </c>
      <c r="M61" s="728">
        <f t="shared" ca="1" si="8"/>
        <v>0</v>
      </c>
      <c r="N61" s="728">
        <f t="shared" si="8"/>
        <v>0</v>
      </c>
      <c r="O61" s="728">
        <f t="shared" ca="1" si="8"/>
        <v>0</v>
      </c>
      <c r="P61" s="728">
        <f t="shared" si="8"/>
        <v>0</v>
      </c>
      <c r="Q61" s="728">
        <f t="shared" si="8"/>
        <v>0</v>
      </c>
      <c r="R61" s="728">
        <f ca="1">R46+R52+R56</f>
        <v>76364.614444497347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0.20873939218381896</v>
      </c>
      <c r="D63" s="772">
        <f t="shared" ca="1" si="9"/>
        <v>0</v>
      </c>
      <c r="E63" s="997">
        <f t="shared" ca="1" si="9"/>
        <v>0.20200000000000001</v>
      </c>
      <c r="F63" s="772">
        <f t="shared" si="9"/>
        <v>0.22700000000000004</v>
      </c>
      <c r="G63" s="772">
        <f t="shared" ca="1" si="9"/>
        <v>0.26700000000000007</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3086.7937762708752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1125</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1323.5294117647061</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4211.7937762708752</v>
      </c>
      <c r="C78" s="743">
        <f>SUM(C72:C77)</f>
        <v>0</v>
      </c>
      <c r="D78" s="744">
        <f t="shared" ref="D78:H78" si="10">SUM(D76:D77)</f>
        <v>0</v>
      </c>
      <c r="E78" s="744">
        <f t="shared" si="10"/>
        <v>0</v>
      </c>
      <c r="F78" s="744">
        <f t="shared" si="10"/>
        <v>0</v>
      </c>
      <c r="G78" s="744">
        <f t="shared" si="10"/>
        <v>0</v>
      </c>
      <c r="H78" s="744">
        <f t="shared" si="10"/>
        <v>0</v>
      </c>
      <c r="I78" s="744">
        <f>SUM(I76:I77)</f>
        <v>0</v>
      </c>
      <c r="J78" s="744">
        <f>SUM(J76:J77)</f>
        <v>1323.5294117647061</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1607.1428571428571</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1890.7563025210086</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1607.1428571428571</v>
      </c>
      <c r="C90" s="743">
        <f>SUM(C87:C89)</f>
        <v>0</v>
      </c>
      <c r="D90" s="743">
        <f t="shared" ref="D90:H90" si="12">SUM(D87:D89)</f>
        <v>0</v>
      </c>
      <c r="E90" s="743">
        <f t="shared" si="12"/>
        <v>0</v>
      </c>
      <c r="F90" s="743">
        <f t="shared" si="12"/>
        <v>0</v>
      </c>
      <c r="G90" s="743">
        <f t="shared" si="12"/>
        <v>0</v>
      </c>
      <c r="H90" s="743">
        <f t="shared" si="12"/>
        <v>0</v>
      </c>
      <c r="I90" s="743">
        <f>SUM(I87:I89)</f>
        <v>0</v>
      </c>
      <c r="J90" s="743">
        <f>SUM(J87:J89)</f>
        <v>1890.7563025210086</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22218.992586460041</v>
      </c>
      <c r="C4" s="460">
        <f>huishoudens!C8</f>
        <v>0</v>
      </c>
      <c r="D4" s="460">
        <f>huishoudens!D8</f>
        <v>25053.153730000002</v>
      </c>
      <c r="E4" s="460">
        <f>huishoudens!E8</f>
        <v>1221.1710054177445</v>
      </c>
      <c r="F4" s="460">
        <f>huishoudens!F8</f>
        <v>53014.896125978354</v>
      </c>
      <c r="G4" s="460">
        <f>huishoudens!G8</f>
        <v>0</v>
      </c>
      <c r="H4" s="460">
        <f>huishoudens!H8</f>
        <v>0</v>
      </c>
      <c r="I4" s="460">
        <f>huishoudens!I8</f>
        <v>0</v>
      </c>
      <c r="J4" s="460">
        <f>huishoudens!J8</f>
        <v>0</v>
      </c>
      <c r="K4" s="460">
        <f>huishoudens!K8</f>
        <v>0</v>
      </c>
      <c r="L4" s="460">
        <f>huishoudens!L8</f>
        <v>0</v>
      </c>
      <c r="M4" s="460">
        <f>huishoudens!M8</f>
        <v>0</v>
      </c>
      <c r="N4" s="460">
        <f>huishoudens!N8</f>
        <v>5683.950317168119</v>
      </c>
      <c r="O4" s="460">
        <f>huishoudens!O8</f>
        <v>53.153333333333336</v>
      </c>
      <c r="P4" s="461">
        <f>huishoudens!P8</f>
        <v>343.2</v>
      </c>
      <c r="Q4" s="462">
        <f>SUM(B4:P4)</f>
        <v>107588.51709835758</v>
      </c>
    </row>
    <row r="5" spans="1:17">
      <c r="A5" s="459" t="s">
        <v>156</v>
      </c>
      <c r="B5" s="460">
        <f ca="1">tertiair!B16</f>
        <v>9180.2189999999991</v>
      </c>
      <c r="C5" s="460">
        <f ca="1">tertiair!C16</f>
        <v>0</v>
      </c>
      <c r="D5" s="460">
        <f ca="1">tertiair!D16</f>
        <v>7111.5177320000003</v>
      </c>
      <c r="E5" s="460">
        <f>tertiair!E16</f>
        <v>163.22483299172663</v>
      </c>
      <c r="F5" s="460">
        <f ca="1">tertiair!F16</f>
        <v>1685.7805908274802</v>
      </c>
      <c r="G5" s="460">
        <f>tertiair!G16</f>
        <v>0</v>
      </c>
      <c r="H5" s="460">
        <f>tertiair!H16</f>
        <v>0</v>
      </c>
      <c r="I5" s="460">
        <f>tertiair!I16</f>
        <v>0</v>
      </c>
      <c r="J5" s="460">
        <f>tertiair!J16</f>
        <v>0</v>
      </c>
      <c r="K5" s="460">
        <f>tertiair!K16</f>
        <v>0</v>
      </c>
      <c r="L5" s="460">
        <f ca="1">tertiair!L16</f>
        <v>0</v>
      </c>
      <c r="M5" s="460">
        <f>tertiair!M16</f>
        <v>0</v>
      </c>
      <c r="N5" s="460">
        <f ca="1">tertiair!N16</f>
        <v>307.08060293377633</v>
      </c>
      <c r="O5" s="460">
        <f>tertiair!O16</f>
        <v>1.5633333333333335</v>
      </c>
      <c r="P5" s="461">
        <f>tertiair!P16</f>
        <v>19.066666666666666</v>
      </c>
      <c r="Q5" s="459">
        <f t="shared" ref="Q5:Q14" ca="1" si="0">SUM(B5:P5)</f>
        <v>18468.452758752977</v>
      </c>
    </row>
    <row r="6" spans="1:17">
      <c r="A6" s="459" t="s">
        <v>194</v>
      </c>
      <c r="B6" s="460">
        <f>'openbare verlichting'!B8</f>
        <v>611.178</v>
      </c>
      <c r="C6" s="460"/>
      <c r="D6" s="460"/>
      <c r="E6" s="460"/>
      <c r="F6" s="460"/>
      <c r="G6" s="460"/>
      <c r="H6" s="460"/>
      <c r="I6" s="460"/>
      <c r="J6" s="460"/>
      <c r="K6" s="460"/>
      <c r="L6" s="460"/>
      <c r="M6" s="460"/>
      <c r="N6" s="460"/>
      <c r="O6" s="460"/>
      <c r="P6" s="461"/>
      <c r="Q6" s="459">
        <f t="shared" si="0"/>
        <v>611.178</v>
      </c>
    </row>
    <row r="7" spans="1:17">
      <c r="A7" s="459" t="s">
        <v>112</v>
      </c>
      <c r="B7" s="460">
        <f>landbouw!B8</f>
        <v>2725.9430000000002</v>
      </c>
      <c r="C7" s="460">
        <f>landbouw!C8</f>
        <v>0</v>
      </c>
      <c r="D7" s="460">
        <f>landbouw!D8</f>
        <v>83.597360000000009</v>
      </c>
      <c r="E7" s="460">
        <f>landbouw!E8</f>
        <v>28.546665238593633</v>
      </c>
      <c r="F7" s="460">
        <f>landbouw!F8</f>
        <v>11669.107316783678</v>
      </c>
      <c r="G7" s="460">
        <f>landbouw!G8</f>
        <v>0</v>
      </c>
      <c r="H7" s="460">
        <f>landbouw!H8</f>
        <v>0</v>
      </c>
      <c r="I7" s="460">
        <f>landbouw!I8</f>
        <v>0</v>
      </c>
      <c r="J7" s="460">
        <f>landbouw!J8</f>
        <v>243.45114294392846</v>
      </c>
      <c r="K7" s="460">
        <f>landbouw!K8</f>
        <v>0</v>
      </c>
      <c r="L7" s="460">
        <f>landbouw!L8</f>
        <v>0</v>
      </c>
      <c r="M7" s="460">
        <f>landbouw!M8</f>
        <v>0</v>
      </c>
      <c r="N7" s="460">
        <f>landbouw!N8</f>
        <v>0</v>
      </c>
      <c r="O7" s="460">
        <f>landbouw!O8</f>
        <v>0</v>
      </c>
      <c r="P7" s="461">
        <f>landbouw!P8</f>
        <v>0</v>
      </c>
      <c r="Q7" s="459">
        <f t="shared" si="0"/>
        <v>14750.6454849662</v>
      </c>
    </row>
    <row r="8" spans="1:17">
      <c r="A8" s="459" t="s">
        <v>655</v>
      </c>
      <c r="B8" s="460">
        <f>industrie!B18</f>
        <v>40157.149999999994</v>
      </c>
      <c r="C8" s="460">
        <f>industrie!C18</f>
        <v>1607.1428571428571</v>
      </c>
      <c r="D8" s="460">
        <f>industrie!D18</f>
        <v>42925.753354000008</v>
      </c>
      <c r="E8" s="460">
        <f>industrie!E18</f>
        <v>551.39403744218112</v>
      </c>
      <c r="F8" s="460">
        <f>industrie!F18</f>
        <v>22043.148239923212</v>
      </c>
      <c r="G8" s="460">
        <f>industrie!G18</f>
        <v>0</v>
      </c>
      <c r="H8" s="460">
        <f>industrie!H18</f>
        <v>0</v>
      </c>
      <c r="I8" s="460">
        <f>industrie!I18</f>
        <v>0</v>
      </c>
      <c r="J8" s="460">
        <f>industrie!J18</f>
        <v>63.753268607568522</v>
      </c>
      <c r="K8" s="460">
        <f>industrie!K18</f>
        <v>0</v>
      </c>
      <c r="L8" s="460">
        <f>industrie!L18</f>
        <v>0</v>
      </c>
      <c r="M8" s="460">
        <f>industrie!M18</f>
        <v>0</v>
      </c>
      <c r="N8" s="460">
        <f>industrie!N18</f>
        <v>0</v>
      </c>
      <c r="O8" s="460">
        <f>industrie!O18</f>
        <v>0</v>
      </c>
      <c r="P8" s="461">
        <f>industrie!P18</f>
        <v>0</v>
      </c>
      <c r="Q8" s="459">
        <f t="shared" si="0"/>
        <v>107348.34175711582</v>
      </c>
    </row>
    <row r="9" spans="1:17" s="465" customFormat="1">
      <c r="A9" s="463" t="s">
        <v>573</v>
      </c>
      <c r="B9" s="464">
        <f>transport!B14</f>
        <v>0.79919081537059145</v>
      </c>
      <c r="C9" s="464">
        <f>transport!C14</f>
        <v>0</v>
      </c>
      <c r="D9" s="464">
        <f>transport!D14</f>
        <v>3.8952623162664217</v>
      </c>
      <c r="E9" s="464">
        <f>transport!E14</f>
        <v>396.08181564196451</v>
      </c>
      <c r="F9" s="464">
        <f>transport!F14</f>
        <v>0</v>
      </c>
      <c r="G9" s="464">
        <f>transport!G14</f>
        <v>65295.08380621102</v>
      </c>
      <c r="H9" s="464">
        <f>transport!H14</f>
        <v>12974.768821917078</v>
      </c>
      <c r="I9" s="464">
        <f>transport!I14</f>
        <v>0</v>
      </c>
      <c r="J9" s="464">
        <f>transport!J14</f>
        <v>0</v>
      </c>
      <c r="K9" s="464">
        <f>transport!K14</f>
        <v>0</v>
      </c>
      <c r="L9" s="464">
        <f>transport!L14</f>
        <v>0</v>
      </c>
      <c r="M9" s="464">
        <f>transport!M14</f>
        <v>3419.8708783830134</v>
      </c>
      <c r="N9" s="464">
        <f>transport!N14</f>
        <v>0</v>
      </c>
      <c r="O9" s="464">
        <f>transport!O14</f>
        <v>0</v>
      </c>
      <c r="P9" s="464">
        <f>transport!P14</f>
        <v>0</v>
      </c>
      <c r="Q9" s="463">
        <f>SUM(B9:P9)</f>
        <v>82090.499775284712</v>
      </c>
    </row>
    <row r="10" spans="1:17">
      <c r="A10" s="459" t="s">
        <v>563</v>
      </c>
      <c r="B10" s="460">
        <f>transport!B54</f>
        <v>0</v>
      </c>
      <c r="C10" s="460">
        <f>transport!C54</f>
        <v>0</v>
      </c>
      <c r="D10" s="460">
        <f>transport!D54</f>
        <v>0</v>
      </c>
      <c r="E10" s="460">
        <f>transport!E54</f>
        <v>0</v>
      </c>
      <c r="F10" s="460">
        <f>transport!F54</f>
        <v>0</v>
      </c>
      <c r="G10" s="460">
        <f>transport!G54</f>
        <v>833.02209035360806</v>
      </c>
      <c r="H10" s="460">
        <f>transport!H54</f>
        <v>0</v>
      </c>
      <c r="I10" s="460">
        <f>transport!I54</f>
        <v>0</v>
      </c>
      <c r="J10" s="460">
        <f>transport!J54</f>
        <v>0</v>
      </c>
      <c r="K10" s="460">
        <f>transport!K54</f>
        <v>0</v>
      </c>
      <c r="L10" s="460">
        <f>transport!L54</f>
        <v>0</v>
      </c>
      <c r="M10" s="460">
        <f>transport!M54</f>
        <v>35.508112666823152</v>
      </c>
      <c r="N10" s="460">
        <f>transport!N54</f>
        <v>0</v>
      </c>
      <c r="O10" s="460">
        <f>transport!O54</f>
        <v>0</v>
      </c>
      <c r="P10" s="461">
        <f>transport!P54</f>
        <v>0</v>
      </c>
      <c r="Q10" s="459">
        <f t="shared" si="0"/>
        <v>868.53020302043126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1024.175</v>
      </c>
      <c r="C14" s="467"/>
      <c r="D14" s="467">
        <f>'SEAP template'!E25</f>
        <v>959.221</v>
      </c>
      <c r="E14" s="467"/>
      <c r="F14" s="467"/>
      <c r="G14" s="467"/>
      <c r="H14" s="467"/>
      <c r="I14" s="467"/>
      <c r="J14" s="467"/>
      <c r="K14" s="467"/>
      <c r="L14" s="467"/>
      <c r="M14" s="467"/>
      <c r="N14" s="467"/>
      <c r="O14" s="467"/>
      <c r="P14" s="468"/>
      <c r="Q14" s="459">
        <f t="shared" si="0"/>
        <v>1983.396</v>
      </c>
    </row>
    <row r="15" spans="1:17" s="472" customFormat="1">
      <c r="A15" s="469" t="s">
        <v>567</v>
      </c>
      <c r="B15" s="470">
        <f ca="1">SUM(B4:B14)</f>
        <v>75918.456777275409</v>
      </c>
      <c r="C15" s="470">
        <f t="shared" ref="C15:Q15" ca="1" si="1">SUM(C4:C14)</f>
        <v>1607.1428571428571</v>
      </c>
      <c r="D15" s="470">
        <f t="shared" ca="1" si="1"/>
        <v>76137.13843831628</v>
      </c>
      <c r="E15" s="470">
        <f t="shared" si="1"/>
        <v>2360.4183567322102</v>
      </c>
      <c r="F15" s="470">
        <f t="shared" ca="1" si="1"/>
        <v>88412.932273512735</v>
      </c>
      <c r="G15" s="470">
        <f t="shared" si="1"/>
        <v>66128.105896564623</v>
      </c>
      <c r="H15" s="470">
        <f t="shared" si="1"/>
        <v>12974.768821917078</v>
      </c>
      <c r="I15" s="470">
        <f t="shared" si="1"/>
        <v>0</v>
      </c>
      <c r="J15" s="470">
        <f t="shared" si="1"/>
        <v>307.204411551497</v>
      </c>
      <c r="K15" s="470">
        <f t="shared" si="1"/>
        <v>0</v>
      </c>
      <c r="L15" s="470">
        <f t="shared" ca="1" si="1"/>
        <v>0</v>
      </c>
      <c r="M15" s="470">
        <f t="shared" si="1"/>
        <v>3455.3789910498367</v>
      </c>
      <c r="N15" s="470">
        <f t="shared" ca="1" si="1"/>
        <v>5991.0309201018954</v>
      </c>
      <c r="O15" s="470">
        <f t="shared" si="1"/>
        <v>54.716666666666669</v>
      </c>
      <c r="P15" s="470">
        <f t="shared" si="1"/>
        <v>362.26666666666665</v>
      </c>
      <c r="Q15" s="470">
        <f t="shared" ca="1" si="1"/>
        <v>333709.56107749772</v>
      </c>
    </row>
    <row r="17" spans="1:17">
      <c r="A17" s="473" t="s">
        <v>568</v>
      </c>
      <c r="B17" s="777">
        <f ca="1">huishoudens!B10</f>
        <v>0.20873939218381898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4637.9790074344492</v>
      </c>
      <c r="C22" s="460">
        <f t="shared" ref="C22:C32" ca="1" si="3">C4*$C$17</f>
        <v>0</v>
      </c>
      <c r="D22" s="460">
        <f t="shared" ref="D22:D32" si="4">D4*$D$17</f>
        <v>5060.7370534600004</v>
      </c>
      <c r="E22" s="460">
        <f t="shared" ref="E22:E32" si="5">E4*$E$17</f>
        <v>277.20581822982803</v>
      </c>
      <c r="F22" s="460">
        <f t="shared" ref="F22:F32" si="6">F4*$F$17</f>
        <v>14154.977265636222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24130.8991447605</v>
      </c>
    </row>
    <row r="23" spans="1:17">
      <c r="A23" s="459" t="s">
        <v>156</v>
      </c>
      <c r="B23" s="460">
        <f t="shared" ca="1" si="2"/>
        <v>1916.2733341743462</v>
      </c>
      <c r="C23" s="460">
        <f t="shared" ca="1" si="3"/>
        <v>0</v>
      </c>
      <c r="D23" s="460">
        <f t="shared" ca="1" si="4"/>
        <v>1436.526581864</v>
      </c>
      <c r="E23" s="460">
        <f t="shared" si="5"/>
        <v>37.052037089121946</v>
      </c>
      <c r="F23" s="460">
        <f t="shared" ca="1" si="6"/>
        <v>450.10341775093724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3839.9553708784051</v>
      </c>
    </row>
    <row r="24" spans="1:17">
      <c r="A24" s="459" t="s">
        <v>194</v>
      </c>
      <c r="B24" s="460">
        <f t="shared" ca="1" si="2"/>
        <v>127.57692423612212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127.57692423612212</v>
      </c>
    </row>
    <row r="25" spans="1:17">
      <c r="A25" s="459" t="s">
        <v>112</v>
      </c>
      <c r="B25" s="460">
        <f t="shared" ca="1" si="2"/>
        <v>569.01168494773617</v>
      </c>
      <c r="C25" s="460">
        <f t="shared" ca="1" si="3"/>
        <v>0</v>
      </c>
      <c r="D25" s="460">
        <f t="shared" si="4"/>
        <v>16.886666720000004</v>
      </c>
      <c r="E25" s="460">
        <f t="shared" si="5"/>
        <v>6.4800930091607549</v>
      </c>
      <c r="F25" s="460">
        <f t="shared" si="6"/>
        <v>3115.6516535812425</v>
      </c>
      <c r="G25" s="460">
        <f t="shared" si="7"/>
        <v>0</v>
      </c>
      <c r="H25" s="460">
        <f t="shared" si="8"/>
        <v>0</v>
      </c>
      <c r="I25" s="460">
        <f t="shared" si="9"/>
        <v>0</v>
      </c>
      <c r="J25" s="460">
        <f t="shared" si="10"/>
        <v>86.181704602150674</v>
      </c>
      <c r="K25" s="460">
        <f t="shared" si="11"/>
        <v>0</v>
      </c>
      <c r="L25" s="460">
        <f t="shared" si="12"/>
        <v>0</v>
      </c>
      <c r="M25" s="460">
        <f t="shared" si="13"/>
        <v>0</v>
      </c>
      <c r="N25" s="460">
        <f t="shared" si="14"/>
        <v>0</v>
      </c>
      <c r="O25" s="460">
        <f t="shared" si="15"/>
        <v>0</v>
      </c>
      <c r="P25" s="461">
        <f t="shared" si="16"/>
        <v>0</v>
      </c>
      <c r="Q25" s="459">
        <f t="shared" ca="1" si="17"/>
        <v>3794.2118028602899</v>
      </c>
    </row>
    <row r="26" spans="1:17">
      <c r="A26" s="459" t="s">
        <v>655</v>
      </c>
      <c r="B26" s="460">
        <f t="shared" ca="1" si="2"/>
        <v>8382.3790828344445</v>
      </c>
      <c r="C26" s="460">
        <f t="shared" ca="1" si="3"/>
        <v>0</v>
      </c>
      <c r="D26" s="460">
        <f t="shared" si="4"/>
        <v>8671.0021775080022</v>
      </c>
      <c r="E26" s="460">
        <f t="shared" si="5"/>
        <v>125.16644649937511</v>
      </c>
      <c r="F26" s="460">
        <f t="shared" si="6"/>
        <v>5885.5205800594977</v>
      </c>
      <c r="G26" s="460">
        <f t="shared" si="7"/>
        <v>0</v>
      </c>
      <c r="H26" s="460">
        <f t="shared" si="8"/>
        <v>0</v>
      </c>
      <c r="I26" s="460">
        <f t="shared" si="9"/>
        <v>0</v>
      </c>
      <c r="J26" s="460">
        <f t="shared" si="10"/>
        <v>22.568657087079256</v>
      </c>
      <c r="K26" s="460">
        <f t="shared" si="11"/>
        <v>0</v>
      </c>
      <c r="L26" s="460">
        <f t="shared" si="12"/>
        <v>0</v>
      </c>
      <c r="M26" s="460">
        <f t="shared" si="13"/>
        <v>0</v>
      </c>
      <c r="N26" s="460">
        <f t="shared" si="14"/>
        <v>0</v>
      </c>
      <c r="O26" s="460">
        <f t="shared" si="15"/>
        <v>0</v>
      </c>
      <c r="P26" s="461">
        <f t="shared" si="16"/>
        <v>0</v>
      </c>
      <c r="Q26" s="459">
        <f t="shared" ca="1" si="17"/>
        <v>23086.636943988397</v>
      </c>
    </row>
    <row r="27" spans="1:17" s="465" customFormat="1">
      <c r="A27" s="463" t="s">
        <v>573</v>
      </c>
      <c r="B27" s="771">
        <f t="shared" ca="1" si="2"/>
        <v>0.16682260503934795</v>
      </c>
      <c r="C27" s="464">
        <f t="shared" ca="1" si="3"/>
        <v>0</v>
      </c>
      <c r="D27" s="464">
        <f t="shared" si="4"/>
        <v>0.78684298788581719</v>
      </c>
      <c r="E27" s="464">
        <f t="shared" si="5"/>
        <v>89.91057215072594</v>
      </c>
      <c r="F27" s="464">
        <f t="shared" si="6"/>
        <v>0</v>
      </c>
      <c r="G27" s="464">
        <f t="shared" si="7"/>
        <v>17433.787376258344</v>
      </c>
      <c r="H27" s="464">
        <f t="shared" si="8"/>
        <v>3230.7174366573522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20755.369050659348</v>
      </c>
    </row>
    <row r="28" spans="1:17">
      <c r="A28" s="459" t="s">
        <v>563</v>
      </c>
      <c r="B28" s="460">
        <f t="shared" ca="1" si="2"/>
        <v>0</v>
      </c>
      <c r="C28" s="460">
        <f t="shared" ca="1" si="3"/>
        <v>0</v>
      </c>
      <c r="D28" s="460">
        <f t="shared" si="4"/>
        <v>0</v>
      </c>
      <c r="E28" s="460">
        <f t="shared" si="5"/>
        <v>0</v>
      </c>
      <c r="F28" s="460">
        <f t="shared" si="6"/>
        <v>0</v>
      </c>
      <c r="G28" s="460">
        <f t="shared" si="7"/>
        <v>222.41689812441336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222.41689812441336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213.78566698986279</v>
      </c>
      <c r="C32" s="460">
        <f t="shared" ca="1" si="3"/>
        <v>0</v>
      </c>
      <c r="D32" s="460">
        <f t="shared" si="4"/>
        <v>193.762642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407.54830898986279</v>
      </c>
    </row>
    <row r="33" spans="1:17" s="472" customFormat="1">
      <c r="A33" s="469" t="s">
        <v>567</v>
      </c>
      <c r="B33" s="470">
        <f ca="1">SUM(B22:B32)</f>
        <v>15847.172523222</v>
      </c>
      <c r="C33" s="470">
        <f t="shared" ref="C33:Q33" ca="1" si="19">SUM(C22:C32)</f>
        <v>0</v>
      </c>
      <c r="D33" s="470">
        <f t="shared" ca="1" si="19"/>
        <v>15379.701964539887</v>
      </c>
      <c r="E33" s="470">
        <f t="shared" si="19"/>
        <v>535.81496697821183</v>
      </c>
      <c r="F33" s="470">
        <f t="shared" ca="1" si="19"/>
        <v>23606.252917027901</v>
      </c>
      <c r="G33" s="470">
        <f t="shared" si="19"/>
        <v>17656.204274382759</v>
      </c>
      <c r="H33" s="470">
        <f t="shared" si="19"/>
        <v>3230.7174366573522</v>
      </c>
      <c r="I33" s="470">
        <f t="shared" si="19"/>
        <v>0</v>
      </c>
      <c r="J33" s="470">
        <f t="shared" si="19"/>
        <v>108.75036168922993</v>
      </c>
      <c r="K33" s="470">
        <f t="shared" si="19"/>
        <v>0</v>
      </c>
      <c r="L33" s="470">
        <f t="shared" ca="1" si="19"/>
        <v>0</v>
      </c>
      <c r="M33" s="470">
        <f t="shared" si="19"/>
        <v>0</v>
      </c>
      <c r="N33" s="470">
        <f t="shared" ca="1" si="19"/>
        <v>0</v>
      </c>
      <c r="O33" s="470">
        <f t="shared" si="19"/>
        <v>0</v>
      </c>
      <c r="P33" s="470">
        <f t="shared" si="19"/>
        <v>0</v>
      </c>
      <c r="Q33" s="470">
        <f t="shared" ca="1" si="19"/>
        <v>76364.614444497347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3086.7937762708752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1125</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1323.5294117647061</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4211.7937762708752</v>
      </c>
      <c r="C10" s="1032">
        <f>SUM(C4:C9)</f>
        <v>0</v>
      </c>
      <c r="D10" s="1032">
        <f t="shared" ref="D10:H10" si="0">SUM(D8:D9)</f>
        <v>0</v>
      </c>
      <c r="E10" s="1032">
        <f t="shared" si="0"/>
        <v>0</v>
      </c>
      <c r="F10" s="1032">
        <f t="shared" si="0"/>
        <v>0</v>
      </c>
      <c r="G10" s="1032">
        <f t="shared" si="0"/>
        <v>0</v>
      </c>
      <c r="H10" s="1032">
        <f t="shared" si="0"/>
        <v>0</v>
      </c>
      <c r="I10" s="1032">
        <f>SUM(I8:I9)</f>
        <v>0</v>
      </c>
      <c r="J10" s="1032">
        <f>SUM(J8:J9)</f>
        <v>1323.5294117647061</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0.20873939218381898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1607.1428571428571</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1890.7563025210086</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1607.1428571428571</v>
      </c>
      <c r="C20" s="1032">
        <f>SUM(C17:C19)</f>
        <v>0</v>
      </c>
      <c r="D20" s="1032">
        <f t="shared" ref="D20:H20" si="2">SUM(D17:D19)</f>
        <v>0</v>
      </c>
      <c r="E20" s="1032">
        <f t="shared" si="2"/>
        <v>0</v>
      </c>
      <c r="F20" s="1032">
        <f t="shared" si="2"/>
        <v>0</v>
      </c>
      <c r="G20" s="1032">
        <f t="shared" si="2"/>
        <v>0</v>
      </c>
      <c r="H20" s="1032">
        <f t="shared" si="2"/>
        <v>0</v>
      </c>
      <c r="I20" s="1032">
        <f>SUM(I17:I19)</f>
        <v>0</v>
      </c>
      <c r="J20" s="1032">
        <f>SUM(J17:J19)</f>
        <v>1890.7563025210086</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0.20873939218381898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0.20873939218381898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0.20873939218381898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73001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4421</v>
      </c>
      <c r="C9" s="336">
        <v>4753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1403</v>
      </c>
    </row>
    <row r="15" spans="1:6">
      <c r="A15" s="1277" t="s">
        <v>184</v>
      </c>
      <c r="B15" s="333">
        <v>11</v>
      </c>
    </row>
    <row r="16" spans="1:6">
      <c r="A16" s="1277" t="s">
        <v>6</v>
      </c>
      <c r="B16" s="333">
        <v>329</v>
      </c>
    </row>
    <row r="17" spans="1:6">
      <c r="A17" s="1277" t="s">
        <v>7</v>
      </c>
      <c r="B17" s="333">
        <v>281</v>
      </c>
    </row>
    <row r="18" spans="1:6">
      <c r="A18" s="1277" t="s">
        <v>8</v>
      </c>
      <c r="B18" s="333">
        <v>496</v>
      </c>
    </row>
    <row r="19" spans="1:6">
      <c r="A19" s="1277" t="s">
        <v>9</v>
      </c>
      <c r="B19" s="333">
        <v>479</v>
      </c>
    </row>
    <row r="20" spans="1:6">
      <c r="A20" s="1277" t="s">
        <v>10</v>
      </c>
      <c r="B20" s="333">
        <v>413</v>
      </c>
    </row>
    <row r="21" spans="1:6">
      <c r="A21" s="1277" t="s">
        <v>11</v>
      </c>
      <c r="B21" s="333">
        <v>446</v>
      </c>
    </row>
    <row r="22" spans="1:6">
      <c r="A22" s="1277" t="s">
        <v>12</v>
      </c>
      <c r="B22" s="333">
        <v>3142</v>
      </c>
    </row>
    <row r="23" spans="1:6">
      <c r="A23" s="1277" t="s">
        <v>13</v>
      </c>
      <c r="B23" s="333">
        <v>37</v>
      </c>
    </row>
    <row r="24" spans="1:6">
      <c r="A24" s="1277" t="s">
        <v>14</v>
      </c>
      <c r="B24" s="333">
        <v>6</v>
      </c>
    </row>
    <row r="25" spans="1:6">
      <c r="A25" s="1277" t="s">
        <v>15</v>
      </c>
      <c r="B25" s="333">
        <v>296</v>
      </c>
    </row>
    <row r="26" spans="1:6">
      <c r="A26" s="1277" t="s">
        <v>16</v>
      </c>
      <c r="B26" s="333">
        <v>89</v>
      </c>
    </row>
    <row r="27" spans="1:6">
      <c r="A27" s="1277" t="s">
        <v>17</v>
      </c>
      <c r="B27" s="333">
        <v>118</v>
      </c>
    </row>
    <row r="28" spans="1:6">
      <c r="A28" s="1277" t="s">
        <v>18</v>
      </c>
      <c r="B28" s="333">
        <v>15809</v>
      </c>
    </row>
    <row r="29" spans="1:6">
      <c r="A29" s="1277" t="s">
        <v>959</v>
      </c>
      <c r="B29" s="333">
        <v>92</v>
      </c>
    </row>
    <row r="30" spans="1:6">
      <c r="A30" s="1273" t="s">
        <v>960</v>
      </c>
      <c r="B30" s="1273">
        <v>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13737</v>
      </c>
    </row>
    <row r="39" spans="1:6">
      <c r="A39" s="1277" t="s">
        <v>30</v>
      </c>
      <c r="B39" s="1277" t="s">
        <v>31</v>
      </c>
      <c r="C39" s="333">
        <v>1474</v>
      </c>
      <c r="D39" s="333">
        <v>27775115</v>
      </c>
      <c r="E39" s="333">
        <v>4390</v>
      </c>
      <c r="F39" s="333">
        <v>20436440</v>
      </c>
    </row>
    <row r="40" spans="1:6">
      <c r="A40" s="1277" t="s">
        <v>30</v>
      </c>
      <c r="B40" s="1277" t="s">
        <v>29</v>
      </c>
      <c r="C40" s="333">
        <v>0</v>
      </c>
      <c r="D40" s="333">
        <v>0</v>
      </c>
      <c r="E40" s="333">
        <v>0</v>
      </c>
      <c r="F40" s="333">
        <v>0</v>
      </c>
    </row>
    <row r="41" spans="1:6">
      <c r="A41" s="1277" t="s">
        <v>32</v>
      </c>
      <c r="B41" s="1277" t="s">
        <v>33</v>
      </c>
      <c r="C41" s="333">
        <v>20</v>
      </c>
      <c r="D41" s="333">
        <v>12629649</v>
      </c>
      <c r="E41" s="333">
        <v>74</v>
      </c>
      <c r="F41" s="333">
        <v>25468380</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5</v>
      </c>
      <c r="D44" s="333">
        <v>252064</v>
      </c>
      <c r="E44" s="333">
        <v>13</v>
      </c>
      <c r="F44" s="333">
        <v>368995</v>
      </c>
    </row>
    <row r="45" spans="1:6">
      <c r="A45" s="1277" t="s">
        <v>32</v>
      </c>
      <c r="B45" s="1277" t="s">
        <v>37</v>
      </c>
      <c r="C45" s="333">
        <v>0</v>
      </c>
      <c r="D45" s="333">
        <v>0</v>
      </c>
      <c r="E45" s="333">
        <v>3</v>
      </c>
      <c r="F45" s="333">
        <v>138583</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v>
      </c>
      <c r="D48" s="333">
        <v>134792</v>
      </c>
      <c r="E48" s="333">
        <v>2</v>
      </c>
      <c r="F48" s="333">
        <v>75392</v>
      </c>
    </row>
    <row r="49" spans="1:6">
      <c r="A49" s="1277" t="s">
        <v>32</v>
      </c>
      <c r="B49" s="1277" t="s">
        <v>40</v>
      </c>
      <c r="C49" s="333">
        <v>3</v>
      </c>
      <c r="D49" s="333">
        <v>92686</v>
      </c>
      <c r="E49" s="333">
        <v>4</v>
      </c>
      <c r="F49" s="333">
        <v>222217</v>
      </c>
    </row>
    <row r="50" spans="1:6">
      <c r="A50" s="1277" t="s">
        <v>32</v>
      </c>
      <c r="B50" s="1277" t="s">
        <v>41</v>
      </c>
      <c r="C50" s="333">
        <v>3</v>
      </c>
      <c r="D50" s="333">
        <v>34480336</v>
      </c>
      <c r="E50" s="333">
        <v>5</v>
      </c>
      <c r="F50" s="333">
        <v>12758583</v>
      </c>
    </row>
    <row r="51" spans="1:6">
      <c r="A51" s="1277" t="s">
        <v>42</v>
      </c>
      <c r="B51" s="1277" t="s">
        <v>43</v>
      </c>
      <c r="C51" s="333">
        <v>0</v>
      </c>
      <c r="D51" s="333">
        <v>0</v>
      </c>
      <c r="E51" s="333">
        <v>64</v>
      </c>
      <c r="F51" s="333">
        <v>2725943</v>
      </c>
    </row>
    <row r="52" spans="1:6">
      <c r="A52" s="1277" t="s">
        <v>42</v>
      </c>
      <c r="B52" s="1277" t="s">
        <v>29</v>
      </c>
      <c r="C52" s="333">
        <v>2</v>
      </c>
      <c r="D52" s="333">
        <v>92680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63</v>
      </c>
      <c r="F54" s="333">
        <v>611178</v>
      </c>
    </row>
    <row r="55" spans="1:6">
      <c r="A55" s="1277" t="s">
        <v>46</v>
      </c>
      <c r="B55" s="1277" t="s">
        <v>29</v>
      </c>
      <c r="C55" s="333">
        <v>0</v>
      </c>
      <c r="D55" s="333">
        <v>0</v>
      </c>
      <c r="E55" s="333">
        <v>0</v>
      </c>
      <c r="F55" s="333">
        <v>0</v>
      </c>
    </row>
    <row r="56" spans="1:6">
      <c r="A56" s="1277" t="s">
        <v>48</v>
      </c>
      <c r="B56" s="1277" t="s">
        <v>29</v>
      </c>
      <c r="C56" s="333">
        <v>26</v>
      </c>
      <c r="D56" s="333">
        <v>959221</v>
      </c>
      <c r="E56" s="333">
        <v>92</v>
      </c>
      <c r="F56" s="333">
        <v>1024175</v>
      </c>
    </row>
    <row r="57" spans="1:6">
      <c r="A57" s="1277" t="s">
        <v>49</v>
      </c>
      <c r="B57" s="1277" t="s">
        <v>50</v>
      </c>
      <c r="C57" s="333">
        <v>19</v>
      </c>
      <c r="D57" s="333">
        <v>631899</v>
      </c>
      <c r="E57" s="333">
        <v>44</v>
      </c>
      <c r="F57" s="333">
        <v>1216703</v>
      </c>
    </row>
    <row r="58" spans="1:6">
      <c r="A58" s="1277" t="s">
        <v>49</v>
      </c>
      <c r="B58" s="1277" t="s">
        <v>51</v>
      </c>
      <c r="C58" s="333">
        <v>18</v>
      </c>
      <c r="D58" s="333">
        <v>1286772</v>
      </c>
      <c r="E58" s="333">
        <v>16</v>
      </c>
      <c r="F58" s="333">
        <v>477995</v>
      </c>
    </row>
    <row r="59" spans="1:6">
      <c r="A59" s="1277" t="s">
        <v>49</v>
      </c>
      <c r="B59" s="1277" t="s">
        <v>52</v>
      </c>
      <c r="C59" s="333">
        <v>35</v>
      </c>
      <c r="D59" s="333">
        <v>1746445</v>
      </c>
      <c r="E59" s="333">
        <v>121</v>
      </c>
      <c r="F59" s="333">
        <v>3949133</v>
      </c>
    </row>
    <row r="60" spans="1:6">
      <c r="A60" s="1277" t="s">
        <v>49</v>
      </c>
      <c r="B60" s="1277" t="s">
        <v>53</v>
      </c>
      <c r="C60" s="333">
        <v>10</v>
      </c>
      <c r="D60" s="333">
        <v>633799</v>
      </c>
      <c r="E60" s="333">
        <v>20</v>
      </c>
      <c r="F60" s="333">
        <v>771397</v>
      </c>
    </row>
    <row r="61" spans="1:6">
      <c r="A61" s="1277" t="s">
        <v>49</v>
      </c>
      <c r="B61" s="1277" t="s">
        <v>54</v>
      </c>
      <c r="C61" s="333">
        <v>55</v>
      </c>
      <c r="D61" s="333">
        <v>3262794</v>
      </c>
      <c r="E61" s="333">
        <v>170</v>
      </c>
      <c r="F61" s="333">
        <v>2619923</v>
      </c>
    </row>
    <row r="62" spans="1:6">
      <c r="A62" s="1277" t="s">
        <v>49</v>
      </c>
      <c r="B62" s="1277" t="s">
        <v>55</v>
      </c>
      <c r="C62" s="333">
        <v>3</v>
      </c>
      <c r="D62" s="333">
        <v>322457</v>
      </c>
      <c r="E62" s="333">
        <v>9</v>
      </c>
      <c r="F62" s="333">
        <v>145068</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73031</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43421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83631016</v>
      </c>
      <c r="E73" s="333">
        <v>92469716.034849524</v>
      </c>
      <c r="F73" s="333">
        <v>68700636</v>
      </c>
    </row>
    <row r="74" spans="1:6">
      <c r="A74" s="1277" t="s">
        <v>64</v>
      </c>
      <c r="B74" s="1277" t="s">
        <v>774</v>
      </c>
      <c r="C74" s="1288" t="s">
        <v>775</v>
      </c>
      <c r="D74" s="333">
        <v>6366489.822316736</v>
      </c>
      <c r="E74" s="333">
        <v>6651970.5487097465</v>
      </c>
      <c r="F74" s="333">
        <v>5904202.8738324912</v>
      </c>
    </row>
    <row r="75" spans="1:6">
      <c r="A75" s="1277" t="s">
        <v>65</v>
      </c>
      <c r="B75" s="1277" t="s">
        <v>772</v>
      </c>
      <c r="C75" s="1288" t="s">
        <v>776</v>
      </c>
      <c r="D75" s="333">
        <v>16467679</v>
      </c>
      <c r="E75" s="333">
        <v>18756057.640463252</v>
      </c>
      <c r="F75" s="333">
        <v>14016619</v>
      </c>
    </row>
    <row r="76" spans="1:6">
      <c r="A76" s="1277" t="s">
        <v>65</v>
      </c>
      <c r="B76" s="1277" t="s">
        <v>774</v>
      </c>
      <c r="C76" s="1288" t="s">
        <v>777</v>
      </c>
      <c r="D76" s="333">
        <v>180048.82231673581</v>
      </c>
      <c r="E76" s="333">
        <v>228577.84820703504</v>
      </c>
      <c r="F76" s="333">
        <v>181413.87383249076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228392.35536652838</v>
      </c>
      <c r="C83" s="333">
        <v>208838.46536149108</v>
      </c>
      <c r="D83" s="333">
        <v>212460.25233501845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1782.5525864600413</v>
      </c>
    </row>
    <row r="92" spans="1:6">
      <c r="A92" s="1273" t="s">
        <v>69</v>
      </c>
      <c r="B92" s="336">
        <v>1304.2411898108339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534</v>
      </c>
    </row>
    <row r="98" spans="1:6">
      <c r="A98" s="1277" t="s">
        <v>72</v>
      </c>
      <c r="B98" s="333">
        <v>0</v>
      </c>
    </row>
    <row r="99" spans="1:6">
      <c r="A99" s="1277" t="s">
        <v>73</v>
      </c>
      <c r="B99" s="333">
        <v>23</v>
      </c>
    </row>
    <row r="100" spans="1:6">
      <c r="A100" s="1277" t="s">
        <v>74</v>
      </c>
      <c r="B100" s="333">
        <v>174</v>
      </c>
    </row>
    <row r="101" spans="1:6">
      <c r="A101" s="1277" t="s">
        <v>75</v>
      </c>
      <c r="B101" s="333">
        <v>37</v>
      </c>
    </row>
    <row r="102" spans="1:6">
      <c r="A102" s="1277" t="s">
        <v>76</v>
      </c>
      <c r="B102" s="333">
        <v>41</v>
      </c>
    </row>
    <row r="103" spans="1:6">
      <c r="A103" s="1277" t="s">
        <v>77</v>
      </c>
      <c r="B103" s="333">
        <v>77</v>
      </c>
    </row>
    <row r="104" spans="1:6">
      <c r="A104" s="1277" t="s">
        <v>78</v>
      </c>
      <c r="B104" s="333">
        <v>3171</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32</v>
      </c>
    </row>
    <row r="130" spans="1:6">
      <c r="A130" s="1277" t="s">
        <v>295</v>
      </c>
      <c r="B130" s="333">
        <v>1</v>
      </c>
    </row>
    <row r="131" spans="1:6">
      <c r="A131" s="1277" t="s">
        <v>296</v>
      </c>
      <c r="B131" s="333">
        <v>1</v>
      </c>
    </row>
    <row r="132" spans="1:6">
      <c r="A132" s="1273" t="s">
        <v>297</v>
      </c>
      <c r="B132" s="336">
        <v>13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75918.456777275409</v>
      </c>
      <c r="C3" s="43" t="s">
        <v>170</v>
      </c>
      <c r="D3" s="43"/>
      <c r="E3" s="156"/>
      <c r="F3" s="43"/>
      <c r="G3" s="43"/>
      <c r="H3" s="43"/>
      <c r="I3" s="43"/>
      <c r="J3" s="43"/>
      <c r="K3" s="96"/>
    </row>
    <row r="4" spans="1:11">
      <c r="A4" s="364" t="s">
        <v>171</v>
      </c>
      <c r="B4" s="49">
        <f>IF(ISERROR('SEAP template'!B78+'SEAP template'!C78),0,'SEAP template'!B78+'SEAP template'!C78)</f>
        <v>4211.7937762708752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0.20873939218381898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1607.1428571428571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611.178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611.178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0.20873939218381898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127.57692423612212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20436.439999999999</v>
      </c>
      <c r="C5" s="17">
        <f>IF(ISERROR('Eigen informatie GS &amp; warmtenet'!B57),0,'Eigen informatie GS &amp; warmtenet'!B57)</f>
        <v>0</v>
      </c>
      <c r="D5" s="30">
        <f>(SUM(HH_hh_gas_kWh,HH_rest_gas_kWh)/1000)*0.902</f>
        <v>25053.153730000002</v>
      </c>
      <c r="E5" s="17">
        <f>B46*B57</f>
        <v>1221.1710054177445</v>
      </c>
      <c r="F5" s="17">
        <f>B51*B62</f>
        <v>53014.896125978354</v>
      </c>
      <c r="G5" s="18"/>
      <c r="H5" s="17"/>
      <c r="I5" s="17"/>
      <c r="J5" s="17">
        <f>B50*B61+C50*C61</f>
        <v>0</v>
      </c>
      <c r="K5" s="17"/>
      <c r="L5" s="17"/>
      <c r="M5" s="17"/>
      <c r="N5" s="17">
        <f>B48*B59+C48*C59</f>
        <v>5683.950317168119</v>
      </c>
      <c r="O5" s="17">
        <f>B69*B70*B71</f>
        <v>53.153333333333336</v>
      </c>
      <c r="P5" s="17">
        <f>B77*B78*B79/1000-B77*B78*B79/1000/B80</f>
        <v>343.2</v>
      </c>
    </row>
    <row r="6" spans="1:16">
      <c r="A6" s="16" t="s">
        <v>632</v>
      </c>
      <c r="B6" s="779">
        <f>kWh_PV_kleiner_dan_10kW</f>
        <v>1782.5525864600413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22218.992586460041</v>
      </c>
      <c r="C8" s="21">
        <f>C5</f>
        <v>0</v>
      </c>
      <c r="D8" s="21">
        <f>D5</f>
        <v>25053.153730000002</v>
      </c>
      <c r="E8" s="21">
        <f>E5</f>
        <v>1221.1710054177445</v>
      </c>
      <c r="F8" s="21">
        <f>F5</f>
        <v>53014.896125978354</v>
      </c>
      <c r="G8" s="21"/>
      <c r="H8" s="21"/>
      <c r="I8" s="21"/>
      <c r="J8" s="21">
        <f>J5</f>
        <v>0</v>
      </c>
      <c r="K8" s="21"/>
      <c r="L8" s="21">
        <f>L5</f>
        <v>0</v>
      </c>
      <c r="M8" s="21">
        <f>M5</f>
        <v>0</v>
      </c>
      <c r="N8" s="21">
        <f>N5</f>
        <v>5683.950317168119</v>
      </c>
      <c r="O8" s="21">
        <f>O5</f>
        <v>53.153333333333336</v>
      </c>
      <c r="P8" s="21">
        <f>P5</f>
        <v>343.2</v>
      </c>
    </row>
    <row r="9" spans="1:16">
      <c r="B9" s="19"/>
      <c r="C9" s="19"/>
      <c r="D9" s="260"/>
      <c r="E9" s="19"/>
      <c r="F9" s="19"/>
      <c r="G9" s="19"/>
      <c r="H9" s="19"/>
      <c r="I9" s="19"/>
      <c r="J9" s="19"/>
      <c r="K9" s="19"/>
      <c r="L9" s="19"/>
      <c r="M9" s="19"/>
      <c r="N9" s="19"/>
      <c r="O9" s="19"/>
      <c r="P9" s="19"/>
    </row>
    <row r="10" spans="1:16">
      <c r="A10" s="24" t="s">
        <v>214</v>
      </c>
      <c r="B10" s="25">
        <f ca="1">'EF ele_warmte'!B12</f>
        <v>0.20873939218381898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4637.9790074344492</v>
      </c>
      <c r="C12" s="23">
        <f ca="1">C10*C8</f>
        <v>0</v>
      </c>
      <c r="D12" s="23">
        <f>D8*D10</f>
        <v>5060.7370534600004</v>
      </c>
      <c r="E12" s="23">
        <f>E10*E8</f>
        <v>277.20581822982803</v>
      </c>
      <c r="F12" s="23">
        <f>F10*F8</f>
        <v>14154.977265636222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534</v>
      </c>
      <c r="C18" s="167" t="s">
        <v>111</v>
      </c>
      <c r="D18" s="229"/>
      <c r="E18" s="15"/>
    </row>
    <row r="19" spans="1:7">
      <c r="A19" s="172" t="s">
        <v>72</v>
      </c>
      <c r="B19" s="37">
        <f>aantalw2001_ander</f>
        <v>0</v>
      </c>
      <c r="C19" s="167" t="s">
        <v>111</v>
      </c>
      <c r="D19" s="230"/>
      <c r="E19" s="15"/>
    </row>
    <row r="20" spans="1:7">
      <c r="A20" s="172" t="s">
        <v>73</v>
      </c>
      <c r="B20" s="37">
        <f>aantalw2001_propaan</f>
        <v>23</v>
      </c>
      <c r="C20" s="168">
        <f>IF(ISERROR(B20/SUM($B$20,$B$21,$B$22)*100),0,B20/SUM($B$20,$B$21,$B$22)*100)</f>
        <v>9.8290598290598297</v>
      </c>
      <c r="D20" s="230"/>
      <c r="E20" s="15"/>
    </row>
    <row r="21" spans="1:7">
      <c r="A21" s="172" t="s">
        <v>74</v>
      </c>
      <c r="B21" s="37">
        <f>aantalw2001_elektriciteit</f>
        <v>174</v>
      </c>
      <c r="C21" s="168">
        <f>IF(ISERROR(B21/SUM($B$20,$B$21,$B$22)*100),0,B21/SUM($B$20,$B$21,$B$22)*100)</f>
        <v>74.358974358974365</v>
      </c>
      <c r="D21" s="230"/>
      <c r="E21" s="15"/>
    </row>
    <row r="22" spans="1:7">
      <c r="A22" s="172" t="s">
        <v>75</v>
      </c>
      <c r="B22" s="37">
        <f>aantalw2001_hout</f>
        <v>37</v>
      </c>
      <c r="C22" s="168">
        <f>IF(ISERROR(B22/SUM($B$20,$B$21,$B$22)*100),0,B22/SUM($B$20,$B$21,$B$22)*100)</f>
        <v>15.811965811965811</v>
      </c>
      <c r="D22" s="230"/>
      <c r="E22" s="15"/>
    </row>
    <row r="23" spans="1:7">
      <c r="A23" s="172" t="s">
        <v>76</v>
      </c>
      <c r="B23" s="37">
        <f>aantalw2001_niet_gespec</f>
        <v>41</v>
      </c>
      <c r="C23" s="167" t="s">
        <v>111</v>
      </c>
      <c r="D23" s="229"/>
      <c r="E23" s="15"/>
    </row>
    <row r="24" spans="1:7">
      <c r="A24" s="172" t="s">
        <v>77</v>
      </c>
      <c r="B24" s="37">
        <f>aantalw2001_steenkool</f>
        <v>77</v>
      </c>
      <c r="C24" s="167" t="s">
        <v>111</v>
      </c>
      <c r="D24" s="230"/>
      <c r="E24" s="15"/>
    </row>
    <row r="25" spans="1:7">
      <c r="A25" s="172" t="s">
        <v>78</v>
      </c>
      <c r="B25" s="37">
        <f>aantalw2001_stookolie</f>
        <v>3171</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4421</v>
      </c>
      <c r="C28" s="36"/>
      <c r="D28" s="229"/>
    </row>
    <row r="29" spans="1:7" s="15" customFormat="1">
      <c r="A29" s="231" t="s">
        <v>713</v>
      </c>
      <c r="B29" s="37">
        <f>SUM(HH_hh_gas_aantal,HH_rest_gas_aantal)</f>
        <v>1474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1474</v>
      </c>
      <c r="C32" s="168">
        <f>IF(ISERROR(B32/SUM($B$32,$B$34,$B$35,$B$36,$B$38,$B$39)*100),0,B32/SUM($B$32,$B$34,$B$35,$B$36,$B$38,$B$39)*100)</f>
        <v>33.477174653645243</v>
      </c>
      <c r="D32" s="234"/>
      <c r="G32" s="15"/>
    </row>
    <row r="33" spans="1:7">
      <c r="A33" s="172" t="s">
        <v>72</v>
      </c>
      <c r="B33" s="34" t="s">
        <v>111</v>
      </c>
      <c r="C33" s="168"/>
      <c r="D33" s="234"/>
      <c r="G33" s="15"/>
    </row>
    <row r="34" spans="1:7">
      <c r="A34" s="172" t="s">
        <v>73</v>
      </c>
      <c r="B34" s="33">
        <f>IF((($B$28-$B$32-$B$39-$B$77-$B$38)*C20/100)&lt;0,0,($B$28-$B$32-$B$39-$B$77-$B$38)*C20/100)</f>
        <v>59.36752136752137</v>
      </c>
      <c r="C34" s="168">
        <f>IF(ISERROR(B34/SUM($B$32,$B$34,$B$35,$B$36,$B$38,$B$39)*100),0,B34/SUM($B$32,$B$34,$B$35,$B$36,$B$38,$B$39)*100)</f>
        <v>1.3483425248131131</v>
      </c>
      <c r="D34" s="234"/>
      <c r="G34" s="15"/>
    </row>
    <row r="35" spans="1:7">
      <c r="A35" s="172" t="s">
        <v>74</v>
      </c>
      <c r="B35" s="33">
        <f>IF((($B$28-$B$32-$B$39-$B$77-$B$38)*C21/100)&lt;0,0,($B$28-$B$32-$B$39-$B$77-$B$38)*C21/100)</f>
        <v>449.12820512820514</v>
      </c>
      <c r="C35" s="168">
        <f>IF(ISERROR(B35/SUM($B$32,$B$34,$B$35,$B$36,$B$38,$B$39)*100),0,B35/SUM($B$32,$B$34,$B$35,$B$36,$B$38,$B$39)*100)</f>
        <v>10.200504318151376</v>
      </c>
      <c r="D35" s="234"/>
      <c r="G35" s="15"/>
    </row>
    <row r="36" spans="1:7">
      <c r="A36" s="172" t="s">
        <v>75</v>
      </c>
      <c r="B36" s="33">
        <f>IF((($B$28-$B$32-$B$39-$B$77-$B$38)*C22/100)&lt;0,0,($B$28-$B$32-$B$39-$B$77-$B$38)*C22/100)</f>
        <v>95.504273504273499</v>
      </c>
      <c r="C36" s="168">
        <f>IF(ISERROR(B36/SUM($B$32,$B$34,$B$35,$B$36,$B$38,$B$39)*100),0,B36/SUM($B$32,$B$34,$B$35,$B$36,$B$38,$B$39)*100)</f>
        <v>2.1690727573080513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2325</v>
      </c>
      <c r="C39" s="168">
        <f>IF(ISERROR(B39/SUM($B$32,$B$34,$B$35,$B$36,$B$38,$B$39)*100),0,B39/SUM($B$32,$B$34,$B$35,$B$36,$B$38,$B$39)*100)</f>
        <v>52.80490574608222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1474</v>
      </c>
      <c r="C44" s="34" t="s">
        <v>111</v>
      </c>
      <c r="D44" s="175"/>
    </row>
    <row r="45" spans="1:7">
      <c r="A45" s="172" t="s">
        <v>72</v>
      </c>
      <c r="B45" s="33" t="str">
        <f t="shared" si="0"/>
        <v>-</v>
      </c>
      <c r="C45" s="34" t="s">
        <v>111</v>
      </c>
      <c r="D45" s="175"/>
    </row>
    <row r="46" spans="1:7">
      <c r="A46" s="172" t="s">
        <v>73</v>
      </c>
      <c r="B46" s="33">
        <f t="shared" si="0"/>
        <v>59.36752136752137</v>
      </c>
      <c r="C46" s="34" t="s">
        <v>111</v>
      </c>
      <c r="D46" s="175"/>
    </row>
    <row r="47" spans="1:7">
      <c r="A47" s="172" t="s">
        <v>74</v>
      </c>
      <c r="B47" s="33">
        <f t="shared" si="0"/>
        <v>449.12820512820514</v>
      </c>
      <c r="C47" s="34" t="s">
        <v>111</v>
      </c>
      <c r="D47" s="175"/>
    </row>
    <row r="48" spans="1:7">
      <c r="A48" s="172" t="s">
        <v>75</v>
      </c>
      <c r="B48" s="33">
        <f t="shared" si="0"/>
        <v>95.504273504273499</v>
      </c>
      <c r="C48" s="33">
        <f>B48*10</f>
        <v>955.04273504273499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2325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9180.2189999999991</v>
      </c>
      <c r="C5" s="17">
        <f>IF(ISERROR('Eigen informatie GS &amp; warmtenet'!B58),0,'Eigen informatie GS &amp; warmtenet'!B58)</f>
        <v>0</v>
      </c>
      <c r="D5" s="30">
        <f>SUM(D6:D12)</f>
        <v>7111.5177320000003</v>
      </c>
      <c r="E5" s="17">
        <f>SUM(E6:E12)</f>
        <v>163.22483299172663</v>
      </c>
      <c r="F5" s="17">
        <f>SUM(F6:F12)</f>
        <v>1685.7805908274802</v>
      </c>
      <c r="G5" s="18"/>
      <c r="H5" s="17"/>
      <c r="I5" s="17"/>
      <c r="J5" s="17">
        <f>SUM(J6:J12)</f>
        <v>0</v>
      </c>
      <c r="K5" s="17"/>
      <c r="L5" s="17"/>
      <c r="M5" s="17"/>
      <c r="N5" s="17">
        <f>SUM(N6:N12)</f>
        <v>307.08060293377633</v>
      </c>
      <c r="O5" s="17">
        <f>B38*B39*B40</f>
        <v>1.5633333333333335</v>
      </c>
      <c r="P5" s="17">
        <f>B46*B47*B48/1000-B46*B47*B48/1000/B49</f>
        <v>19.066666666666666</v>
      </c>
      <c r="R5" s="32"/>
    </row>
    <row r="6" spans="1:18">
      <c r="A6" s="32" t="s">
        <v>54</v>
      </c>
      <c r="B6" s="37">
        <f>B26</f>
        <v>2619.9229999999998</v>
      </c>
      <c r="C6" s="33"/>
      <c r="D6" s="37">
        <f>IF(ISERROR(TER_kantoor_gas_kWh/1000),0,TER_kantoor_gas_kWh/1000)*0.902</f>
        <v>2943.0401879999999</v>
      </c>
      <c r="E6" s="33">
        <f>$C$26*'E Balans VL '!I12/100/3.6*1000000</f>
        <v>91.70761111328585</v>
      </c>
      <c r="F6" s="33">
        <f>$C$26*('E Balans VL '!L12+'E Balans VL '!N12)/100/3.6*1000000</f>
        <v>397.23657599561847</v>
      </c>
      <c r="G6" s="34"/>
      <c r="H6" s="33"/>
      <c r="I6" s="33"/>
      <c r="J6" s="33">
        <f>$C$26*('E Balans VL '!D12+'E Balans VL '!E12)/100/3.6*1000000</f>
        <v>0</v>
      </c>
      <c r="K6" s="33"/>
      <c r="L6" s="33"/>
      <c r="M6" s="33"/>
      <c r="N6" s="33">
        <f>$C$26*'E Balans VL '!Y12/100/3.6*1000000</f>
        <v>20.251184776668783</v>
      </c>
      <c r="O6" s="33"/>
      <c r="P6" s="33"/>
      <c r="R6" s="32"/>
    </row>
    <row r="7" spans="1:18">
      <c r="A7" s="32" t="s">
        <v>53</v>
      </c>
      <c r="B7" s="37">
        <f t="shared" ref="B7:B12" si="0">B27</f>
        <v>771.39700000000005</v>
      </c>
      <c r="C7" s="33"/>
      <c r="D7" s="37">
        <f>IF(ISERROR(TER_horeca_gas_kWh/1000),0,TER_horeca_gas_kWh/1000)*0.902</f>
        <v>571.68669799999998</v>
      </c>
      <c r="E7" s="33">
        <f>$C$27*'E Balans VL '!I9/100/3.6*1000000</f>
        <v>43.517047882077264</v>
      </c>
      <c r="F7" s="33">
        <f>$C$27*('E Balans VL '!L9+'E Balans VL '!N9)/100/3.6*1000000</f>
        <v>134.38162636580898</v>
      </c>
      <c r="G7" s="34"/>
      <c r="H7" s="33"/>
      <c r="I7" s="33"/>
      <c r="J7" s="33">
        <f>$C$27*('E Balans VL '!D9+'E Balans VL '!E9)/100/3.6*1000000</f>
        <v>0</v>
      </c>
      <c r="K7" s="33"/>
      <c r="L7" s="33"/>
      <c r="M7" s="33"/>
      <c r="N7" s="33">
        <f>$C$27*'E Balans VL '!Y9/100/3.6*1000000</f>
        <v>0</v>
      </c>
      <c r="O7" s="33"/>
      <c r="P7" s="33"/>
      <c r="R7" s="32"/>
    </row>
    <row r="8" spans="1:18">
      <c r="A8" s="6" t="s">
        <v>52</v>
      </c>
      <c r="B8" s="37">
        <f t="shared" si="0"/>
        <v>3949.1329999999998</v>
      </c>
      <c r="C8" s="33"/>
      <c r="D8" s="37">
        <f>IF(ISERROR(TER_handel_gas_kWh/1000),0,TER_handel_gas_kWh/1000)*0.902</f>
        <v>1575.29339</v>
      </c>
      <c r="E8" s="33">
        <f>$C$28*'E Balans VL '!I13/100/3.6*1000000</f>
        <v>20.274447595906331</v>
      </c>
      <c r="F8" s="33">
        <f>$C$28*('E Balans VL '!L13+'E Balans VL '!N13)/100/3.6*1000000</f>
        <v>608.89528823113562</v>
      </c>
      <c r="G8" s="34"/>
      <c r="H8" s="33"/>
      <c r="I8" s="33"/>
      <c r="J8" s="33">
        <f>$C$28*('E Balans VL '!D13+'E Balans VL '!E13)/100/3.6*1000000</f>
        <v>0</v>
      </c>
      <c r="K8" s="33"/>
      <c r="L8" s="33"/>
      <c r="M8" s="33"/>
      <c r="N8" s="33">
        <f>$C$28*'E Balans VL '!Y13/100/3.6*1000000</f>
        <v>1.8470577097569274</v>
      </c>
      <c r="O8" s="33"/>
      <c r="P8" s="33"/>
      <c r="R8" s="32"/>
    </row>
    <row r="9" spans="1:18">
      <c r="A9" s="32" t="s">
        <v>51</v>
      </c>
      <c r="B9" s="37">
        <f t="shared" si="0"/>
        <v>477.995</v>
      </c>
      <c r="C9" s="33"/>
      <c r="D9" s="37">
        <f>IF(ISERROR(TER_gezond_gas_kWh/1000),0,TER_gezond_gas_kWh/1000)*0.902</f>
        <v>1160.6683439999999</v>
      </c>
      <c r="E9" s="33">
        <f>$C$29*'E Balans VL '!I10/100/3.6*1000000</f>
        <v>0.19812552334161429</v>
      </c>
      <c r="F9" s="33">
        <f>$C$29*('E Balans VL '!L10+'E Balans VL '!N10)/100/3.6*1000000</f>
        <v>117.72331313724585</v>
      </c>
      <c r="G9" s="34"/>
      <c r="H9" s="33"/>
      <c r="I9" s="33"/>
      <c r="J9" s="33">
        <f>$C$29*('E Balans VL '!D10+'E Balans VL '!E10)/100/3.6*1000000</f>
        <v>0</v>
      </c>
      <c r="K9" s="33"/>
      <c r="L9" s="33"/>
      <c r="M9" s="33"/>
      <c r="N9" s="33">
        <f>$C$29*'E Balans VL '!Y10/100/3.6*1000000</f>
        <v>4.1310598974307053</v>
      </c>
      <c r="O9" s="33"/>
      <c r="P9" s="33"/>
      <c r="R9" s="32"/>
    </row>
    <row r="10" spans="1:18">
      <c r="A10" s="32" t="s">
        <v>50</v>
      </c>
      <c r="B10" s="37">
        <f t="shared" si="0"/>
        <v>1216.703</v>
      </c>
      <c r="C10" s="33"/>
      <c r="D10" s="37">
        <f>IF(ISERROR(TER_ander_gas_kWh/1000),0,TER_ander_gas_kWh/1000)*0.902</f>
        <v>569.97289799999999</v>
      </c>
      <c r="E10" s="33">
        <f>$C$30*'E Balans VL '!I14/100/3.6*1000000</f>
        <v>7.4170515073450067</v>
      </c>
      <c r="F10" s="33">
        <f>$C$30*('E Balans VL '!L14+'E Balans VL '!N14)/100/3.6*1000000</f>
        <v>322.56463224048679</v>
      </c>
      <c r="G10" s="34"/>
      <c r="H10" s="33"/>
      <c r="I10" s="33"/>
      <c r="J10" s="33">
        <f>$C$30*('E Balans VL '!D14+'E Balans VL '!E14)/100/3.6*1000000</f>
        <v>0</v>
      </c>
      <c r="K10" s="33"/>
      <c r="L10" s="33"/>
      <c r="M10" s="33"/>
      <c r="N10" s="33">
        <f>$C$30*'E Balans VL '!Y14/100/3.6*1000000</f>
        <v>280.42375048329967</v>
      </c>
      <c r="O10" s="33"/>
      <c r="P10" s="33"/>
      <c r="R10" s="32"/>
    </row>
    <row r="11" spans="1:18">
      <c r="A11" s="32" t="s">
        <v>55</v>
      </c>
      <c r="B11" s="37">
        <f t="shared" si="0"/>
        <v>145.06800000000001</v>
      </c>
      <c r="C11" s="33"/>
      <c r="D11" s="37">
        <f>IF(ISERROR(TER_onderwijs_gas_kWh/1000),0,TER_onderwijs_gas_kWh/1000)*0.902</f>
        <v>290.85621400000002</v>
      </c>
      <c r="E11" s="33">
        <f>$C$31*'E Balans VL '!I11/100/3.6*1000000</f>
        <v>0.11054936977056058</v>
      </c>
      <c r="F11" s="33">
        <f>$C$31*('E Balans VL '!L11+'E Balans VL '!N11)/100/3.6*1000000</f>
        <v>104.97915485718462</v>
      </c>
      <c r="G11" s="34"/>
      <c r="H11" s="33"/>
      <c r="I11" s="33"/>
      <c r="J11" s="33">
        <f>$C$31*('E Balans VL '!D11+'E Balans VL '!E11)/100/3.6*1000000</f>
        <v>0</v>
      </c>
      <c r="K11" s="33"/>
      <c r="L11" s="33"/>
      <c r="M11" s="33"/>
      <c r="N11" s="33">
        <f>$C$31*'E Balans VL '!Y11/100/3.6*1000000</f>
        <v>0.4275500666202332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9180.2189999999991</v>
      </c>
      <c r="C16" s="21">
        <f ca="1">C5+C13+C14</f>
        <v>0</v>
      </c>
      <c r="D16" s="21">
        <f t="shared" ref="D16:N16" ca="1" si="1">MAX((D5+D13+D14),0)</f>
        <v>7111.5177320000003</v>
      </c>
      <c r="E16" s="21">
        <f t="shared" si="1"/>
        <v>163.22483299172663</v>
      </c>
      <c r="F16" s="21">
        <f t="shared" ca="1" si="1"/>
        <v>1685.7805908274802</v>
      </c>
      <c r="G16" s="21">
        <f t="shared" si="1"/>
        <v>0</v>
      </c>
      <c r="H16" s="21">
        <f t="shared" si="1"/>
        <v>0</v>
      </c>
      <c r="I16" s="21">
        <f t="shared" si="1"/>
        <v>0</v>
      </c>
      <c r="J16" s="21">
        <f t="shared" si="1"/>
        <v>0</v>
      </c>
      <c r="K16" s="21">
        <f t="shared" si="1"/>
        <v>0</v>
      </c>
      <c r="L16" s="21">
        <f t="shared" ca="1" si="1"/>
        <v>0</v>
      </c>
      <c r="M16" s="21">
        <f t="shared" si="1"/>
        <v>0</v>
      </c>
      <c r="N16" s="21">
        <f t="shared" ca="1" si="1"/>
        <v>307.08060293377633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0.20873939218381898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1916.2733341743462</v>
      </c>
      <c r="C20" s="23">
        <f t="shared" ref="C20:P20" ca="1" si="2">C16*C18</f>
        <v>0</v>
      </c>
      <c r="D20" s="23">
        <f t="shared" ca="1" si="2"/>
        <v>1436.526581864</v>
      </c>
      <c r="E20" s="23">
        <f t="shared" si="2"/>
        <v>37.052037089121946</v>
      </c>
      <c r="F20" s="23">
        <f t="shared" ca="1" si="2"/>
        <v>450.10341775093724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2619.9229999999998</v>
      </c>
      <c r="C26" s="39">
        <f>IF(ISERROR(B26*3.6/1000000/'E Balans VL '!Z12*100),0,B26*3.6/1000000/'E Balans VL '!Z12*100)</f>
        <v>5.513193471974924E-2</v>
      </c>
      <c r="D26" s="238" t="s">
        <v>719</v>
      </c>
      <c r="F26" s="6"/>
    </row>
    <row r="27" spans="1:18">
      <c r="A27" s="232" t="s">
        <v>53</v>
      </c>
      <c r="B27" s="33">
        <f>IF(ISERROR(TER_horeca_ele_kWh/1000),0,TER_horeca_ele_kWh/1000)</f>
        <v>771.39700000000005</v>
      </c>
      <c r="C27" s="39">
        <f>IF(ISERROR(B27*3.6/1000000/'E Balans VL '!Z9*100),0,B27*3.6/1000000/'E Balans VL '!Z9*100)</f>
        <v>6.5312016384503402E-2</v>
      </c>
      <c r="D27" s="238" t="s">
        <v>719</v>
      </c>
      <c r="F27" s="6"/>
    </row>
    <row r="28" spans="1:18">
      <c r="A28" s="172" t="s">
        <v>52</v>
      </c>
      <c r="B28" s="33">
        <f>IF(ISERROR(TER_handel_ele_kWh/1000),0,TER_handel_ele_kWh/1000)</f>
        <v>3949.1329999999998</v>
      </c>
      <c r="C28" s="39">
        <f>IF(ISERROR(B28*3.6/1000000/'E Balans VL '!Z13*100),0,B28*3.6/1000000/'E Balans VL '!Z13*100)</f>
        <v>0.10933120102265739</v>
      </c>
      <c r="D28" s="238" t="s">
        <v>719</v>
      </c>
      <c r="F28" s="6"/>
    </row>
    <row r="29" spans="1:18">
      <c r="A29" s="232" t="s">
        <v>51</v>
      </c>
      <c r="B29" s="33">
        <f>IF(ISERROR(TER_gezond_ele_kWh/1000),0,TER_gezond_ele_kWh/1000)</f>
        <v>477.995</v>
      </c>
      <c r="C29" s="39">
        <f>IF(ISERROR(B29*3.6/1000000/'E Balans VL '!Z10*100),0,B29*3.6/1000000/'E Balans VL '!Z10*100)</f>
        <v>6.2134050807593641E-2</v>
      </c>
      <c r="D29" s="238" t="s">
        <v>719</v>
      </c>
      <c r="F29" s="6"/>
    </row>
    <row r="30" spans="1:18">
      <c r="A30" s="232" t="s">
        <v>50</v>
      </c>
      <c r="B30" s="33">
        <f>IF(ISERROR(TER_ander_ele_kWh/1000),0,TER_ander_ele_kWh/1000)</f>
        <v>1216.703</v>
      </c>
      <c r="C30" s="39">
        <f>IF(ISERROR(B30*3.6/1000000/'E Balans VL '!Z14*100),0,B30*3.6/1000000/'E Balans VL '!Z14*100)</f>
        <v>9.4305640518882419E-2</v>
      </c>
      <c r="D30" s="238" t="s">
        <v>719</v>
      </c>
      <c r="F30" s="6"/>
    </row>
    <row r="31" spans="1:18">
      <c r="A31" s="232" t="s">
        <v>55</v>
      </c>
      <c r="B31" s="33">
        <f>IF(ISERROR(TER_onderwijs_ele_kWh/1000),0,TER_onderwijs_ele_kWh/1000)</f>
        <v>145.06800000000001</v>
      </c>
      <c r="C31" s="39">
        <f>IF(ISERROR(B31*3.6/1000000/'E Balans VL '!Z11*100),0,B31*3.6/1000000/'E Balans VL '!Z11*100)</f>
        <v>2.7753980306409166E-2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39032.149999999994</v>
      </c>
      <c r="C5" s="17">
        <f>IF(ISERROR('Eigen informatie GS &amp; warmtenet'!B59),0,'Eigen informatie GS &amp; warmtenet'!B59)</f>
        <v>0</v>
      </c>
      <c r="D5" s="30">
        <f>SUM(D6:D15)</f>
        <v>42925.753354000008</v>
      </c>
      <c r="E5" s="17">
        <f>SUM(E6:E15)</f>
        <v>551.39403744218112</v>
      </c>
      <c r="F5" s="17">
        <f>SUM(F6:F15)</f>
        <v>22043.148239923212</v>
      </c>
      <c r="G5" s="18"/>
      <c r="H5" s="17"/>
      <c r="I5" s="17"/>
      <c r="J5" s="17">
        <f>SUM(J6:J15)</f>
        <v>63.753268607568522</v>
      </c>
      <c r="K5" s="17"/>
      <c r="L5" s="17"/>
      <c r="M5" s="17"/>
      <c r="N5" s="17">
        <f>SUM(N6:N15)</f>
        <v>2078.5797119488234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368.995</v>
      </c>
      <c r="C8" s="33"/>
      <c r="D8" s="37">
        <f>IF( ISERROR(IND_metaal_Gas_kWH/1000),0,IND_metaal_Gas_kWH/1000)*0.902</f>
        <v>227.361728</v>
      </c>
      <c r="E8" s="33">
        <f>C30*'E Balans VL '!I18/100/3.6*1000000</f>
        <v>2.5928464499462582</v>
      </c>
      <c r="F8" s="33">
        <f>C30*'E Balans VL '!L18/100/3.6*1000000+C30*'E Balans VL '!N18/100/3.6*1000000</f>
        <v>40.513492166759207</v>
      </c>
      <c r="G8" s="34"/>
      <c r="H8" s="33"/>
      <c r="I8" s="33"/>
      <c r="J8" s="40">
        <f>C30*'E Balans VL '!D18/100/3.6*1000000+C30*'E Balans VL '!E18/100/3.6*1000000</f>
        <v>7.6131621787870616</v>
      </c>
      <c r="K8" s="33"/>
      <c r="L8" s="33"/>
      <c r="M8" s="33"/>
      <c r="N8" s="33">
        <f>C30*'E Balans VL '!Y18/100/3.6*1000000</f>
        <v>1.3830198349913956</v>
      </c>
      <c r="O8" s="33"/>
      <c r="P8" s="33"/>
      <c r="R8" s="32"/>
    </row>
    <row r="9" spans="1:18">
      <c r="A9" s="6" t="s">
        <v>33</v>
      </c>
      <c r="B9" s="37">
        <f t="shared" si="0"/>
        <v>25468.38</v>
      </c>
      <c r="C9" s="33"/>
      <c r="D9" s="37">
        <f>IF( ISERROR(IND_andere_gas_kWh/1000),0,IND_andere_gas_kWh/1000)*0.902</f>
        <v>11391.943397999999</v>
      </c>
      <c r="E9" s="33">
        <f>C31*'E Balans VL '!I19/100/3.6*1000000</f>
        <v>427.77264186165297</v>
      </c>
      <c r="F9" s="33">
        <f>C31*'E Balans VL '!L19/100/3.6*1000000+C31*'E Balans VL '!N19/100/3.6*1000000</f>
        <v>19909.728913385792</v>
      </c>
      <c r="G9" s="34"/>
      <c r="H9" s="33"/>
      <c r="I9" s="33"/>
      <c r="J9" s="40">
        <f>C31*'E Balans VL '!D19/100/3.6*1000000+C31*'E Balans VL '!E19/100/3.6*1000000</f>
        <v>2.2970230568066112</v>
      </c>
      <c r="K9" s="33"/>
      <c r="L9" s="33"/>
      <c r="M9" s="33"/>
      <c r="N9" s="33">
        <f>C31*'E Balans VL '!Y19/100/3.6*1000000</f>
        <v>1887.6155621847042</v>
      </c>
      <c r="O9" s="33"/>
      <c r="P9" s="33"/>
      <c r="R9" s="32"/>
    </row>
    <row r="10" spans="1:18">
      <c r="A10" s="6" t="s">
        <v>41</v>
      </c>
      <c r="B10" s="37">
        <f t="shared" si="0"/>
        <v>12758.583000000001</v>
      </c>
      <c r="C10" s="33"/>
      <c r="D10" s="37">
        <f>IF( ISERROR(IND_voed_gas_kWh/1000),0,IND_voed_gas_kWh/1000)*0.902</f>
        <v>31101.263072000005</v>
      </c>
      <c r="E10" s="33">
        <f>C32*'E Balans VL '!I20/100/3.6*1000000</f>
        <v>116.40400946308925</v>
      </c>
      <c r="F10" s="33">
        <f>C32*'E Balans VL '!L20/100/3.6*1000000+C32*'E Balans VL '!N20/100/3.6*1000000</f>
        <v>2058.3585030221361</v>
      </c>
      <c r="G10" s="34"/>
      <c r="H10" s="33"/>
      <c r="I10" s="33"/>
      <c r="J10" s="40">
        <f>C32*'E Balans VL '!D20/100/3.6*1000000+C32*'E Balans VL '!E20/100/3.6*1000000</f>
        <v>52.548209725919996</v>
      </c>
      <c r="K10" s="33"/>
      <c r="L10" s="33"/>
      <c r="M10" s="33"/>
      <c r="N10" s="33">
        <f>C32*'E Balans VL '!Y20/100/3.6*1000000</f>
        <v>186.64800886494791</v>
      </c>
      <c r="O10" s="33"/>
      <c r="P10" s="33"/>
      <c r="R10" s="32"/>
    </row>
    <row r="11" spans="1:18">
      <c r="A11" s="6" t="s">
        <v>40</v>
      </c>
      <c r="B11" s="37">
        <f t="shared" si="0"/>
        <v>222.21700000000001</v>
      </c>
      <c r="C11" s="33"/>
      <c r="D11" s="37">
        <f>IF( ISERROR(IND_textiel_gas_kWh/1000),0,IND_textiel_gas_kWh/1000)*0.902</f>
        <v>83.602772000000002</v>
      </c>
      <c r="E11" s="33">
        <f>C33*'E Balans VL '!I21/100/3.6*1000000</f>
        <v>0.50683575750884902</v>
      </c>
      <c r="F11" s="33">
        <f>C33*'E Balans VL '!L21/100/3.6*1000000+C33*'E Balans VL '!N21/100/3.6*1000000</f>
        <v>4.7500944803389666</v>
      </c>
      <c r="G11" s="34"/>
      <c r="H11" s="33"/>
      <c r="I11" s="33"/>
      <c r="J11" s="40">
        <f>C33*'E Balans VL '!D21/100/3.6*1000000+C33*'E Balans VL '!E21/100/3.6*1000000</f>
        <v>0</v>
      </c>
      <c r="K11" s="33"/>
      <c r="L11" s="33"/>
      <c r="M11" s="33"/>
      <c r="N11" s="33">
        <f>C33*'E Balans VL '!Y21/100/3.6*1000000</f>
        <v>1.5763774188054538</v>
      </c>
      <c r="O11" s="33"/>
      <c r="P11" s="33"/>
      <c r="R11" s="32"/>
    </row>
    <row r="12" spans="1:18">
      <c r="A12" s="6" t="s">
        <v>37</v>
      </c>
      <c r="B12" s="37">
        <f t="shared" si="0"/>
        <v>138.583</v>
      </c>
      <c r="C12" s="33"/>
      <c r="D12" s="37">
        <f>IF( ISERROR(IND_min_gas_kWh/1000),0,IND_min_gas_kWh/1000)*0.902</f>
        <v>0</v>
      </c>
      <c r="E12" s="33">
        <f>C34*'E Balans VL '!I22/100/3.6*1000000</f>
        <v>3.4373089400287715</v>
      </c>
      <c r="F12" s="33">
        <f>C34*'E Balans VL '!L22/100/3.6*1000000+C34*'E Balans VL '!N22/100/3.6*1000000</f>
        <v>14.725770681706742</v>
      </c>
      <c r="G12" s="34"/>
      <c r="H12" s="33"/>
      <c r="I12" s="33"/>
      <c r="J12" s="40">
        <f>C34*'E Balans VL '!D22/100/3.6*1000000+C34*'E Balans VL '!E22/100/3.6*1000000</f>
        <v>0.7872327552662598</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75.391999999999996</v>
      </c>
      <c r="C15" s="33"/>
      <c r="D15" s="37">
        <f>IF( ISERROR(IND_rest_gas_kWh/1000),0,IND_rest_gas_kWh/1000)*0.902</f>
        <v>121.582384</v>
      </c>
      <c r="E15" s="33">
        <f>C37*'E Balans VL '!I15/100/3.6*1000000</f>
        <v>0.68039496995508553</v>
      </c>
      <c r="F15" s="33">
        <f>C37*'E Balans VL '!L15/100/3.6*1000000+C37*'E Balans VL '!N15/100/3.6*1000000</f>
        <v>15.07146618647625</v>
      </c>
      <c r="G15" s="34"/>
      <c r="H15" s="33"/>
      <c r="I15" s="33"/>
      <c r="J15" s="40">
        <f>C37*'E Balans VL '!D15/100/3.6*1000000+C37*'E Balans VL '!E15/100/3.6*1000000</f>
        <v>0.50764089078859143</v>
      </c>
      <c r="K15" s="33"/>
      <c r="L15" s="33"/>
      <c r="M15" s="33"/>
      <c r="N15" s="33">
        <f>C37*'E Balans VL '!Y15/100/3.6*1000000</f>
        <v>1.3567436453744512</v>
      </c>
      <c r="O15" s="33"/>
      <c r="P15" s="33"/>
      <c r="R15" s="32"/>
    </row>
    <row r="16" spans="1:18">
      <c r="A16" s="16" t="s">
        <v>496</v>
      </c>
      <c r="B16" s="248">
        <f>'lokale energieproductie'!N90+'lokale energieproductie'!N59</f>
        <v>1125</v>
      </c>
      <c r="C16" s="248">
        <f>'lokale energieproductie'!O90+'lokale energieproductie'!O59</f>
        <v>1607.1428571428571</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-3214.2857142857147</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40157.149999999994</v>
      </c>
      <c r="C18" s="21">
        <f>C5+C16</f>
        <v>1607.1428571428571</v>
      </c>
      <c r="D18" s="21">
        <f>MAX((D5+D16),0)</f>
        <v>42925.753354000008</v>
      </c>
      <c r="E18" s="21">
        <f>MAX((E5+E16),0)</f>
        <v>551.39403744218112</v>
      </c>
      <c r="F18" s="21">
        <f>MAX((F5+F16),0)</f>
        <v>22043.148239923212</v>
      </c>
      <c r="G18" s="21"/>
      <c r="H18" s="21"/>
      <c r="I18" s="21"/>
      <c r="J18" s="21">
        <f>MAX((J5+J16),0)</f>
        <v>63.753268607568522</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0.20873939218381898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8382.3790828344445</v>
      </c>
      <c r="C22" s="23">
        <f ca="1">C18*C20</f>
        <v>0</v>
      </c>
      <c r="D22" s="23">
        <f>D18*D20</f>
        <v>8671.0021775080022</v>
      </c>
      <c r="E22" s="23">
        <f>E18*E20</f>
        <v>125.16644649937511</v>
      </c>
      <c r="F22" s="23">
        <f>F18*F20</f>
        <v>5885.5205800594977</v>
      </c>
      <c r="G22" s="23"/>
      <c r="H22" s="23"/>
      <c r="I22" s="23"/>
      <c r="J22" s="23">
        <f>J18*J20</f>
        <v>22.568657087079256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368.995</v>
      </c>
      <c r="C30" s="39">
        <f>IF(ISERROR(B30*3.6/1000000/'E Balans VL '!Z18*100),0,B30*3.6/1000000/'E Balans VL '!Z18*100)</f>
        <v>2.4564222477229027E-2</v>
      </c>
      <c r="D30" s="238" t="s">
        <v>719</v>
      </c>
    </row>
    <row r="31" spans="1:18">
      <c r="A31" s="6" t="s">
        <v>33</v>
      </c>
      <c r="B31" s="37">
        <f>IF( ISERROR(IND_ander_ele_kWh/1000),0,IND_ander_ele_kWh/1000)</f>
        <v>25468.38</v>
      </c>
      <c r="C31" s="39">
        <f>IF(ISERROR(B31*3.6/1000000/'E Balans VL '!Z19*100),0,B31*3.6/1000000/'E Balans VL '!Z19*100)</f>
        <v>1.1289123555636589</v>
      </c>
      <c r="D31" s="238" t="s">
        <v>719</v>
      </c>
    </row>
    <row r="32" spans="1:18">
      <c r="A32" s="172" t="s">
        <v>41</v>
      </c>
      <c r="B32" s="37">
        <f>IF( ISERROR(IND_voed_ele_kWh/1000),0,IND_voed_ele_kWh/1000)</f>
        <v>12758.583000000001</v>
      </c>
      <c r="C32" s="39">
        <f>IF(ISERROR(B32*3.6/1000000/'E Balans VL '!Z20*100),0,B32*3.6/1000000/'E Balans VL '!Z20*100)</f>
        <v>0.42617327183770815</v>
      </c>
      <c r="D32" s="238" t="s">
        <v>719</v>
      </c>
    </row>
    <row r="33" spans="1:5">
      <c r="A33" s="172" t="s">
        <v>40</v>
      </c>
      <c r="B33" s="37">
        <f>IF( ISERROR(IND_textiel_ele_kWh/1000),0,IND_textiel_ele_kWh/1000)</f>
        <v>222.21700000000001</v>
      </c>
      <c r="C33" s="39">
        <f>IF(ISERROR(B33*3.6/1000000/'E Balans VL '!Z21*100),0,B33*3.6/1000000/'E Balans VL '!Z21*100)</f>
        <v>2.9255380491285878E-2</v>
      </c>
      <c r="D33" s="238" t="s">
        <v>719</v>
      </c>
    </row>
    <row r="34" spans="1:5">
      <c r="A34" s="172" t="s">
        <v>37</v>
      </c>
      <c r="B34" s="37">
        <f>IF( ISERROR(IND_min_ele_kWh/1000),0,IND_min_ele_kWh/1000)</f>
        <v>138.583</v>
      </c>
      <c r="C34" s="39">
        <f>IF(ISERROR(B34*3.6/1000000/'E Balans VL '!Z22*100),0,B34*3.6/1000000/'E Balans VL '!Z22*100)</f>
        <v>2.6952871252274788E-2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75.391999999999996</v>
      </c>
      <c r="C37" s="39">
        <f>IF(ISERROR(B37*3.6/1000000/'E Balans VL '!Z15*100),0,B37*3.6/1000000/'E Balans VL '!Z15*100)</f>
        <v>5.6079365592572158E-4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2725.9430000000002</v>
      </c>
      <c r="C5" s="17">
        <f>'Eigen informatie GS &amp; warmtenet'!B60</f>
        <v>0</v>
      </c>
      <c r="D5" s="30">
        <f>IF(ISERROR(SUM(LB_lb_gas_kWh,LB_rest_gas_kWh)/1000),0,SUM(LB_lb_gas_kWh,LB_rest_gas_kWh)/1000)*0.902</f>
        <v>83.597360000000009</v>
      </c>
      <c r="E5" s="17">
        <f>B17*'E Balans VL '!I25/3.6*1000000/100</f>
        <v>28.546665238593633</v>
      </c>
      <c r="F5" s="17">
        <f>B17*('E Balans VL '!L25/3.6*1000000+'E Balans VL '!N25/3.6*1000000)/100</f>
        <v>11669.107316783678</v>
      </c>
      <c r="G5" s="18"/>
      <c r="H5" s="17"/>
      <c r="I5" s="17"/>
      <c r="J5" s="17">
        <f>('E Balans VL '!D25+'E Balans VL '!E25)/3.6*1000000*landbouw!B17/100</f>
        <v>243.45114294392846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2725.9430000000002</v>
      </c>
      <c r="C8" s="21">
        <f>C5+C6</f>
        <v>0</v>
      </c>
      <c r="D8" s="21">
        <f>MAX((D5+D6),0)</f>
        <v>83.597360000000009</v>
      </c>
      <c r="E8" s="21">
        <f>MAX((E5+E6),0)</f>
        <v>28.546665238593633</v>
      </c>
      <c r="F8" s="21">
        <f>MAX((F5+F6),0)</f>
        <v>11669.107316783678</v>
      </c>
      <c r="G8" s="21"/>
      <c r="H8" s="21"/>
      <c r="I8" s="21"/>
      <c r="J8" s="21">
        <f>MAX((J5+J6),0)</f>
        <v>243.45114294392846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0.20873939218381898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569.01168494773617</v>
      </c>
      <c r="C12" s="23">
        <f ca="1">C8*C10</f>
        <v>0</v>
      </c>
      <c r="D12" s="23">
        <f>D8*D10</f>
        <v>16.886666720000004</v>
      </c>
      <c r="E12" s="23">
        <f>E8*E10</f>
        <v>6.4800930091607549</v>
      </c>
      <c r="F12" s="23">
        <f>F8*F10</f>
        <v>3115.6516535812425</v>
      </c>
      <c r="G12" s="23"/>
      <c r="H12" s="23"/>
      <c r="I12" s="23"/>
      <c r="J12" s="23">
        <f>J8*J10</f>
        <v>86.181704602150674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0.41957524812407221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139.51070919206018</v>
      </c>
      <c r="C26" s="248">
        <f>B26*'GWP N2O_CH4'!B5</f>
        <v>2929.7248930332635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39.515592232590748</v>
      </c>
      <c r="C27" s="248">
        <f>B27*'GWP N2O_CH4'!B5</f>
        <v>829.82743688440576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1.9803481594583621</v>
      </c>
      <c r="C28" s="248">
        <f>B28*'GWP N2O_CH4'!B4</f>
        <v>613.90792943209226</v>
      </c>
      <c r="D28" s="50"/>
    </row>
    <row r="29" spans="1:4">
      <c r="A29" s="41" t="s">
        <v>277</v>
      </c>
      <c r="B29" s="248">
        <f>B34*'ha_N2O bodem landbouw'!B4</f>
        <v>12.622878499229794</v>
      </c>
      <c r="C29" s="248">
        <f>B29*'GWP N2O_CH4'!B4</f>
        <v>3913.0923347612361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2.0860964570558532E-3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2.8770869353341292E-6</v>
      </c>
      <c r="C5" s="446" t="s">
        <v>211</v>
      </c>
      <c r="D5" s="431">
        <f>SUM(D6:D11)</f>
        <v>1.4022944338559118E-5</v>
      </c>
      <c r="E5" s="431">
        <f>SUM(E6:E11)</f>
        <v>1.4258945363110722E-3</v>
      </c>
      <c r="F5" s="444" t="s">
        <v>211</v>
      </c>
      <c r="G5" s="431">
        <f>SUM(G6:G11)</f>
        <v>0.23506230170235967</v>
      </c>
      <c r="H5" s="431">
        <f>SUM(H6:H11)</f>
        <v>4.6709167758901479E-2</v>
      </c>
      <c r="I5" s="446" t="s">
        <v>211</v>
      </c>
      <c r="J5" s="446" t="s">
        <v>211</v>
      </c>
      <c r="K5" s="446" t="s">
        <v>211</v>
      </c>
      <c r="L5" s="446" t="s">
        <v>211</v>
      </c>
      <c r="M5" s="431">
        <f>SUM(M6:M11)</f>
        <v>1.2311535162178849E-2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2.4037646397120315E-6</v>
      </c>
      <c r="C6" s="432"/>
      <c r="D6" s="432">
        <f>vkm_2011_GW_PW*SUMIFS(TableVerdeelsleutelVkm[CNG],TableVerdeelsleutelVkm[Voertuigtype],"Lichte voertuigen")*SUMIFS(TableECFTransport[EnergieConsumptieFactor (PJ per km)],TableECFTransport[Index],CONCATENATE($A6,"_CNG_CNG"))</f>
        <v>1.0362349948505349E-5</v>
      </c>
      <c r="E6" s="434">
        <f>vkm_2011_GW_PW*SUMIFS(TableVerdeelsleutelVkm[LPG],TableVerdeelsleutelVkm[Voertuigtype],"Lichte voertuigen")*SUMIFS(TableECFTransport[EnergieConsumptieFactor (PJ per km)],TableECFTransport[Index],CONCATENATE($A6,"_LPG_LPG"))</f>
        <v>1.0781389300971651E-3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0.13261404819399286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3.4914530725895766E-2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7.3419054910557986E-3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5.9537593638391471E-2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2.0414615807633017E-5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2.5719124910727068E-3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4.7332229562209776E-7</v>
      </c>
      <c r="C8" s="432"/>
      <c r="D8" s="434">
        <f>vkm_2011_NGW_PW*SUMIFS(TableVerdeelsleutelVkm[CNG],TableVerdeelsleutelVkm[Voertuigtype],"Lichte voertuigen")*SUMIFS(TableECFTransport[EnergieConsumptieFactor (PJ per km)],TableECFTransport[Index],CONCATENATE($A8,"_CNG_CNG"))</f>
        <v>3.6605943900537675E-6</v>
      </c>
      <c r="E8" s="434">
        <f>vkm_2011_NGW_PW*SUMIFS(TableVerdeelsleutelVkm[LPG],TableVerdeelsleutelVkm[Voertuigtype],"Lichte voertuigen")*SUMIFS(TableECFTransport[EnergieConsumptieFactor (PJ per km)],TableECFTransport[Index],CONCATENATE($A8,"_LPG_LPG"))</f>
        <v>3.4775560621390714E-4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4.0571013230395143E-2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1.1773525497929194E-2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2.2966537013009844E-3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2.3396466395802038E-3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6.9691926888944131E-7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1.0106347874935737E-4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0.79919081537059145</v>
      </c>
      <c r="C14" s="21"/>
      <c r="D14" s="21">
        <f t="shared" ref="D14:M14" si="0">((D5)*10^9/3600)+D12</f>
        <v>3.8952623162664217</v>
      </c>
      <c r="E14" s="21">
        <f t="shared" si="0"/>
        <v>396.08181564196451</v>
      </c>
      <c r="F14" s="21"/>
      <c r="G14" s="21">
        <f t="shared" si="0"/>
        <v>65295.08380621102</v>
      </c>
      <c r="H14" s="21">
        <f t="shared" si="0"/>
        <v>12974.768821917078</v>
      </c>
      <c r="I14" s="21"/>
      <c r="J14" s="21"/>
      <c r="K14" s="21"/>
      <c r="L14" s="21"/>
      <c r="M14" s="21">
        <f t="shared" si="0"/>
        <v>3419.8708783830134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0.20873939218381898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0.16682260503934795</v>
      </c>
      <c r="C18" s="23"/>
      <c r="D18" s="23">
        <f t="shared" ref="D18:M18" si="1">D14*D16</f>
        <v>0.78684298788581719</v>
      </c>
      <c r="E18" s="23">
        <f t="shared" si="1"/>
        <v>89.91057215072594</v>
      </c>
      <c r="F18" s="23"/>
      <c r="G18" s="23">
        <f t="shared" si="1"/>
        <v>17433.787376258344</v>
      </c>
      <c r="H18" s="23">
        <f t="shared" si="1"/>
        <v>3230.7174366573522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2.998879525272989E-3</v>
      </c>
      <c r="H50" s="322">
        <f t="shared" si="2"/>
        <v>0</v>
      </c>
      <c r="I50" s="322">
        <f t="shared" si="2"/>
        <v>0</v>
      </c>
      <c r="J50" s="322">
        <f t="shared" si="2"/>
        <v>0</v>
      </c>
      <c r="K50" s="322">
        <f t="shared" si="2"/>
        <v>0</v>
      </c>
      <c r="L50" s="322">
        <f t="shared" si="2"/>
        <v>0</v>
      </c>
      <c r="M50" s="322">
        <f t="shared" si="2"/>
        <v>1.2782920560056333E-4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2.998879525272989E-3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1.2782920560056333E-4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833.02209035360806</v>
      </c>
      <c r="H54" s="21">
        <f t="shared" si="3"/>
        <v>0</v>
      </c>
      <c r="I54" s="21">
        <f t="shared" si="3"/>
        <v>0</v>
      </c>
      <c r="J54" s="21">
        <f t="shared" si="3"/>
        <v>0</v>
      </c>
      <c r="K54" s="21">
        <f t="shared" si="3"/>
        <v>0</v>
      </c>
      <c r="L54" s="21">
        <f t="shared" si="3"/>
        <v>0</v>
      </c>
      <c r="M54" s="21">
        <f t="shared" si="3"/>
        <v>35.508112666823152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0.20873939218381898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222.41689812441336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3086.7937762708752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1125</v>
      </c>
      <c r="C8" s="557">
        <f>B101</f>
        <v>0</v>
      </c>
      <c r="D8" s="985"/>
      <c r="E8" s="985">
        <f>E101</f>
        <v>0</v>
      </c>
      <c r="F8" s="986"/>
      <c r="G8" s="558"/>
      <c r="H8" s="985">
        <f>I101</f>
        <v>0</v>
      </c>
      <c r="I8" s="985">
        <f>G101+F101</f>
        <v>0</v>
      </c>
      <c r="J8" s="985">
        <f>H101+D101+C101</f>
        <v>1323.5294117647061</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4211.7937762708752</v>
      </c>
      <c r="C10" s="569">
        <f t="shared" ref="C10:L10" si="0">SUM(C8:C9)</f>
        <v>0</v>
      </c>
      <c r="D10" s="569">
        <f t="shared" si="0"/>
        <v>0</v>
      </c>
      <c r="E10" s="569">
        <f t="shared" si="0"/>
        <v>0</v>
      </c>
      <c r="F10" s="569">
        <f t="shared" si="0"/>
        <v>0</v>
      </c>
      <c r="G10" s="569">
        <f t="shared" si="0"/>
        <v>0</v>
      </c>
      <c r="H10" s="569">
        <f t="shared" si="0"/>
        <v>0</v>
      </c>
      <c r="I10" s="569">
        <f t="shared" si="0"/>
        <v>0</v>
      </c>
      <c r="J10" s="569">
        <f t="shared" si="0"/>
        <v>1323.5294117647061</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1607.1428571428571</v>
      </c>
      <c r="C17" s="581">
        <f>B102</f>
        <v>0</v>
      </c>
      <c r="D17" s="582"/>
      <c r="E17" s="582">
        <f>E102</f>
        <v>0</v>
      </c>
      <c r="F17" s="583"/>
      <c r="G17" s="584"/>
      <c r="H17" s="581">
        <f>I102</f>
        <v>0</v>
      </c>
      <c r="I17" s="582">
        <f>G102+F102</f>
        <v>0</v>
      </c>
      <c r="J17" s="582">
        <f>H102+D102+C102</f>
        <v>1890.7563025210086</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1607.1428571428571</v>
      </c>
      <c r="C20" s="568">
        <f>SUM(C17:C19)</f>
        <v>0</v>
      </c>
      <c r="D20" s="568">
        <f t="shared" ref="D20:L20" si="1">SUM(D17:D19)</f>
        <v>0</v>
      </c>
      <c r="E20" s="568">
        <f t="shared" si="1"/>
        <v>0</v>
      </c>
      <c r="F20" s="568">
        <f t="shared" si="1"/>
        <v>0</v>
      </c>
      <c r="G20" s="568">
        <f t="shared" si="1"/>
        <v>0</v>
      </c>
      <c r="H20" s="568">
        <f t="shared" si="1"/>
        <v>0</v>
      </c>
      <c r="I20" s="568">
        <f t="shared" si="1"/>
        <v>0</v>
      </c>
      <c r="J20" s="568">
        <f t="shared" si="1"/>
        <v>1890.7563025210086</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38.25">
      <c r="A28" s="593"/>
      <c r="B28" s="788">
        <v>73001</v>
      </c>
      <c r="C28" s="788">
        <v>3570</v>
      </c>
      <c r="D28" s="641" t="s">
        <v>965</v>
      </c>
      <c r="E28" s="640" t="s">
        <v>966</v>
      </c>
      <c r="F28" s="640" t="s">
        <v>967</v>
      </c>
      <c r="G28" s="640" t="s">
        <v>968</v>
      </c>
      <c r="H28" s="640" t="s">
        <v>969</v>
      </c>
      <c r="I28" s="640" t="s">
        <v>970</v>
      </c>
      <c r="J28" s="787">
        <v>40284</v>
      </c>
      <c r="K28" s="787">
        <v>40284</v>
      </c>
      <c r="L28" s="640" t="s">
        <v>971</v>
      </c>
      <c r="M28" s="640">
        <v>250</v>
      </c>
      <c r="N28" s="640">
        <v>1125</v>
      </c>
      <c r="O28" s="640">
        <v>1607.1428571428571</v>
      </c>
      <c r="P28" s="640">
        <v>0</v>
      </c>
      <c r="Q28" s="640">
        <v>3214.2857142857147</v>
      </c>
      <c r="R28" s="640">
        <v>0</v>
      </c>
      <c r="S28" s="640">
        <v>0</v>
      </c>
      <c r="T28" s="640">
        <v>0</v>
      </c>
      <c r="U28" s="640">
        <v>0</v>
      </c>
      <c r="V28" s="640">
        <v>0</v>
      </c>
      <c r="W28" s="640">
        <v>0</v>
      </c>
      <c r="X28" s="640">
        <v>500</v>
      </c>
      <c r="Y28" s="640" t="s">
        <v>41</v>
      </c>
      <c r="Z28" s="642" t="s">
        <v>391</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250</v>
      </c>
      <c r="N58" s="598">
        <f>SUM(N28:N57)</f>
        <v>1125</v>
      </c>
      <c r="O58" s="598">
        <f t="shared" ref="O58:W58" si="2">SUM(O28:O57)</f>
        <v>1607.1428571428571</v>
      </c>
      <c r="P58" s="598">
        <f t="shared" si="2"/>
        <v>0</v>
      </c>
      <c r="Q58" s="598">
        <f t="shared" si="2"/>
        <v>3214.2857142857147</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250</v>
      </c>
      <c r="N59" s="598">
        <f t="shared" si="3"/>
        <v>1125</v>
      </c>
      <c r="O59" s="598">
        <f t="shared" si="3"/>
        <v>1607.1428571428571</v>
      </c>
      <c r="P59" s="598">
        <f t="shared" si="3"/>
        <v>0</v>
      </c>
      <c r="Q59" s="598">
        <f t="shared" si="3"/>
        <v>3214.2857142857147</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1323.5294117647061</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1890.7563025210086</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2019-08-12T09:22:57Z</dcterms:modified>
</cp:coreProperties>
</file>