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76" i="14" s="1"/>
  <c r="D102" i="18"/>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L26"/>
  <c r="H26"/>
  <c r="E25"/>
  <c r="E55" s="1"/>
  <c r="Q26"/>
  <c r="N26"/>
  <c r="J26"/>
  <c r="I26"/>
  <c r="J22"/>
  <c r="R12"/>
  <c r="D5" i="17"/>
  <c r="E20" i="18" l="1"/>
  <c r="F87" i="14"/>
  <c r="F17" i="55" s="1"/>
  <c r="F20" s="1"/>
  <c r="Q76" i="14"/>
  <c r="P8" i="55" s="1"/>
  <c r="D8"/>
  <c r="D10" s="1"/>
  <c r="G78" i="14"/>
  <c r="G9" i="55"/>
  <c r="G10" s="1"/>
  <c r="N78" i="14"/>
  <c r="N9" i="55"/>
  <c r="N10" s="1"/>
  <c r="L78" i="14"/>
  <c r="L8" i="55"/>
  <c r="L10" s="1"/>
  <c r="P32" i="48"/>
  <c r="D22" i="14"/>
  <c r="D14" i="48"/>
  <c r="Q14" s="1"/>
  <c r="F10" i="55"/>
  <c r="L90" i="14"/>
  <c r="H10" i="55"/>
  <c r="E20"/>
  <c r="G20"/>
  <c r="O20"/>
  <c r="H102" i="18"/>
  <c r="O78" i="14"/>
  <c r="O9" i="55"/>
  <c r="N90" i="14"/>
  <c r="N18" i="55"/>
  <c r="N20" s="1"/>
  <c r="E90" i="14"/>
  <c r="E18" i="55"/>
  <c r="G102" i="18"/>
  <c r="L22" i="14"/>
  <c r="P31" i="48"/>
  <c r="K20" i="55"/>
  <c r="O10"/>
  <c r="H20"/>
  <c r="M22" i="14"/>
  <c r="O29" i="48"/>
  <c r="O28"/>
  <c r="O25"/>
  <c r="I102" i="18"/>
  <c r="H17" s="1"/>
  <c r="C77" i="14"/>
  <c r="C9" i="55" s="1"/>
  <c r="F9"/>
  <c r="F18"/>
  <c r="C102" i="18"/>
  <c r="F102"/>
  <c r="R9" i="14"/>
  <c r="E10" i="55"/>
  <c r="P24" i="48"/>
  <c r="B102" i="18"/>
  <c r="C17" s="1"/>
  <c r="D87" i="14" s="1"/>
  <c r="D17" i="55" s="1"/>
  <c r="D20" s="1"/>
  <c r="G22" i="14"/>
  <c r="O22"/>
  <c r="P22"/>
  <c r="M10" i="55"/>
  <c r="B77" i="14"/>
  <c r="B9" i="55" s="1"/>
  <c r="H78" i="14"/>
  <c r="C88"/>
  <c r="C18" i="55" s="1"/>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C20" i="18" l="1"/>
  <c r="F90" i="14"/>
  <c r="Q78"/>
  <c r="B9" i="6" s="1"/>
  <c r="P9" i="55"/>
  <c r="P10" s="1"/>
  <c r="H20" i="18"/>
  <c r="M87"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M90" i="14"/>
  <c r="M17" i="55"/>
  <c r="M20"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J32"/>
  <c r="J30"/>
  <c r="J28"/>
  <c r="J27"/>
  <c r="J24"/>
  <c r="J29"/>
  <c r="J31"/>
  <c r="I30"/>
  <c r="I24"/>
  <c r="I32"/>
  <c r="I25"/>
  <c r="I27"/>
  <c r="I29"/>
  <c r="I28"/>
  <c r="I31"/>
  <c r="I26"/>
  <c r="I22"/>
  <c r="B8" i="9"/>
  <c r="B6" i="48" s="1"/>
  <c r="Q6" s="1"/>
  <c r="B4"/>
  <c r="C11" i="14"/>
  <c r="N32" i="48"/>
  <c r="N27"/>
  <c r="N30"/>
  <c r="N28"/>
  <c r="N29"/>
  <c r="N24"/>
  <c r="N31"/>
  <c r="B7"/>
  <c r="C24" i="14"/>
  <c r="C26" s="1"/>
  <c r="E32" i="48"/>
  <c r="E30"/>
  <c r="E28"/>
  <c r="E24"/>
  <c r="E29"/>
  <c r="E31"/>
  <c r="M32"/>
  <c r="M30"/>
  <c r="M24"/>
  <c r="M25"/>
  <c r="M26"/>
  <c r="M29"/>
  <c r="M22"/>
  <c r="L10" i="14"/>
  <c r="L16" s="1"/>
  <c r="L27" s="1"/>
  <c r="K5" i="48"/>
  <c r="D24"/>
  <c r="D30"/>
  <c r="D31"/>
  <c r="D29"/>
  <c r="D28"/>
  <c r="D32"/>
  <c r="K30"/>
  <c r="K32"/>
  <c r="K31"/>
  <c r="K27"/>
  <c r="K28"/>
  <c r="K24"/>
  <c r="K26"/>
  <c r="K22"/>
  <c r="K29"/>
  <c r="K25"/>
  <c r="B10"/>
  <c r="C19" i="14"/>
  <c r="D4" i="48"/>
  <c r="D22" s="1"/>
  <c r="E11" i="14"/>
  <c r="H30" i="48"/>
  <c r="H26"/>
  <c r="H32"/>
  <c r="H29"/>
  <c r="H22"/>
  <c r="H28"/>
  <c r="H25"/>
  <c r="H24"/>
  <c r="H23"/>
  <c r="C18" i="16"/>
  <c r="F32" i="48"/>
  <c r="F28"/>
  <c r="F27"/>
  <c r="F24"/>
  <c r="F29"/>
  <c r="F31"/>
  <c r="F30"/>
  <c r="L30"/>
  <c r="L24"/>
  <c r="L32"/>
  <c r="L27"/>
  <c r="L22"/>
  <c r="L29"/>
  <c r="L28"/>
  <c r="L31"/>
  <c r="P5"/>
  <c r="P23" s="1"/>
  <c r="Q10" i="14"/>
  <c r="J10"/>
  <c r="J16" s="1"/>
  <c r="J27" s="1"/>
  <c r="I5" i="48"/>
  <c r="P4"/>
  <c r="Q11" i="14"/>
  <c r="P11"/>
  <c r="O4" i="48"/>
  <c r="H12" i="22"/>
  <c r="H13" i="48"/>
  <c r="H31" s="1"/>
  <c r="I18" i="14"/>
  <c r="C4" i="48"/>
  <c r="D11" i="14"/>
  <c r="G30" i="48"/>
  <c r="G32"/>
  <c r="G24"/>
  <c r="G22"/>
  <c r="G26"/>
  <c r="G25"/>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R18" s="1"/>
  <c r="K15" i="48"/>
  <c r="K23"/>
  <c r="K33" s="1"/>
  <c r="L46" i="14"/>
  <c r="L61" s="1"/>
  <c r="L63" s="1"/>
  <c r="O22" i="48"/>
  <c r="G11" i="14"/>
  <c r="F4" i="48"/>
  <c r="F22" s="1"/>
  <c r="P22" i="16"/>
  <c r="Q43" i="14" s="1"/>
  <c r="P8" i="48"/>
  <c r="P26" s="1"/>
  <c r="Q13" i="14"/>
  <c r="Q16" s="1"/>
  <c r="Q27" s="1"/>
  <c r="I22"/>
  <c r="I27" s="1"/>
  <c r="J63"/>
  <c r="P22" i="48"/>
  <c r="M23"/>
  <c r="P10" i="14"/>
  <c r="O5" i="48"/>
  <c r="O23" s="1"/>
  <c r="M13"/>
  <c r="M31" s="1"/>
  <c r="N18" i="14"/>
  <c r="I20"/>
  <c r="H9" i="48"/>
  <c r="I23"/>
  <c r="I33" s="1"/>
  <c r="I15"/>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K11" i="14"/>
  <c r="J4" i="48"/>
  <c r="J22" s="1"/>
  <c r="Q13"/>
  <c r="G31"/>
  <c r="B9"/>
  <c r="C20" i="14"/>
  <c r="E9" i="48"/>
  <c r="E27" s="1"/>
  <c r="F20" i="14"/>
  <c r="F22" s="1"/>
  <c r="D9" i="48"/>
  <c r="D27" s="1"/>
  <c r="E20" i="14"/>
  <c r="E22" s="1"/>
  <c r="P13"/>
  <c r="O8" i="48"/>
  <c r="O26" s="1"/>
  <c r="G14" i="22"/>
  <c r="P16" i="14"/>
  <c r="P27" s="1"/>
  <c r="P46"/>
  <c r="P61" s="1"/>
  <c r="C15" i="48"/>
  <c r="P15"/>
  <c r="O15"/>
  <c r="Q46" i="14"/>
  <c r="Q61" s="1"/>
  <c r="Q63" s="1"/>
  <c r="E10"/>
  <c r="P33" i="48"/>
  <c r="O33"/>
  <c r="M10"/>
  <c r="M28" s="1"/>
  <c r="N19" i="14"/>
  <c r="E12" i="13"/>
  <c r="F41" i="14" s="1"/>
  <c r="E4" i="48"/>
  <c r="F11" i="14"/>
  <c r="R11" s="1"/>
  <c r="G10" i="48"/>
  <c r="H19" i="14"/>
  <c r="R19" s="1"/>
  <c r="H27" i="48"/>
  <c r="H33" s="1"/>
  <c r="H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M18" i="22"/>
  <c r="N50" i="14" s="1"/>
  <c r="M9" i="48"/>
  <c r="N20" i="14"/>
  <c r="N22" s="1"/>
  <c r="N27" s="1"/>
  <c r="H52"/>
  <c r="H61" s="1"/>
  <c r="D15" i="48"/>
  <c r="G28"/>
  <c r="Q10"/>
  <c r="R20" i="14"/>
  <c r="R22" s="1"/>
  <c r="C22"/>
  <c r="E22" i="48"/>
  <c r="Q4"/>
  <c r="H20" i="14"/>
  <c r="H22" s="1"/>
  <c r="H27" s="1"/>
  <c r="H63" s="1"/>
  <c r="G9" i="48"/>
  <c r="P63" i="14"/>
  <c r="B15" i="48"/>
  <c r="Q9"/>
  <c r="J5"/>
  <c r="K10" i="14"/>
  <c r="E20" i="15"/>
  <c r="F40" i="14" s="1"/>
  <c r="E5" i="48"/>
  <c r="F10" i="14"/>
  <c r="L15" i="48"/>
  <c r="Q7"/>
  <c r="R24" i="14"/>
  <c r="R26" s="1"/>
  <c r="J18" i="16"/>
  <c r="N18"/>
  <c r="E18"/>
  <c r="F18"/>
  <c r="F22" s="1"/>
  <c r="G43" i="14" s="1"/>
  <c r="N63" l="1"/>
  <c r="M27" i="48"/>
  <c r="M33" s="1"/>
  <c r="M15"/>
  <c r="G27"/>
  <c r="G33" s="1"/>
  <c r="G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<sst xmlns="http://schemas.openxmlformats.org/spreadsheetml/2006/main" count="2496" uniqueCount="965">
  <si>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</si>
  <si>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</si>
  <si>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</si>
  <si>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</si>
  <si>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</si>
  <si>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</si>
  <si>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</si>
  <si>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</si>
  <si>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</si>
  <si>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</si>
  <si>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</si>
  <si>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</si>
  <si>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</si>
  <si>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</si>
  <si>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</si>
  <si>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</si>
  <si>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</si>
  <si>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</si>
  <si>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</si>
  <si>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</si>
  <si>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</si>
  <si>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</si>
  <si>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</si>
  <si>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</si>
  <si>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</si>
  <si>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</si>
  <si>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</si>
  <si>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</si>
  <si>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</si>
  <si>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</si>
  <si>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</si>
  <si>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</si>
  <si>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</si>
  <si>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</si>
  <si>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</si>
  <si>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</si>
  <si>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</si>
  <si>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</si>
  <si>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</si>
  <si>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</si>
  <si>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</si>
  <si>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</si>
  <si>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</si>
  <si>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</si>
  <si>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</si>
  <si>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</si>
  <si>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</si>
  <si>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</si>
  <si>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</si>
  <si>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</si>
  <si>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</si>
  <si>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</si>
  <si>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</si>
  <si>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</si>
  <si>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</si>
  <si>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</si>
  <si>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</si>
  <si>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</si>
  <si>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</si>
  <si>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</si>
  <si>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</si>
  <si>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</si>
  <si>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</si>
  <si>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</si>
  <si>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</si>
  <si>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</si>
  <si>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</si>
  <si>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</si>
  <si>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</si>
  <si>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</si>
  <si>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</si>
  <si>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</si>
  <si>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</si>
  <si>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</si>
  <si>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</si>
  <si>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</si>
  <si>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</si>
  <si>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</si>
  <si>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</si>
  <si>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</si>
  <si>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</si>
  <si>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</si>
  <si>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</si>
  <si>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</si>
  <si>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</si>
  <si>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</si>
  <si>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</si>
  <si>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</si>
  <si>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</si>
  <si>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</si>
  <si>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</si>
  <si>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</si>
  <si>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</si>
  <si>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</si>
  <si>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</si>
  <si>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</si>
  <si>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</si>
  <si>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</si>
  <si>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</si>
  <si>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</si>
  <si>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</si>
  <si>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</si>
  <si>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</si>
  <si>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</si>
  <si>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</si>
  <si>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</si>
  <si>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</si>
  <si>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</si>
  <si>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</si>
  <si>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</si>
  <si>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</si>
  <si>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</si>
  <si>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</si>
  <si>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</si>
  <si>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</si>
  <si>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</si>
  <si>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</si>
  <si>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</si>
  <si>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</si>
  <si>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</si>
  <si>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</si>
  <si>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</si>
  <si>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</si>
  <si>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</si>
  <si>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</si>
  <si>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</si>
  <si>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</si>
  <si>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</si>
  <si>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</si>
  <si>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</si>
  <si>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</si>
  <si>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</si>
  <si>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</si>
  <si>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</si>
  <si>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</si>
  <si>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</si>
  <si>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</si>
  <si>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</si>
  <si>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</si>
  <si>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</si>
  <si>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</si>
  <si>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</si>
  <si>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</si>
  <si>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</si>
  <si>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</si>
  <si>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</si>
  <si>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</si>
  <si>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</si>
  <si>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</si>
  <si>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</si>
  <si>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</si>
  <si>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</si>
  <si>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</si>
  <si>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</si>
  <si>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</si>
  <si>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</si>
  <si>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</si>
  <si>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</si>
  <si>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</si>
  <si>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</si>
  <si>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</si>
  <si>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</si>
  <si>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</si>
  <si>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</si>
  <si>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</si>
  <si>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</si>
  <si>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</si>
  <si>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</si>
  <si>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</si>
  <si>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</si>
  <si>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</si>
  <si>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</si>
  <si>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</si>
  <si>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</si>
  <si>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</si>
  <si>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</si>
  <si>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</si>
  <si>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</si>
  <si>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</si>
  <si>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</si>
  <si>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</si>
  <si>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</si>
  <si>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</si>
  <si>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</si>
  <si>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</si>
  <si>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</si>
  <si>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</si>
  <si>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</si>
  <si>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</si>
  <si>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</si>
  <si>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</si>
  <si>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</si>
  <si>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</si>
  <si>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</si>
  <si>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</si>
  <si>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</si>
  <si>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</si>
  <si>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</si>
  <si>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</si>
  <si>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</si>
  <si>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</si>
  <si>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</si>
  <si>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</si>
  <si>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</si>
  <si>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</si>
  <si>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</si>
  <si>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</si>
  <si>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</si>
  <si>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</si>
  <si>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</si>
  <si>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</si>
  <si>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</si>
  <si>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</si>
  <si>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</si>
  <si>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</si>
  <si>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</si>
  <si>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</si>
  <si>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</si>
  <si>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</si>
  <si>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</si>
  <si>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</si>
  <si>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</si>
  <si>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</si>
  <si>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</si>
  <si>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</si>
  <si>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</si>
  <si>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</si>
  <si>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</si>
  <si>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</si>
  <si>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</si>
  <si>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</si>
  <si>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</si>
  <si>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</si>
  <si>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</si>
  <si>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</si>
  <si>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</si>
  <si>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</si>
  <si>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</si>
  <si>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</si>
  <si>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</si>
  <si>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</si>
  <si>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</si>
  <si>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</si>
  <si>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</si>
  <si>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</si>
  <si>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</si>
  <si>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</si>
  <si>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</si>
  <si>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</si>
  <si>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</si>
  <si>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</si>
  <si>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</si>
  <si>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</si>
  <si>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</si>
  <si>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</si>
  <si>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</si>
  <si>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</si>
  <si>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</si>
  <si>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</si>
  <si>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</si>
  <si>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</si>
  <si>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</si>
  <si>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</si>
  <si>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</si>
  <si>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</si>
  <si>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</si>
  <si>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</si>
  <si>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</si>
  <si>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</si>
  <si>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</si>
  <si>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</si>
  <si>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</si>
  <si>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</si>
  <si>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</si>
  <si>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</si>
  <si>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</si>
  <si>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</si>
  <si>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</si>
  <si>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</si>
  <si>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</si>
  <si>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</si>
  <si>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</si>
  <si>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</si>
  <si>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</si>
  <si>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</si>
  <si>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</si>
  <si>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</si>
  <si>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</si>
  <si>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</si>
  <si>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</si>
  <si>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</si>
  <si>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</si>
  <si>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</si>
  <si>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</si>
  <si>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</si>
  <si>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</si>
  <si>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</si>
  <si>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</si>
  <si>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</si>
  <si>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</si>
  <si>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</si>
  <si>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</si>
  <si>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</si>
  <si>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</si>
  <si>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</si>
  <si>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</si>
  <si>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</si>
  <si>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</si>
  <si>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</si>
  <si>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</si>
  <si>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</si>
  <si>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</si>
  <si>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</si>
  <si>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</si>
  <si>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</si>
  <si>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</si>
  <si>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</si>
  <si>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</si>
  <si>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</si>
  <si>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</si>
  <si>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</si>
  <si>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</si>
  <si>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</si>
  <si>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</si>
  <si>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</si>
  <si>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</si>
  <si>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</si>
  <si>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</si>
  <si>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</si>
  <si>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</si>
  <si>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</si>
  <si>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</si>
  <si>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</si>
  <si>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</si>
  <si>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</si>
  <si>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</si>
  <si>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</si>
  <si>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</si>
  <si>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</si>
  <si>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</si>
  <si>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</si>
  <si>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</si>
  <si>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</si>
  <si>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</si>
  <si>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</si>
  <si>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</si>
  <si>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</si>
  <si>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</si>
  <si>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</si>
  <si>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</si>
  <si>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</si>
  <si>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</si>
  <si>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</si>
  <si>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</si>
  <si>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</si>
  <si>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</si>
  <si>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</si>
  <si>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</si>
  <si>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</si>
  <si>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</si>
  <si>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</si>
  <si>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</si>
  <si>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</si>
  <si>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</si>
  <si>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</si>
  <si>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</si>
  <si>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</si>
  <si>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</si>
  <si>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</si>
  <si>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</si>
  <si>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</si>
  <si>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</si>
  <si>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</si>
  <si>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</si>
  <si>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</si>
  <si>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</si>
  <si>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</si>
  <si>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</si>
  <si>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</si>
  <si>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</si>
  <si>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</si>
  <si>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</si>
  <si>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</si>
  <si>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</si>
  <si>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</si>
  <si>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</si>
  <si>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</si>
  <si>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</si>
  <si>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</si>
  <si>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</si>
  <si>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</si>
  <si>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</si>
  <si>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</si>
  <si>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</si>
  <si>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</si>
  <si>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</si>
  <si>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</si>
  <si>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</si>
  <si>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</si>
  <si>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</si>
  <si>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</si>
  <si>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</si>
  <si>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</si>
  <si>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</si>
  <si>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</si>
  <si>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</si>
  <si>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</si>
  <si>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</si>
  <si>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</si>
  <si>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</si>
  <si>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</si>
  <si>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</si>
  <si>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</si>
  <si>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</si>
  <si>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</si>
  <si>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</si>
  <si>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</si>
  <si>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</si>
  <si>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</si>
  <si>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</si>
  <si>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</si>
  <si>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</si>
  <si>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</si>
  <si>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</si>
  <si>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</si>
  <si>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</si>
  <si>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</si>
  <si>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</si>
  <si>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</si>
  <si>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</si>
  <si>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</si>
  <si>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</si>
  <si>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</si>
  <si>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</si>
  <si>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</si>
  <si>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</si>
  <si>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</si>
  <si>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</si>
  <si>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</si>
  <si>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</si>
  <si>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</si>
  <si>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</si>
  <si>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</si>
  <si>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</si>
  <si>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</si>
  <si>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</si>
  <si>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</si>
  <si>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</si>
  <si>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</si>
  <si>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</si>
  <si>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</si>
  <si>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</si>
  <si>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</si>
  <si>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</si>
  <si>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</si>
  <si>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</si>
  <si>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</si>
  <si>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</si>
  <si>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</si>
  <si>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</si>
  <si>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</si>
  <si>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</si>
  <si>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</si>
  <si>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</si>
  <si>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</si>
  <si>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</si>
  <si>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</si>
  <si>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</si>
  <si>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</si>
  <si>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</si>
  <si>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</si>
  <si>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</si>
  <si>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</si>
  <si>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</si>
  <si>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</si>
  <si>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</si>
  <si>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</si>
  <si>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</si>
  <si>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</si>
  <si>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</si>
  <si>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</si>
  <si>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</si>
  <si>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</si>
  <si>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</si>
  <si>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</si>
  <si>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</si>
  <si>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</si>
  <si>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</si>
  <si>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</si>
  <si>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</si>
  <si>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</si>
  <si>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</si>
  <si>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</si>
  <si>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</si>
  <si>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</si>
  <si>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</si>
  <si>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</si>
  <si>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</si>
  <si>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</si>
  <si>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</si>
  <si>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</si>
  <si>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</si>
  <si>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</si>
  <si>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</si>
  <si>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</si>
  <si>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</si>
  <si>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</si>
  <si>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</si>
  <si>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</si>
  <si>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</si>
  <si>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</si>
  <si>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</si>
  <si>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</si>
  <si>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</si>
  <si>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</si>
  <si>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</si>
  <si>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</si>
  <si>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</si>
  <si>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</si>
  <si>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</si>
  <si>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</si>
  <si>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</si>
  <si>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</si>
  <si>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</si>
  <si>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</si>
  <si>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</si>
  <si>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</si>
  <si>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</si>
  <si>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</si>
  <si>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</si>
  <si>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</si>
  <si>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</si>
  <si>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</si>
  <si>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</si>
  <si>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</si>
  <si>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</si>
  <si>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</si>
  <si>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</si>
  <si>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</si>
  <si>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</si>
  <si>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</si>
  <si>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</si>
  <si>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</si>
  <si>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</si>
  <si>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</si>
  <si>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</si>
  <si>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</si>
  <si>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</si>
  <si>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</si>
  <si>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</si>
  <si>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</si>
  <si>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</si>
  <si>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</si>
  <si>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</si>
  <si>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</si>
  <si>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</si>
  <si>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</si>
  <si>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</si>
  <si>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</si>
  <si>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</si>
  <si>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</si>
  <si>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</si>
  <si>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</si>
  <si>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</si>
  <si>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</si>
  <si>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</si>
  <si>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</si>
  <si>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</si>
  <si>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</si>
  <si>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</si>
  <si>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</si>
  <si>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</si>
  <si>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</si>
  <si>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</si>
  <si>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</si>
  <si>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</si>
  <si>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</si>
  <si>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</si>
  <si>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</si>
  <si>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</si>
  <si>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</si>
  <si>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</si>
  <si>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</si>
  <si>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</si>
  <si>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</si>
  <si>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</si>
  <si>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</si>
  <si>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</si>
  <si>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</si>
  <si>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</si>
  <si>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</si>
  <si>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</si>
  <si>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</si>
  <si>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</si>
  <si>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</si>
  <si>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</si>
  <si>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</si>
  <si>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</si>
  <si>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</si>
  <si>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</si>
  <si>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</si>
  <si>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</si>
  <si>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</si>
  <si>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</si>
  <si>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</si>
  <si>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</si>
  <si>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</si>
  <si>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</si>
  <si>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</si>
  <si>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</si>
  <si>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</si>
  <si>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</si>
  <si>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</si>
  <si>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</si>
  <si>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</si>
  <si>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</si>
  <si>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</si>
  <si>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</si>
  <si>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</si>
  <si>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</si>
  <si>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</si>
  <si>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</si>
  <si>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</si>
  <si>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</si>
  <si>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</si>
  <si>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</si>
  <si>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</si>
  <si>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</si>
  <si>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</si>
  <si>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</si>
  <si>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</si>
  <si>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</si>
  <si>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</si>
  <si>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</si>
  <si>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</si>
  <si>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</si>
  <si>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</si>
  <si>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</si>
  <si>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</si>
  <si>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</si>
  <si>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</si>
  <si>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</si>
  <si>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</si>
  <si>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</si>
  <si>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</si>
  <si>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</si>
  <si>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</si>
  <si>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</si>
  <si>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</si>
  <si>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</si>
  <si>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</si>
  <si>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</si>
  <si>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</si>
  <si>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</si>
  <si>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</si>
  <si>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</si>
  <si>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</si>
  <si>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</si>
  <si>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</si>
  <si>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</si>
  <si>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</si>
  <si>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</si>
  <si>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</si>
  <si>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</si>
  <si>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</si>
  <si>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</si>
  <si>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</si>
  <si>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</si>
  <si>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</si>
  <si>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</si>
  <si>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</si>
  <si>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</si>
  <si>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</si>
  <si>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</si>
  <si>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</si>
  <si>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</si>
  <si>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</si>
  <si>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</si>
  <si>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</si>
  <si>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</si>
  <si>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</si>
  <si>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</si>
  <si>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</si>
  <si>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</si>
  <si>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</si>
  <si>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</si>
  <si>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</si>
  <si>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</si>
  <si>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</si>
  <si>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</si>
  <si>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</si>
  <si>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</si>
  <si>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</si>
  <si>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</si>
  <si>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</si>
  <si>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</si>
  <si>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</si>
  <si>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</si>
  <si>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</si>
  <si>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</si>
  <si>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</si>
  <si>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</si>
  <si>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</si>
  <si>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</si>
  <si>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</si>
  <si>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</si>
  <si>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</si>
  <si>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</si>
  <si>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</si>
  <si>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</si>
  <si>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</si>
  <si>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</si>
  <si>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</si>
  <si>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</si>
  <si>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</si>
  <si>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</si>
  <si>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</si>
  <si>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</si>
  <si>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</si>
  <si>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</si>
  <si>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</si>
  <si>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</si>
  <si>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</si>
  <si>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</si>
  <si>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</si>
  <si>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</si>
  <si>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</si>
  <si>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</si>
  <si>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</si>
  <si>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</si>
  <si>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</si>
  <si>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</si>
  <si>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</si>
  <si>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</si>
  <si>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</si>
  <si>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</si>
  <si>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</si>
  <si>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</si>
  <si>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</si>
  <si>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</si>
  <si>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</si>
  <si>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</si>
  <si>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</si>
  <si>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</si>
  <si>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</si>
  <si>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</si>
  <si>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</si>
  <si>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</si>
  <si>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</si>
  <si>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</si>
  <si>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</si>
  <si>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</si>
  <si>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</si>
  <si>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</si>
  <si>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</si>
  <si>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</si>
  <si>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</si>
  <si>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</si>
  <si>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</si>
  <si>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</si>
  <si>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</si>
  <si>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</si>
  <si>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</si>
  <si>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</si>
  <si>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</si>
  <si>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</si>
  <si>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</si>
  <si>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</si>
  <si>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</si>
  <si>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</si>
  <si>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</si>
  <si>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</si>
  <si>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</si>
  <si>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</si>
  <si>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</si>
  <si>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</si>
  <si>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</si>
  <si>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</si>
  <si>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</si>
  <si>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</si>
  <si>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</si>
  <si>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</si>
  <si>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</si>
  <si>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</si>
  <si>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</si>
  <si>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</si>
  <si>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</si>
  <si>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</si>
  <si>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</si>
  <si>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</si>
  <si>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</si>
  <si>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</si>
  <si>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</si>
  <si>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</si>
  <si>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</si>
  <si>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</si>
  <si>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</si>
  <si>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</si>
  <si>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</si>
  <si>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</si>
  <si>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</si>
  <si>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</si>
  <si>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</si>
  <si>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</si>
  <si>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</si>
  <si>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</si>
  <si>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</si>
  <si>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</si>
  <si>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</si>
  <si>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</si>
  <si>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</si>
  <si>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</si>
  <si>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</si>
  <si>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</si>
  <si>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</si>
  <si>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</si>
  <si>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</si>
  <si>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</si>
  <si>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</si>
  <si>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</si>
  <si>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</si>
  <si>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</si>
  <si>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</si>
  <si>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</si>
  <si>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</si>
  <si>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</si>
  <si>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</si>
  <si>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</si>
  <si>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</si>
  <si>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</si>
  <si>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</si>
  <si>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</si>
  <si>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</si>
  <si>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</si>
  <si>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</si>
  <si>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</si>
  <si>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</si>
  <si>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</si>
  <si>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</si>
  <si>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</si>
  <si>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</si>
  <si>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</si>
  <si>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</si>
  <si>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</si>
  <si>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</si>
  <si>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</si>
  <si>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</si>
  <si>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</si>
  <si>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</si>
  <si>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</si>
  <si>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</si>
  <si>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</si>
  <si>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</si>
  <si>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</si>
  <si>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</si>
  <si>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</si>
  <si>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</si>
  <si>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</si>
  <si>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</si>
  <si>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</si>
  <si>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</si>
  <si>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</si>
  <si>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</si>
  <si>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</si>
  <si>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</si>
  <si>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</si>
  <si>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</si>
  <si>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</si>
  <si>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</si>
  <si>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</si>
  <si>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</si>
  <si>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</si>
  <si>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</si>
  <si>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</si>
  <si>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</si>
  <si>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</si>
  <si>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</si>
  <si>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</si>
  <si>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</si>
  <si>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</si>
  <si>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</si>
  <si>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</si>
  <si>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</si>
  <si>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</si>
  <si>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</si>
  <si>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</si>
  <si>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</si>
  <si>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</si>
  <si>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</si>
  <si>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</si>
  <si>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</si>
  <si>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</si>
  <si>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</si>
  <si>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</si>
  <si>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</si>
  <si>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</si>
  <si>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</si>
  <si>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</si>
  <si>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</si>
  <si>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</si>
  <si>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</si>
  <si>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</si>
  <si>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</si>
  <si>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</si>
  <si>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</si>
  <si>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</si>
  <si>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</si>
  <si>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</si>
  <si>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</si>
  <si>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</si>
  <si>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</si>
  <si>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</si>
  <si>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</si>
  <si>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</si>
  <si>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</si>
  <si>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</si>
  <si>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</si>
  <si>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</si>
  <si>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</si>
  <si>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</si>
  <si>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</si>
  <si>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</si>
  <si>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</si>
  <si>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</si>
  <si>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</si>
  <si>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</si>
  <si>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</si>
  <si>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</si>
  <si>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</si>
  <si>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</si>
  <si>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</si>
  <si>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</si>
  <si>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</si>
  <si>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</si>
  <si>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</si>
  <si>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</si>
  <si>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</si>
  <si>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</si>
  <si>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</si>
  <si>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</si>
  <si>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</si>
  <si>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</si>
  <si>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</si>
  <si>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</si>
  <si>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</si>
  <si>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</si>
  <si>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</si>
  <si>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</si>
  <si>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</si>
  <si>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</si>
  <si>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</si>
  <si>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</si>
  <si>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</si>
  <si>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</si>
  <si>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</si>
  <si>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</si>
  <si>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72021</t>
  </si>
  <si>
    <t>MAASEIK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</si>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</sst>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72021</v>
      </c>
      <c r="B6" s="396"/>
      <c r="C6" s="397"/>
    </row>
    <row r="7" spans="1:7" s="394" customFormat="1" ht="15.75" customHeight="1">
      <c r="A7" s="398" t="str">
        <f>txtMunicipality</f>
        <v>MAASEIK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26124.664000000004</v>
      </c>
      <c r="D10" s="687">
        <f ca="1">tertiair!C16</f>
        <v>0</v>
      </c>
      <c r="E10" s="687">
        <f ca="1">tertiair!D16</f>
        <v>20319.037398</v>
      </c>
      <c r="F10" s="687">
        <f>tertiair!E16</f>
        <v>431.00097469858736</v>
      </c>
      <c r="G10" s="687">
        <f ca="1">tertiair!F16</f>
        <v>5584.7920535005014</v>
      </c>
      <c r="H10" s="687">
        <f>tertiair!G16</f>
        <v>0</v>
      </c>
      <c r="I10" s="687">
        <f>tertiair!H16</f>
        <v>0</v>
      </c>
      <c r="J10" s="687">
        <f>tertiair!I16</f>
        <v>0</v>
      </c>
      <c r="K10" s="687">
        <f>tertiair!J16</f>
        <v>0</v>
      </c>
      <c r="L10" s="687">
        <f>tertiair!K16</f>
        <v>0</v>
      </c>
      <c r="M10" s="687">
        <f ca="1">tertiair!L16</f>
        <v>0</v>
      </c>
      <c r="N10" s="687">
        <f>tertiair!M16</f>
        <v>0</v>
      </c>
      <c r="O10" s="687">
        <f ca="1">tertiair!N16</f>
        <v>1158.567275310013</v>
      </c>
      <c r="P10" s="687">
        <f>tertiair!O16</f>
        <v>3.1266666666666669</v>
      </c>
      <c r="Q10" s="688">
        <f>tertiair!P16</f>
        <v>0</v>
      </c>
      <c r="R10" s="690">
        <f ca="1">SUM(C10:Q10)</f>
        <v>53621.188368175775</v>
      </c>
      <c r="S10" s="67"/>
    </row>
    <row r="11" spans="1:19" s="456" customFormat="1">
      <c r="A11" s="802" t="s">
        <v>225</v>
      </c>
      <c r="B11" s="807"/>
      <c r="C11" s="687">
        <f>huishoudens!B8</f>
        <v>46228.528744165109</v>
      </c>
      <c r="D11" s="687">
        <f>huishoudens!C8</f>
        <v>0</v>
      </c>
      <c r="E11" s="687">
        <f>huishoudens!D8</f>
        <v>74463.385985999994</v>
      </c>
      <c r="F11" s="687">
        <f>huishoudens!E8</f>
        <v>6973.1515511802245</v>
      </c>
      <c r="G11" s="687">
        <f>huishoudens!F8</f>
        <v>79244.158497467768</v>
      </c>
      <c r="H11" s="687">
        <f>huishoudens!G8</f>
        <v>0</v>
      </c>
      <c r="I11" s="687">
        <f>huishoudens!H8</f>
        <v>0</v>
      </c>
      <c r="J11" s="687">
        <f>huishoudens!I8</f>
        <v>0</v>
      </c>
      <c r="K11" s="687">
        <f>huishoudens!J8</f>
        <v>0</v>
      </c>
      <c r="L11" s="687">
        <f>huishoudens!K8</f>
        <v>0</v>
      </c>
      <c r="M11" s="687">
        <f>huishoudens!L8</f>
        <v>0</v>
      </c>
      <c r="N11" s="687">
        <f>huishoudens!M8</f>
        <v>0</v>
      </c>
      <c r="O11" s="687">
        <f>huishoudens!N8</f>
        <v>18365.076891532801</v>
      </c>
      <c r="P11" s="687">
        <f>huishoudens!O8</f>
        <v>79.73</v>
      </c>
      <c r="Q11" s="688">
        <f>huishoudens!P8</f>
        <v>209.73333333333335</v>
      </c>
      <c r="R11" s="690">
        <f>SUM(C11:Q11)</f>
        <v>225563.76500367923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11861.892</v>
      </c>
      <c r="D13" s="687">
        <f>industrie!C18</f>
        <v>0</v>
      </c>
      <c r="E13" s="687">
        <f>industrie!D18</f>
        <v>10785.605468</v>
      </c>
      <c r="F13" s="687">
        <f>industrie!E18</f>
        <v>161.60813626094972</v>
      </c>
      <c r="G13" s="687">
        <f>industrie!F18</f>
        <v>3053.9671761234131</v>
      </c>
      <c r="H13" s="687">
        <f>industrie!G18</f>
        <v>0</v>
      </c>
      <c r="I13" s="687">
        <f>industrie!H18</f>
        <v>0</v>
      </c>
      <c r="J13" s="687">
        <f>industrie!I18</f>
        <v>0</v>
      </c>
      <c r="K13" s="687">
        <f>industrie!J18</f>
        <v>68.267531341149379</v>
      </c>
      <c r="L13" s="687">
        <f>industrie!K18</f>
        <v>0</v>
      </c>
      <c r="M13" s="687">
        <f>industrie!L18</f>
        <v>0</v>
      </c>
      <c r="N13" s="687">
        <f>industrie!M18</f>
        <v>0</v>
      </c>
      <c r="O13" s="687">
        <f>industrie!N18</f>
        <v>252.01367938588521</v>
      </c>
      <c r="P13" s="687">
        <f>industrie!O18</f>
        <v>0</v>
      </c>
      <c r="Q13" s="688">
        <f>industrie!P18</f>
        <v>0</v>
      </c>
      <c r="R13" s="690">
        <f>SUM(C13:Q13)</f>
        <v>26183.353991111398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84215.084744165099</v>
      </c>
      <c r="D16" s="720">
        <f t="shared" ref="D16:R16" ca="1" si="0">SUM(D9:D15)</f>
        <v>0</v>
      </c>
      <c r="E16" s="720">
        <f t="shared" ca="1" si="0"/>
        <v>105568.02885199999</v>
      </c>
      <c r="F16" s="720">
        <f t="shared" si="0"/>
        <v>7565.7606621397608</v>
      </c>
      <c r="G16" s="720">
        <f t="shared" ca="1" si="0"/>
        <v>87882.91772709167</v>
      </c>
      <c r="H16" s="720">
        <f t="shared" si="0"/>
        <v>0</v>
      </c>
      <c r="I16" s="720">
        <f t="shared" si="0"/>
        <v>0</v>
      </c>
      <c r="J16" s="720">
        <f t="shared" si="0"/>
        <v>0</v>
      </c>
      <c r="K16" s="720">
        <f t="shared" si="0"/>
        <v>68.267531341149379</v>
      </c>
      <c r="L16" s="720">
        <f t="shared" si="0"/>
        <v>0</v>
      </c>
      <c r="M16" s="720">
        <f t="shared" ca="1" si="0"/>
        <v>0</v>
      </c>
      <c r="N16" s="720">
        <f t="shared" si="0"/>
        <v>0</v>
      </c>
      <c r="O16" s="720">
        <f t="shared" ca="1" si="0"/>
        <v>19775.657846228696</v>
      </c>
      <c r="P16" s="720">
        <f t="shared" si="0"/>
        <v>82.856666666666669</v>
      </c>
      <c r="Q16" s="720">
        <f t="shared" si="0"/>
        <v>209.73333333333335</v>
      </c>
      <c r="R16" s="720">
        <f t="shared" ca="1" si="0"/>
        <v>305368.30736296641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2595.0293796254418</v>
      </c>
      <c r="I19" s="687">
        <f>transport!H54</f>
        <v>0</v>
      </c>
      <c r="J19" s="687">
        <f>transport!I54</f>
        <v>0</v>
      </c>
      <c r="K19" s="687">
        <f>transport!J54</f>
        <v>0</v>
      </c>
      <c r="L19" s="687">
        <f>transport!K54</f>
        <v>0</v>
      </c>
      <c r="M19" s="687">
        <f>transport!L54</f>
        <v>0</v>
      </c>
      <c r="N19" s="687">
        <f>transport!M54</f>
        <v>110.61482840910266</v>
      </c>
      <c r="O19" s="687">
        <f>transport!N54</f>
        <v>0</v>
      </c>
      <c r="P19" s="687">
        <f>transport!O54</f>
        <v>0</v>
      </c>
      <c r="Q19" s="688">
        <f>transport!P54</f>
        <v>0</v>
      </c>
      <c r="R19" s="690">
        <f>SUM(C19:Q19)</f>
        <v>2705.6442080345446</v>
      </c>
      <c r="S19" s="67"/>
    </row>
    <row r="20" spans="1:19" s="456" customFormat="1">
      <c r="A20" s="802" t="s">
        <v>307</v>
      </c>
      <c r="B20" s="807"/>
      <c r="C20" s="687">
        <f>transport!B14</f>
        <v>0.98096607029700789</v>
      </c>
      <c r="D20" s="687">
        <f>transport!C14</f>
        <v>0</v>
      </c>
      <c r="E20" s="687">
        <f>transport!D14</f>
        <v>4.9347757947686031</v>
      </c>
      <c r="F20" s="687">
        <f>transport!E14</f>
        <v>499.00764625788338</v>
      </c>
      <c r="G20" s="687">
        <f>transport!F14</f>
        <v>0</v>
      </c>
      <c r="H20" s="687">
        <f>transport!G14</f>
        <v>75198.094965678436</v>
      </c>
      <c r="I20" s="687">
        <f>transport!H14</f>
        <v>16387.899133498613</v>
      </c>
      <c r="J20" s="687">
        <f>transport!I14</f>
        <v>0</v>
      </c>
      <c r="K20" s="687">
        <f>transport!J14</f>
        <v>0</v>
      </c>
      <c r="L20" s="687">
        <f>transport!K14</f>
        <v>0</v>
      </c>
      <c r="M20" s="687">
        <f>transport!L14</f>
        <v>0</v>
      </c>
      <c r="N20" s="687">
        <f>transport!M14</f>
        <v>4005.4147654199578</v>
      </c>
      <c r="O20" s="687">
        <f>transport!N14</f>
        <v>0</v>
      </c>
      <c r="P20" s="687">
        <f>transport!O14</f>
        <v>0</v>
      </c>
      <c r="Q20" s="688">
        <f>transport!P14</f>
        <v>0</v>
      </c>
      <c r="R20" s="690">
        <f>SUM(C20:Q20)</f>
        <v>96096.332252719963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0.98096607029700789</v>
      </c>
      <c r="D22" s="805">
        <f t="shared" ref="D22:R22" si="1">SUM(D18:D21)</f>
        <v>0</v>
      </c>
      <c r="E22" s="805">
        <f t="shared" si="1"/>
        <v>4.9347757947686031</v>
      </c>
      <c r="F22" s="805">
        <f t="shared" si="1"/>
        <v>499.00764625788338</v>
      </c>
      <c r="G22" s="805">
        <f t="shared" si="1"/>
        <v>0</v>
      </c>
      <c r="H22" s="805">
        <f t="shared" si="1"/>
        <v>77793.124345303877</v>
      </c>
      <c r="I22" s="805">
        <f t="shared" si="1"/>
        <v>16387.899133498613</v>
      </c>
      <c r="J22" s="805">
        <f t="shared" si="1"/>
        <v>0</v>
      </c>
      <c r="K22" s="805">
        <f t="shared" si="1"/>
        <v>0</v>
      </c>
      <c r="L22" s="805">
        <f t="shared" si="1"/>
        <v>0</v>
      </c>
      <c r="M22" s="805">
        <f t="shared" si="1"/>
        <v>0</v>
      </c>
      <c r="N22" s="805">
        <f t="shared" si="1"/>
        <v>4116.0295938290601</v>
      </c>
      <c r="O22" s="805">
        <f t="shared" si="1"/>
        <v>0</v>
      </c>
      <c r="P22" s="805">
        <f t="shared" si="1"/>
        <v>0</v>
      </c>
      <c r="Q22" s="805">
        <f t="shared" si="1"/>
        <v>0</v>
      </c>
      <c r="R22" s="805">
        <f t="shared" si="1"/>
        <v>98801.976460754508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6671.95</v>
      </c>
      <c r="D24" s="687">
        <f>+landbouw!C8</f>
        <v>0</v>
      </c>
      <c r="E24" s="687">
        <f>+landbouw!D8</f>
        <v>6947.2112159999997</v>
      </c>
      <c r="F24" s="687">
        <f>+landbouw!E8</f>
        <v>69.870104818271955</v>
      </c>
      <c r="G24" s="687">
        <f>+landbouw!F8</f>
        <v>28561.01560532075</v>
      </c>
      <c r="H24" s="687">
        <f>+landbouw!G8</f>
        <v>0</v>
      </c>
      <c r="I24" s="687">
        <f>+landbouw!H8</f>
        <v>0</v>
      </c>
      <c r="J24" s="687">
        <f>+landbouw!I8</f>
        <v>0</v>
      </c>
      <c r="K24" s="687">
        <f>+landbouw!J8</f>
        <v>595.86493670804668</v>
      </c>
      <c r="L24" s="687">
        <f>+landbouw!K8</f>
        <v>0</v>
      </c>
      <c r="M24" s="687">
        <f>+landbouw!L8</f>
        <v>0</v>
      </c>
      <c r="N24" s="687">
        <f>+landbouw!M8</f>
        <v>0</v>
      </c>
      <c r="O24" s="687">
        <f>+landbouw!N8</f>
        <v>0</v>
      </c>
      <c r="P24" s="687">
        <f>+landbouw!O8</f>
        <v>0</v>
      </c>
      <c r="Q24" s="688">
        <f>+landbouw!P8</f>
        <v>0</v>
      </c>
      <c r="R24" s="690">
        <f>SUM(C24:Q24)</f>
        <v>42845.911862847068</v>
      </c>
      <c r="S24" s="67"/>
    </row>
    <row r="25" spans="1:19" s="456" customFormat="1" ht="15" thickBot="1">
      <c r="A25" s="824" t="s">
        <v>925</v>
      </c>
      <c r="B25" s="988"/>
      <c r="C25" s="989">
        <f>IF(Onbekend_ele_kWh="---",0,Onbekend_ele_kWh)/1000+IF(REST_rest_ele_kWh="---",0,REST_rest_ele_kWh)/1000</f>
        <v>3190.837</v>
      </c>
      <c r="D25" s="989"/>
      <c r="E25" s="989">
        <f>IF(onbekend_gas_kWh="---",0,onbekend_gas_kWh)/1000+IF(REST_rest_gas_kWh="---",0,REST_rest_gas_kWh)/1000</f>
        <v>6957.0870000000004</v>
      </c>
      <c r="F25" s="989"/>
      <c r="G25" s="989"/>
      <c r="H25" s="989"/>
      <c r="I25" s="989"/>
      <c r="J25" s="989"/>
      <c r="K25" s="989"/>
      <c r="L25" s="989"/>
      <c r="M25" s="989"/>
      <c r="N25" s="989"/>
      <c r="O25" s="989"/>
      <c r="P25" s="989"/>
      <c r="Q25" s="990"/>
      <c r="R25" s="690">
        <f>SUM(C25:Q25)</f>
        <v>10147.924000000001</v>
      </c>
      <c r="S25" s="67"/>
    </row>
    <row r="26" spans="1:19" s="456" customFormat="1" ht="15.75" thickBot="1">
      <c r="A26" s="693" t="s">
        <v>926</v>
      </c>
      <c r="B26" s="810"/>
      <c r="C26" s="805">
        <f>SUM(C24:C25)</f>
        <v>9862.7870000000003</v>
      </c>
      <c r="D26" s="805">
        <f t="shared" ref="D26:R26" si="2">SUM(D24:D25)</f>
        <v>0</v>
      </c>
      <c r="E26" s="805">
        <f t="shared" si="2"/>
        <v>13904.298215999999</v>
      </c>
      <c r="F26" s="805">
        <f t="shared" si="2"/>
        <v>69.870104818271955</v>
      </c>
      <c r="G26" s="805">
        <f t="shared" si="2"/>
        <v>28561.01560532075</v>
      </c>
      <c r="H26" s="805">
        <f t="shared" si="2"/>
        <v>0</v>
      </c>
      <c r="I26" s="805">
        <f t="shared" si="2"/>
        <v>0</v>
      </c>
      <c r="J26" s="805">
        <f t="shared" si="2"/>
        <v>0</v>
      </c>
      <c r="K26" s="805">
        <f t="shared" si="2"/>
        <v>595.86493670804668</v>
      </c>
      <c r="L26" s="805">
        <f t="shared" si="2"/>
        <v>0</v>
      </c>
      <c r="M26" s="805">
        <f t="shared" si="2"/>
        <v>0</v>
      </c>
      <c r="N26" s="805">
        <f t="shared" si="2"/>
        <v>0</v>
      </c>
      <c r="O26" s="805">
        <f t="shared" si="2"/>
        <v>0</v>
      </c>
      <c r="P26" s="805">
        <f t="shared" si="2"/>
        <v>0</v>
      </c>
      <c r="Q26" s="805">
        <f t="shared" si="2"/>
        <v>0</v>
      </c>
      <c r="R26" s="805">
        <f t="shared" si="2"/>
        <v>52993.835862847067</v>
      </c>
      <c r="S26" s="67"/>
    </row>
    <row r="27" spans="1:19" s="456" customFormat="1" ht="17.25" thickTop="1" thickBot="1">
      <c r="A27" s="694" t="s">
        <v>116</v>
      </c>
      <c r="B27" s="797"/>
      <c r="C27" s="695">
        <f ca="1">C22+C16+C26</f>
        <v>94078.852710235398</v>
      </c>
      <c r="D27" s="695">
        <f t="shared" ref="D27:R27" ca="1" si="3">D22+D16+D26</f>
        <v>0</v>
      </c>
      <c r="E27" s="695">
        <f t="shared" ca="1" si="3"/>
        <v>119477.26184379475</v>
      </c>
      <c r="F27" s="695">
        <f t="shared" si="3"/>
        <v>8134.6384132159164</v>
      </c>
      <c r="G27" s="695">
        <f t="shared" ca="1" si="3"/>
        <v>116443.93333241242</v>
      </c>
      <c r="H27" s="695">
        <f t="shared" si="3"/>
        <v>77793.124345303877</v>
      </c>
      <c r="I27" s="695">
        <f t="shared" si="3"/>
        <v>16387.899133498613</v>
      </c>
      <c r="J27" s="695">
        <f t="shared" si="3"/>
        <v>0</v>
      </c>
      <c r="K27" s="695">
        <f t="shared" si="3"/>
        <v>664.13246804919606</v>
      </c>
      <c r="L27" s="695">
        <f t="shared" si="3"/>
        <v>0</v>
      </c>
      <c r="M27" s="695">
        <f t="shared" ca="1" si="3"/>
        <v>0</v>
      </c>
      <c r="N27" s="695">
        <f t="shared" si="3"/>
        <v>4116.0295938290601</v>
      </c>
      <c r="O27" s="695">
        <f t="shared" ca="1" si="3"/>
        <v>19775.657846228696</v>
      </c>
      <c r="P27" s="695">
        <f t="shared" si="3"/>
        <v>82.856666666666669</v>
      </c>
      <c r="Q27" s="695">
        <f t="shared" si="3"/>
        <v>209.73333333333335</v>
      </c>
      <c r="R27" s="695">
        <f t="shared" ca="1" si="3"/>
        <v>457164.11968656798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4855.3925401780816</v>
      </c>
      <c r="D40" s="687">
        <f ca="1">tertiair!C20</f>
        <v>0</v>
      </c>
      <c r="E40" s="687">
        <f ca="1">tertiair!D20</f>
        <v>4104.4455543960003</v>
      </c>
      <c r="F40" s="687">
        <f>tertiair!E20</f>
        <v>97.837221256579326</v>
      </c>
      <c r="G40" s="687">
        <f ca="1">tertiair!F20</f>
        <v>1491.1394782846339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10548.814794115297</v>
      </c>
    </row>
    <row r="41" spans="1:18">
      <c r="A41" s="815" t="s">
        <v>225</v>
      </c>
      <c r="B41" s="822"/>
      <c r="C41" s="687">
        <f ca="1">huishoudens!B12</f>
        <v>8591.7910219946662</v>
      </c>
      <c r="D41" s="687">
        <f ca="1">huishoudens!C12</f>
        <v>0</v>
      </c>
      <c r="E41" s="687">
        <f>huishoudens!D12</f>
        <v>15041.603969172</v>
      </c>
      <c r="F41" s="687">
        <f>huishoudens!E12</f>
        <v>1582.9054021179111</v>
      </c>
      <c r="G41" s="687">
        <f>huishoudens!F12</f>
        <v>21158.190318823894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46374.490712108469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2204.5888103746734</v>
      </c>
      <c r="D43" s="687">
        <f ca="1">industrie!C22</f>
        <v>0</v>
      </c>
      <c r="E43" s="687">
        <f>industrie!D22</f>
        <v>2178.6923045359999</v>
      </c>
      <c r="F43" s="687">
        <f>industrie!E22</f>
        <v>36.68504693123559</v>
      </c>
      <c r="G43" s="687">
        <f>industrie!F22</f>
        <v>815.40923602495138</v>
      </c>
      <c r="H43" s="687">
        <f>industrie!G22</f>
        <v>0</v>
      </c>
      <c r="I43" s="687">
        <f>industrie!H22</f>
        <v>0</v>
      </c>
      <c r="J43" s="687">
        <f>industrie!I22</f>
        <v>0</v>
      </c>
      <c r="K43" s="687">
        <f>industrie!J22</f>
        <v>24.16670609476688</v>
      </c>
      <c r="L43" s="687">
        <f>industrie!K22</f>
        <v>0</v>
      </c>
      <c r="M43" s="687">
        <f>industrie!L22</f>
        <v>0</v>
      </c>
      <c r="N43" s="687">
        <f>industrie!M22</f>
        <v>0</v>
      </c>
      <c r="O43" s="687">
        <f>industrie!N22</f>
        <v>0</v>
      </c>
      <c r="P43" s="687">
        <f>industrie!O22</f>
        <v>0</v>
      </c>
      <c r="Q43" s="762">
        <f>industrie!P22</f>
        <v>0</v>
      </c>
      <c r="R43" s="842">
        <f t="shared" ca="1" si="4"/>
        <v>5259.5421039616267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15651.772372547421</v>
      </c>
      <c r="D46" s="720">
        <f t="shared" ref="D46:Q46" ca="1" si="5">SUM(D39:D45)</f>
        <v>0</v>
      </c>
      <c r="E46" s="720">
        <f t="shared" ca="1" si="5"/>
        <v>21324.741828104001</v>
      </c>
      <c r="F46" s="720">
        <f t="shared" si="5"/>
        <v>1717.427670305726</v>
      </c>
      <c r="G46" s="720">
        <f t="shared" ca="1" si="5"/>
        <v>23464.739033133479</v>
      </c>
      <c r="H46" s="720">
        <f t="shared" si="5"/>
        <v>0</v>
      </c>
      <c r="I46" s="720">
        <f t="shared" si="5"/>
        <v>0</v>
      </c>
      <c r="J46" s="720">
        <f t="shared" si="5"/>
        <v>0</v>
      </c>
      <c r="K46" s="720">
        <f t="shared" si="5"/>
        <v>24.16670609476688</v>
      </c>
      <c r="L46" s="720">
        <f t="shared" si="5"/>
        <v>0</v>
      </c>
      <c r="M46" s="720">
        <f t="shared" ca="1" si="5"/>
        <v>0</v>
      </c>
      <c r="N46" s="720">
        <f t="shared" si="5"/>
        <v>0</v>
      </c>
      <c r="O46" s="720">
        <f t="shared" ca="1" si="5"/>
        <v>0</v>
      </c>
      <c r="P46" s="720">
        <f t="shared" si="5"/>
        <v>0</v>
      </c>
      <c r="Q46" s="720">
        <f t="shared" si="5"/>
        <v>0</v>
      </c>
      <c r="R46" s="720">
        <f ca="1">SUM(R39:R45)</f>
        <v>62182.847610185396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692.872844359993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692.872844359993</v>
      </c>
    </row>
    <row r="50" spans="1:18">
      <c r="A50" s="818" t="s">
        <v>307</v>
      </c>
      <c r="B50" s="828"/>
      <c r="C50" s="995">
        <f ca="1">transport!B18</f>
        <v>0.18231719037182254</v>
      </c>
      <c r="D50" s="995">
        <f>transport!C18</f>
        <v>0</v>
      </c>
      <c r="E50" s="995">
        <f>transport!D18</f>
        <v>0.99682471054325783</v>
      </c>
      <c r="F50" s="995">
        <f>transport!E18</f>
        <v>113.27473570053954</v>
      </c>
      <c r="G50" s="995">
        <f>transport!F18</f>
        <v>0</v>
      </c>
      <c r="H50" s="995">
        <f>transport!G18</f>
        <v>20077.891355836142</v>
      </c>
      <c r="I50" s="995">
        <f>transport!H18</f>
        <v>4080.5868842411546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24272.932117678753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0.18231719037182254</v>
      </c>
      <c r="D52" s="720">
        <f t="shared" ref="D52:Q52" ca="1" si="6">SUM(D48:D51)</f>
        <v>0</v>
      </c>
      <c r="E52" s="720">
        <f t="shared" si="6"/>
        <v>0.99682471054325783</v>
      </c>
      <c r="F52" s="720">
        <f t="shared" si="6"/>
        <v>113.27473570053954</v>
      </c>
      <c r="G52" s="720">
        <f t="shared" si="6"/>
        <v>0</v>
      </c>
      <c r="H52" s="720">
        <f t="shared" si="6"/>
        <v>20770.764200196136</v>
      </c>
      <c r="I52" s="720">
        <f t="shared" si="6"/>
        <v>4080.5868842411546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24965.804962038746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1240.0135082480351</v>
      </c>
      <c r="D54" s="995">
        <f ca="1">+landbouw!C12</f>
        <v>0</v>
      </c>
      <c r="E54" s="995">
        <f>+landbouw!D12</f>
        <v>1403.3366656319999</v>
      </c>
      <c r="F54" s="995">
        <f>+landbouw!E12</f>
        <v>15.860513793747733</v>
      </c>
      <c r="G54" s="995">
        <f>+landbouw!F12</f>
        <v>7625.791166620641</v>
      </c>
      <c r="H54" s="995">
        <f>+landbouw!G12</f>
        <v>0</v>
      </c>
      <c r="I54" s="995">
        <f>+landbouw!H12</f>
        <v>0</v>
      </c>
      <c r="J54" s="995">
        <f>+landbouw!I12</f>
        <v>0</v>
      </c>
      <c r="K54" s="995">
        <f>+landbouw!J12</f>
        <v>210.93618759464852</v>
      </c>
      <c r="L54" s="995">
        <f>+landbouw!K12</f>
        <v>0</v>
      </c>
      <c r="M54" s="995">
        <f>+landbouw!L12</f>
        <v>0</v>
      </c>
      <c r="N54" s="995">
        <f>+landbouw!M12</f>
        <v>0</v>
      </c>
      <c r="O54" s="995">
        <f>+landbouw!N12</f>
        <v>0</v>
      </c>
      <c r="P54" s="995">
        <f>+landbouw!O12</f>
        <v>0</v>
      </c>
      <c r="Q54" s="996">
        <f>+landbouw!P12</f>
        <v>0</v>
      </c>
      <c r="R54" s="719">
        <f ca="1">SUM(C54:Q54)</f>
        <v>10495.938041889072</v>
      </c>
    </row>
    <row r="55" spans="1:18" ht="15" thickBot="1">
      <c r="A55" s="818" t="s">
        <v>925</v>
      </c>
      <c r="B55" s="828"/>
      <c r="C55" s="995">
        <f ca="1">C25*'EF ele_warmte'!B12</f>
        <v>593.03216939839717</v>
      </c>
      <c r="D55" s="995"/>
      <c r="E55" s="995">
        <f>E25*EF_CO2_aardgas</f>
        <v>1405.3315740000003</v>
      </c>
      <c r="F55" s="995"/>
      <c r="G55" s="995"/>
      <c r="H55" s="995"/>
      <c r="I55" s="995"/>
      <c r="J55" s="995"/>
      <c r="K55" s="995"/>
      <c r="L55" s="995"/>
      <c r="M55" s="995"/>
      <c r="N55" s="995"/>
      <c r="O55" s="995"/>
      <c r="P55" s="995"/>
      <c r="Q55" s="996"/>
      <c r="R55" s="719">
        <f ca="1">SUM(C55:Q55)</f>
        <v>1998.3637433983974</v>
      </c>
    </row>
    <row r="56" spans="1:18" ht="15.75" thickBot="1">
      <c r="A56" s="816" t="s">
        <v>926</v>
      </c>
      <c r="B56" s="829"/>
      <c r="C56" s="720">
        <f ca="1">SUM(C54:C55)</f>
        <v>1833.0456776464323</v>
      </c>
      <c r="D56" s="720">
        <f t="shared" ref="D56:Q56" ca="1" si="7">SUM(D54:D55)</f>
        <v>0</v>
      </c>
      <c r="E56" s="720">
        <f t="shared" si="7"/>
        <v>2808.6682396320002</v>
      </c>
      <c r="F56" s="720">
        <f t="shared" si="7"/>
        <v>15.860513793747733</v>
      </c>
      <c r="G56" s="720">
        <f t="shared" si="7"/>
        <v>7625.791166620641</v>
      </c>
      <c r="H56" s="720">
        <f t="shared" si="7"/>
        <v>0</v>
      </c>
      <c r="I56" s="720">
        <f t="shared" si="7"/>
        <v>0</v>
      </c>
      <c r="J56" s="720">
        <f t="shared" si="7"/>
        <v>0</v>
      </c>
      <c r="K56" s="720">
        <f t="shared" si="7"/>
        <v>210.93618759464852</v>
      </c>
      <c r="L56" s="720">
        <f t="shared" si="7"/>
        <v>0</v>
      </c>
      <c r="M56" s="720">
        <f t="shared" si="7"/>
        <v>0</v>
      </c>
      <c r="N56" s="720">
        <f t="shared" si="7"/>
        <v>0</v>
      </c>
      <c r="O56" s="720">
        <f t="shared" si="7"/>
        <v>0</v>
      </c>
      <c r="P56" s="720">
        <f t="shared" si="7"/>
        <v>0</v>
      </c>
      <c r="Q56" s="721">
        <f t="shared" si="7"/>
        <v>0</v>
      </c>
      <c r="R56" s="722">
        <f ca="1">SUM(R54:R55)</f>
        <v>12494.301785287469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17485.000367384226</v>
      </c>
      <c r="D61" s="728">
        <f t="shared" ref="D61:Q61" ca="1" si="8">D46+D52+D56</f>
        <v>0</v>
      </c>
      <c r="E61" s="728">
        <f t="shared" ca="1" si="8"/>
        <v>24134.406892446543</v>
      </c>
      <c r="F61" s="728">
        <f t="shared" si="8"/>
        <v>1846.5629198000133</v>
      </c>
      <c r="G61" s="728">
        <f t="shared" ca="1" si="8"/>
        <v>31090.530199754121</v>
      </c>
      <c r="H61" s="728">
        <f t="shared" si="8"/>
        <v>20770.764200196136</v>
      </c>
      <c r="I61" s="728">
        <f t="shared" si="8"/>
        <v>4080.5868842411546</v>
      </c>
      <c r="J61" s="728">
        <f t="shared" si="8"/>
        <v>0</v>
      </c>
      <c r="K61" s="728">
        <f t="shared" si="8"/>
        <v>235.1028936894154</v>
      </c>
      <c r="L61" s="728">
        <f t="shared" si="8"/>
        <v>0</v>
      </c>
      <c r="M61" s="728">
        <f t="shared" ca="1" si="8"/>
        <v>0</v>
      </c>
      <c r="N61" s="728">
        <f t="shared" si="8"/>
        <v>0</v>
      </c>
      <c r="O61" s="728">
        <f t="shared" ca="1" si="8"/>
        <v>0</v>
      </c>
      <c r="P61" s="728">
        <f t="shared" si="8"/>
        <v>0</v>
      </c>
      <c r="Q61" s="728">
        <f t="shared" si="8"/>
        <v>0</v>
      </c>
      <c r="R61" s="728">
        <f ca="1">R46+R52+R56</f>
        <v>99642.954357511626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0.18585473635864108</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9911.2119547937709</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5049.9920342460546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14961.203989039826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46228.528744165109</v>
      </c>
      <c r="C4" s="460">
        <f>huishoudens!C8</f>
        <v>0</v>
      </c>
      <c r="D4" s="460">
        <f>huishoudens!D8</f>
        <v>74463.385985999994</v>
      </c>
      <c r="E4" s="460">
        <f>huishoudens!E8</f>
        <v>6973.1515511802245</v>
      </c>
      <c r="F4" s="460">
        <f>huishoudens!F8</f>
        <v>79244.158497467768</v>
      </c>
      <c r="G4" s="460">
        <f>huishoudens!G8</f>
        <v>0</v>
      </c>
      <c r="H4" s="460">
        <f>huishoudens!H8</f>
        <v>0</v>
      </c>
      <c r="I4" s="460">
        <f>huishoudens!I8</f>
        <v>0</v>
      </c>
      <c r="J4" s="460">
        <f>huishoudens!J8</f>
        <v>0</v>
      </c>
      <c r="K4" s="460">
        <f>huishoudens!K8</f>
        <v>0</v>
      </c>
      <c r="L4" s="460">
        <f>huishoudens!L8</f>
        <v>0</v>
      </c>
      <c r="M4" s="460">
        <f>huishoudens!M8</f>
        <v>0</v>
      </c>
      <c r="N4" s="460">
        <f>huishoudens!N8</f>
        <v>18365.076891532801</v>
      </c>
      <c r="O4" s="460">
        <f>huishoudens!O8</f>
        <v>79.73</v>
      </c>
      <c r="P4" s="461">
        <f>huishoudens!P8</f>
        <v>209.73333333333335</v>
      </c>
      <c r="Q4" s="462">
        <f>SUM(B4:P4)</f>
        <v>225563.76500367923</v>
      </c>
    </row>
    <row r="5" spans="1:17">
      <c r="A5" s="459" t="s">
        <v>156</v>
      </c>
      <c r="B5" s="460">
        <f ca="1">tertiair!B16</f>
        <v>24720.941000000003</v>
      </c>
      <c r="C5" s="460">
        <f ca="1">tertiair!C16</f>
        <v>0</v>
      </c>
      <c r="D5" s="460">
        <f ca="1">tertiair!D16</f>
        <v>20319.037398</v>
      </c>
      <c r="E5" s="460">
        <f>tertiair!E16</f>
        <v>431.00097469858736</v>
      </c>
      <c r="F5" s="460">
        <f ca="1">tertiair!F16</f>
        <v>5584.7920535005014</v>
      </c>
      <c r="G5" s="460">
        <f>tertiair!G16</f>
        <v>0</v>
      </c>
      <c r="H5" s="460">
        <f>tertiair!H16</f>
        <v>0</v>
      </c>
      <c r="I5" s="460">
        <f>tertiair!I16</f>
        <v>0</v>
      </c>
      <c r="J5" s="460">
        <f>tertiair!J16</f>
        <v>0</v>
      </c>
      <c r="K5" s="460">
        <f>tertiair!K16</f>
        <v>0</v>
      </c>
      <c r="L5" s="460">
        <f ca="1">tertiair!L16</f>
        <v>0</v>
      </c>
      <c r="M5" s="460">
        <f>tertiair!M16</f>
        <v>0</v>
      </c>
      <c r="N5" s="460">
        <f ca="1">tertiair!N16</f>
        <v>1158.567275310013</v>
      </c>
      <c r="O5" s="460">
        <f>tertiair!O16</f>
        <v>3.1266666666666669</v>
      </c>
      <c r="P5" s="461">
        <f>tertiair!P16</f>
        <v>0</v>
      </c>
      <c r="Q5" s="459">
        <f t="shared" ref="Q5:Q14" ca="1" si="0">SUM(B5:P5)</f>
        <v>52217.465368175777</v>
      </c>
    </row>
    <row r="6" spans="1:17">
      <c r="A6" s="459" t="s">
        <v>194</v>
      </c>
      <c r="B6" s="460">
        <f>'openbare verlichting'!B8</f>
        <v>1403.723</v>
      </c>
      <c r="C6" s="460"/>
      <c r="D6" s="460"/>
      <c r="E6" s="460"/>
      <c r="F6" s="460"/>
      <c r="G6" s="460"/>
      <c r="H6" s="460"/>
      <c r="I6" s="460"/>
      <c r="J6" s="460"/>
      <c r="K6" s="460"/>
      <c r="L6" s="460"/>
      <c r="M6" s="460"/>
      <c r="N6" s="460"/>
      <c r="O6" s="460"/>
      <c r="P6" s="461"/>
      <c r="Q6" s="459">
        <f t="shared" si="0"/>
        <v>1403.723</v>
      </c>
    </row>
    <row r="7" spans="1:17">
      <c r="A7" s="459" t="s">
        <v>112</v>
      </c>
      <c r="B7" s="460">
        <f>landbouw!B8</f>
        <v>6671.95</v>
      </c>
      <c r="C7" s="460">
        <f>landbouw!C8</f>
        <v>0</v>
      </c>
      <c r="D7" s="460">
        <f>landbouw!D8</f>
        <v>6947.2112159999997</v>
      </c>
      <c r="E7" s="460">
        <f>landbouw!E8</f>
        <v>69.870104818271955</v>
      </c>
      <c r="F7" s="460">
        <f>landbouw!F8</f>
        <v>28561.01560532075</v>
      </c>
      <c r="G7" s="460">
        <f>landbouw!G8</f>
        <v>0</v>
      </c>
      <c r="H7" s="460">
        <f>landbouw!H8</f>
        <v>0</v>
      </c>
      <c r="I7" s="460">
        <f>landbouw!I8</f>
        <v>0</v>
      </c>
      <c r="J7" s="460">
        <f>landbouw!J8</f>
        <v>595.86493670804668</v>
      </c>
      <c r="K7" s="460">
        <f>landbouw!K8</f>
        <v>0</v>
      </c>
      <c r="L7" s="460">
        <f>landbouw!L8</f>
        <v>0</v>
      </c>
      <c r="M7" s="460">
        <f>landbouw!M8</f>
        <v>0</v>
      </c>
      <c r="N7" s="460">
        <f>landbouw!N8</f>
        <v>0</v>
      </c>
      <c r="O7" s="460">
        <f>landbouw!O8</f>
        <v>0</v>
      </c>
      <c r="P7" s="461">
        <f>landbouw!P8</f>
        <v>0</v>
      </c>
      <c r="Q7" s="459">
        <f t="shared" si="0"/>
        <v>42845.911862847068</v>
      </c>
    </row>
    <row r="8" spans="1:17">
      <c r="A8" s="459" t="s">
        <v>655</v>
      </c>
      <c r="B8" s="460">
        <f>industrie!B18</f>
        <v>11861.892</v>
      </c>
      <c r="C8" s="460">
        <f>industrie!C18</f>
        <v>0</v>
      </c>
      <c r="D8" s="460">
        <f>industrie!D18</f>
        <v>10785.605468</v>
      </c>
      <c r="E8" s="460">
        <f>industrie!E18</f>
        <v>161.60813626094972</v>
      </c>
      <c r="F8" s="460">
        <f>industrie!F18</f>
        <v>3053.9671761234131</v>
      </c>
      <c r="G8" s="460">
        <f>industrie!G18</f>
        <v>0</v>
      </c>
      <c r="H8" s="460">
        <f>industrie!H18</f>
        <v>0</v>
      </c>
      <c r="I8" s="460">
        <f>industrie!I18</f>
        <v>0</v>
      </c>
      <c r="J8" s="460">
        <f>industrie!J18</f>
        <v>68.267531341149379</v>
      </c>
      <c r="K8" s="460">
        <f>industrie!K18</f>
        <v>0</v>
      </c>
      <c r="L8" s="460">
        <f>industrie!L18</f>
        <v>0</v>
      </c>
      <c r="M8" s="460">
        <f>industrie!M18</f>
        <v>0</v>
      </c>
      <c r="N8" s="460">
        <f>industrie!N18</f>
        <v>252.01367938588521</v>
      </c>
      <c r="O8" s="460">
        <f>industrie!O18</f>
        <v>0</v>
      </c>
      <c r="P8" s="461">
        <f>industrie!P18</f>
        <v>0</v>
      </c>
      <c r="Q8" s="459">
        <f t="shared" si="0"/>
        <v>26183.353991111398</v>
      </c>
    </row>
    <row r="9" spans="1:17" s="465" customFormat="1">
      <c r="A9" s="463" t="s">
        <v>573</v>
      </c>
      <c r="B9" s="464">
        <f>transport!B14</f>
        <v>0.98096607029700789</v>
      </c>
      <c r="C9" s="464">
        <f>transport!C14</f>
        <v>0</v>
      </c>
      <c r="D9" s="464">
        <f>transport!D14</f>
        <v>4.9347757947686031</v>
      </c>
      <c r="E9" s="464">
        <f>transport!E14</f>
        <v>499.00764625788338</v>
      </c>
      <c r="F9" s="464">
        <f>transport!F14</f>
        <v>0</v>
      </c>
      <c r="G9" s="464">
        <f>transport!G14</f>
        <v>75198.094965678436</v>
      </c>
      <c r="H9" s="464">
        <f>transport!H14</f>
        <v>16387.899133498613</v>
      </c>
      <c r="I9" s="464">
        <f>transport!I14</f>
        <v>0</v>
      </c>
      <c r="J9" s="464">
        <f>transport!J14</f>
        <v>0</v>
      </c>
      <c r="K9" s="464">
        <f>transport!K14</f>
        <v>0</v>
      </c>
      <c r="L9" s="464">
        <f>transport!L14</f>
        <v>0</v>
      </c>
      <c r="M9" s="464">
        <f>transport!M14</f>
        <v>4005.4147654199578</v>
      </c>
      <c r="N9" s="464">
        <f>transport!N14</f>
        <v>0</v>
      </c>
      <c r="O9" s="464">
        <f>transport!O14</f>
        <v>0</v>
      </c>
      <c r="P9" s="464">
        <f>transport!P14</f>
        <v>0</v>
      </c>
      <c r="Q9" s="463">
        <f>SUM(B9:P9)</f>
        <v>96096.332252719963</v>
      </c>
    </row>
    <row r="10" spans="1:17">
      <c r="A10" s="459" t="s">
        <v>563</v>
      </c>
      <c r="B10" s="460">
        <f>transport!B54</f>
        <v>0</v>
      </c>
      <c r="C10" s="460">
        <f>transport!C54</f>
        <v>0</v>
      </c>
      <c r="D10" s="460">
        <f>transport!D54</f>
        <v>0</v>
      </c>
      <c r="E10" s="460">
        <f>transport!E54</f>
        <v>0</v>
      </c>
      <c r="F10" s="460">
        <f>transport!F54</f>
        <v>0</v>
      </c>
      <c r="G10" s="460">
        <f>transport!G54</f>
        <v>2595.0293796254418</v>
      </c>
      <c r="H10" s="460">
        <f>transport!H54</f>
        <v>0</v>
      </c>
      <c r="I10" s="460">
        <f>transport!I54</f>
        <v>0</v>
      </c>
      <c r="J10" s="460">
        <f>transport!J54</f>
        <v>0</v>
      </c>
      <c r="K10" s="460">
        <f>transport!K54</f>
        <v>0</v>
      </c>
      <c r="L10" s="460">
        <f>transport!L54</f>
        <v>0</v>
      </c>
      <c r="M10" s="460">
        <f>transport!M54</f>
        <v>110.61482840910266</v>
      </c>
      <c r="N10" s="460">
        <f>transport!N54</f>
        <v>0</v>
      </c>
      <c r="O10" s="460">
        <f>transport!O54</f>
        <v>0</v>
      </c>
      <c r="P10" s="461">
        <f>transport!P54</f>
        <v>0</v>
      </c>
      <c r="Q10" s="459">
        <f t="shared" si="0"/>
        <v>2705.6442080345446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3190.837</v>
      </c>
      <c r="C14" s="467"/>
      <c r="D14" s="467">
        <f>'SEAP template'!E25</f>
        <v>6957.0870000000004</v>
      </c>
      <c r="E14" s="467"/>
      <c r="F14" s="467"/>
      <c r="G14" s="467"/>
      <c r="H14" s="467"/>
      <c r="I14" s="467"/>
      <c r="J14" s="467"/>
      <c r="K14" s="467"/>
      <c r="L14" s="467"/>
      <c r="M14" s="467"/>
      <c r="N14" s="467"/>
      <c r="O14" s="467"/>
      <c r="P14" s="468"/>
      <c r="Q14" s="459">
        <f t="shared" si="0"/>
        <v>10147.924000000001</v>
      </c>
    </row>
    <row r="15" spans="1:17" s="472" customFormat="1">
      <c r="A15" s="469" t="s">
        <v>567</v>
      </c>
      <c r="B15" s="470">
        <f ca="1">SUM(B4:B14)</f>
        <v>94078.852710235413</v>
      </c>
      <c r="C15" s="470">
        <f t="shared" ref="C15:Q15" ca="1" si="1">SUM(C4:C14)</f>
        <v>0</v>
      </c>
      <c r="D15" s="470">
        <f t="shared" ca="1" si="1"/>
        <v>119477.26184379475</v>
      </c>
      <c r="E15" s="470">
        <f t="shared" si="1"/>
        <v>8134.6384132159164</v>
      </c>
      <c r="F15" s="470">
        <f t="shared" ca="1" si="1"/>
        <v>116443.93333241242</v>
      </c>
      <c r="G15" s="470">
        <f t="shared" si="1"/>
        <v>77793.124345303877</v>
      </c>
      <c r="H15" s="470">
        <f t="shared" si="1"/>
        <v>16387.899133498613</v>
      </c>
      <c r="I15" s="470">
        <f t="shared" si="1"/>
        <v>0</v>
      </c>
      <c r="J15" s="470">
        <f t="shared" si="1"/>
        <v>664.13246804919606</v>
      </c>
      <c r="K15" s="470">
        <f t="shared" si="1"/>
        <v>0</v>
      </c>
      <c r="L15" s="470">
        <f t="shared" ca="1" si="1"/>
        <v>0</v>
      </c>
      <c r="M15" s="470">
        <f t="shared" si="1"/>
        <v>4116.0295938290601</v>
      </c>
      <c r="N15" s="470">
        <f t="shared" ca="1" si="1"/>
        <v>19775.657846228696</v>
      </c>
      <c r="O15" s="470">
        <f t="shared" si="1"/>
        <v>82.856666666666669</v>
      </c>
      <c r="P15" s="470">
        <f t="shared" si="1"/>
        <v>209.73333333333335</v>
      </c>
      <c r="Q15" s="470">
        <f t="shared" ca="1" si="1"/>
        <v>457164.11968656798</v>
      </c>
    </row>
    <row r="17" spans="1:17">
      <c r="A17" s="473" t="s">
        <v>568</v>
      </c>
      <c r="B17" s="777">
        <f ca="1">huishoudens!B10</f>
        <v>0.18585473635864105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8591.7910219946662</v>
      </c>
      <c r="C22" s="460">
        <f t="shared" ref="C22:C32" ca="1" si="3">C4*$C$17</f>
        <v>0</v>
      </c>
      <c r="D22" s="460">
        <f t="shared" ref="D22:D32" si="4">D4*$D$17</f>
        <v>15041.603969172</v>
      </c>
      <c r="E22" s="460">
        <f t="shared" ref="E22:E32" si="5">E4*$E$17</f>
        <v>1582.9054021179111</v>
      </c>
      <c r="F22" s="460">
        <f t="shared" ref="F22:F32" si="6">F4*$F$17</f>
        <v>21158.190318823894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46374.490712108469</v>
      </c>
    </row>
    <row r="23" spans="1:17">
      <c r="A23" s="459" t="s">
        <v>156</v>
      </c>
      <c r="B23" s="460">
        <f t="shared" ca="1" si="2"/>
        <v>4594.5039720925206</v>
      </c>
      <c r="C23" s="460">
        <f t="shared" ca="1" si="3"/>
        <v>0</v>
      </c>
      <c r="D23" s="460">
        <f t="shared" ca="1" si="4"/>
        <v>4104.4455543960003</v>
      </c>
      <c r="E23" s="460">
        <f t="shared" si="5"/>
        <v>97.837221256579326</v>
      </c>
      <c r="F23" s="460">
        <f t="shared" ca="1" si="6"/>
        <v>1491.1394782846339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10287.926226029735</v>
      </c>
    </row>
    <row r="24" spans="1:17">
      <c r="A24" s="459" t="s">
        <v>194</v>
      </c>
      <c r="B24" s="460">
        <f t="shared" ca="1" si="2"/>
        <v>260.88856808556068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260.88856808556068</v>
      </c>
    </row>
    <row r="25" spans="1:17">
      <c r="A25" s="459" t="s">
        <v>112</v>
      </c>
      <c r="B25" s="460">
        <f t="shared" ca="1" si="2"/>
        <v>1240.0135082480351</v>
      </c>
      <c r="C25" s="460">
        <f t="shared" ca="1" si="3"/>
        <v>0</v>
      </c>
      <c r="D25" s="460">
        <f t="shared" si="4"/>
        <v>1403.3366656319999</v>
      </c>
      <c r="E25" s="460">
        <f t="shared" si="5"/>
        <v>15.860513793747733</v>
      </c>
      <c r="F25" s="460">
        <f t="shared" si="6"/>
        <v>7625.791166620641</v>
      </c>
      <c r="G25" s="460">
        <f t="shared" si="7"/>
        <v>0</v>
      </c>
      <c r="H25" s="460">
        <f t="shared" si="8"/>
        <v>0</v>
      </c>
      <c r="I25" s="460">
        <f t="shared" si="9"/>
        <v>0</v>
      </c>
      <c r="J25" s="460">
        <f t="shared" si="10"/>
        <v>210.93618759464852</v>
      </c>
      <c r="K25" s="460">
        <f t="shared" si="11"/>
        <v>0</v>
      </c>
      <c r="L25" s="460">
        <f t="shared" si="12"/>
        <v>0</v>
      </c>
      <c r="M25" s="460">
        <f t="shared" si="13"/>
        <v>0</v>
      </c>
      <c r="N25" s="460">
        <f t="shared" si="14"/>
        <v>0</v>
      </c>
      <c r="O25" s="460">
        <f t="shared" si="15"/>
        <v>0</v>
      </c>
      <c r="P25" s="461">
        <f t="shared" si="16"/>
        <v>0</v>
      </c>
      <c r="Q25" s="459">
        <f t="shared" ca="1" si="17"/>
        <v>10495.938041889072</v>
      </c>
    </row>
    <row r="26" spans="1:17">
      <c r="A26" s="459" t="s">
        <v>655</v>
      </c>
      <c r="B26" s="460">
        <f t="shared" ca="1" si="2"/>
        <v>2204.5888103746734</v>
      </c>
      <c r="C26" s="460">
        <f t="shared" ca="1" si="3"/>
        <v>0</v>
      </c>
      <c r="D26" s="460">
        <f t="shared" si="4"/>
        <v>2178.6923045359999</v>
      </c>
      <c r="E26" s="460">
        <f t="shared" si="5"/>
        <v>36.68504693123559</v>
      </c>
      <c r="F26" s="460">
        <f t="shared" si="6"/>
        <v>815.40923602495138</v>
      </c>
      <c r="G26" s="460">
        <f t="shared" si="7"/>
        <v>0</v>
      </c>
      <c r="H26" s="460">
        <f t="shared" si="8"/>
        <v>0</v>
      </c>
      <c r="I26" s="460">
        <f t="shared" si="9"/>
        <v>0</v>
      </c>
      <c r="J26" s="460">
        <f t="shared" si="10"/>
        <v>24.16670609476688</v>
      </c>
      <c r="K26" s="460">
        <f t="shared" si="11"/>
        <v>0</v>
      </c>
      <c r="L26" s="460">
        <f t="shared" si="12"/>
        <v>0</v>
      </c>
      <c r="M26" s="460">
        <f t="shared" si="13"/>
        <v>0</v>
      </c>
      <c r="N26" s="460">
        <f t="shared" si="14"/>
        <v>0</v>
      </c>
      <c r="O26" s="460">
        <f t="shared" si="15"/>
        <v>0</v>
      </c>
      <c r="P26" s="461">
        <f t="shared" si="16"/>
        <v>0</v>
      </c>
      <c r="Q26" s="459">
        <f t="shared" ca="1" si="17"/>
        <v>5259.5421039616267</v>
      </c>
    </row>
    <row r="27" spans="1:17" s="465" customFormat="1">
      <c r="A27" s="463" t="s">
        <v>573</v>
      </c>
      <c r="B27" s="771">
        <f t="shared" ca="1" si="2"/>
        <v>0.18231719037182254</v>
      </c>
      <c r="C27" s="464">
        <f t="shared" ca="1" si="3"/>
        <v>0</v>
      </c>
      <c r="D27" s="464">
        <f t="shared" si="4"/>
        <v>0.99682471054325783</v>
      </c>
      <c r="E27" s="464">
        <f t="shared" si="5"/>
        <v>113.27473570053954</v>
      </c>
      <c r="F27" s="464">
        <f t="shared" si="6"/>
        <v>0</v>
      </c>
      <c r="G27" s="464">
        <f t="shared" si="7"/>
        <v>20077.891355836142</v>
      </c>
      <c r="H27" s="464">
        <f t="shared" si="8"/>
        <v>4080.5868842411546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24272.932117678753</v>
      </c>
    </row>
    <row r="28" spans="1:17">
      <c r="A28" s="459" t="s">
        <v>563</v>
      </c>
      <c r="B28" s="460">
        <f t="shared" ca="1" si="2"/>
        <v>0</v>
      </c>
      <c r="C28" s="460">
        <f t="shared" ca="1" si="3"/>
        <v>0</v>
      </c>
      <c r="D28" s="460">
        <f t="shared" si="4"/>
        <v>0</v>
      </c>
      <c r="E28" s="460">
        <f t="shared" si="5"/>
        <v>0</v>
      </c>
      <c r="F28" s="460">
        <f t="shared" si="6"/>
        <v>0</v>
      </c>
      <c r="G28" s="460">
        <f t="shared" si="7"/>
        <v>692.872844359993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692.872844359993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593.03216939839717</v>
      </c>
      <c r="C32" s="460">
        <f t="shared" ca="1" si="3"/>
        <v>0</v>
      </c>
      <c r="D32" s="460">
        <f t="shared" si="4"/>
        <v>1405.3315740000003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1998.3637433983974</v>
      </c>
    </row>
    <row r="33" spans="1:17" s="472" customFormat="1">
      <c r="A33" s="469" t="s">
        <v>567</v>
      </c>
      <c r="B33" s="470">
        <f ca="1">SUM(B22:B32)</f>
        <v>17485.000367384226</v>
      </c>
      <c r="C33" s="470">
        <f t="shared" ref="C33:Q33" ca="1" si="19">SUM(C22:C32)</f>
        <v>0</v>
      </c>
      <c r="D33" s="470">
        <f t="shared" ca="1" si="19"/>
        <v>24134.406892446543</v>
      </c>
      <c r="E33" s="470">
        <f t="shared" si="19"/>
        <v>1846.5629198000133</v>
      </c>
      <c r="F33" s="470">
        <f t="shared" ca="1" si="19"/>
        <v>31090.530199754121</v>
      </c>
      <c r="G33" s="470">
        <f t="shared" si="19"/>
        <v>20770.764200196136</v>
      </c>
      <c r="H33" s="470">
        <f t="shared" si="19"/>
        <v>4080.5868842411546</v>
      </c>
      <c r="I33" s="470">
        <f t="shared" si="19"/>
        <v>0</v>
      </c>
      <c r="J33" s="470">
        <f t="shared" si="19"/>
        <v>235.1028936894154</v>
      </c>
      <c r="K33" s="470">
        <f t="shared" si="19"/>
        <v>0</v>
      </c>
      <c r="L33" s="470">
        <f t="shared" ca="1" si="19"/>
        <v>0</v>
      </c>
      <c r="M33" s="470">
        <f t="shared" si="19"/>
        <v>0</v>
      </c>
      <c r="N33" s="470">
        <f t="shared" ca="1" si="19"/>
        <v>0</v>
      </c>
      <c r="O33" s="470">
        <f t="shared" si="19"/>
        <v>0</v>
      </c>
      <c r="P33" s="470">
        <f t="shared" si="19"/>
        <v>0</v>
      </c>
      <c r="Q33" s="470">
        <f t="shared" ca="1" si="19"/>
        <v>99642.954357511611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9911.2119547937709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5049.9920342460546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14961.203989039826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0.18585473635864105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0.18585473635864105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0.18585473635864105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0.18585473635864105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10130</v>
      </c>
      <c r="C9" s="336">
        <v>10742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3589</v>
      </c>
    </row>
    <row r="15" spans="1:6">
      <c r="A15" s="1277" t="s">
        <v>184</v>
      </c>
      <c r="B15" s="333">
        <v>664</v>
      </c>
    </row>
    <row r="16" spans="1:6">
      <c r="A16" s="1277" t="s">
        <v>6</v>
      </c>
      <c r="B16" s="333">
        <v>1481</v>
      </c>
    </row>
    <row r="17" spans="1:6">
      <c r="A17" s="1277" t="s">
        <v>7</v>
      </c>
      <c r="B17" s="333">
        <v>414</v>
      </c>
    </row>
    <row r="18" spans="1:6">
      <c r="A18" s="1277" t="s">
        <v>8</v>
      </c>
      <c r="B18" s="333">
        <v>1033</v>
      </c>
    </row>
    <row r="19" spans="1:6">
      <c r="A19" s="1277" t="s">
        <v>9</v>
      </c>
      <c r="B19" s="333">
        <v>908</v>
      </c>
    </row>
    <row r="20" spans="1:6">
      <c r="A20" s="1277" t="s">
        <v>10</v>
      </c>
      <c r="B20" s="333">
        <v>525</v>
      </c>
    </row>
    <row r="21" spans="1:6">
      <c r="A21" s="1277" t="s">
        <v>11</v>
      </c>
      <c r="B21" s="333">
        <v>5450</v>
      </c>
    </row>
    <row r="22" spans="1:6">
      <c r="A22" s="1277" t="s">
        <v>12</v>
      </c>
      <c r="B22" s="333">
        <v>11514</v>
      </c>
    </row>
    <row r="23" spans="1:6">
      <c r="A23" s="1277" t="s">
        <v>13</v>
      </c>
      <c r="B23" s="333">
        <v>250</v>
      </c>
    </row>
    <row r="24" spans="1:6">
      <c r="A24" s="1277" t="s">
        <v>14</v>
      </c>
      <c r="B24" s="333">
        <v>17</v>
      </c>
    </row>
    <row r="25" spans="1:6">
      <c r="A25" s="1277" t="s">
        <v>15</v>
      </c>
      <c r="B25" s="333">
        <v>1514</v>
      </c>
    </row>
    <row r="26" spans="1:6">
      <c r="A26" s="1277" t="s">
        <v>16</v>
      </c>
      <c r="B26" s="333">
        <v>167</v>
      </c>
    </row>
    <row r="27" spans="1:6">
      <c r="A27" s="1277" t="s">
        <v>17</v>
      </c>
      <c r="B27" s="333">
        <v>3</v>
      </c>
    </row>
    <row r="28" spans="1:6">
      <c r="A28" s="1277" t="s">
        <v>18</v>
      </c>
      <c r="B28" s="333">
        <v>378245</v>
      </c>
    </row>
    <row r="29" spans="1:6">
      <c r="A29" s="1277" t="s">
        <v>959</v>
      </c>
      <c r="B29" s="333">
        <v>286</v>
      </c>
    </row>
    <row r="30" spans="1:6">
      <c r="A30" s="1273" t="s">
        <v>960</v>
      </c>
      <c r="B30" s="1273">
        <v>56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18</v>
      </c>
      <c r="F36" s="333">
        <v>39410</v>
      </c>
    </row>
    <row r="37" spans="1:6">
      <c r="A37" s="1277" t="s">
        <v>25</v>
      </c>
      <c r="B37" s="1277" t="s">
        <v>28</v>
      </c>
      <c r="C37" s="333">
        <v>0</v>
      </c>
      <c r="D37" s="333">
        <v>0</v>
      </c>
      <c r="E37" s="333">
        <v>0</v>
      </c>
      <c r="F37" s="333">
        <v>0</v>
      </c>
    </row>
    <row r="38" spans="1:6">
      <c r="A38" s="1277" t="s">
        <v>25</v>
      </c>
      <c r="B38" s="1277" t="s">
        <v>29</v>
      </c>
      <c r="C38" s="333">
        <v>1</v>
      </c>
      <c r="D38" s="333">
        <v>467385</v>
      </c>
      <c r="E38" s="333">
        <v>1</v>
      </c>
      <c r="F38" s="333">
        <v>2107</v>
      </c>
    </row>
    <row r="39" spans="1:6">
      <c r="A39" s="1277" t="s">
        <v>30</v>
      </c>
      <c r="B39" s="1277" t="s">
        <v>31</v>
      </c>
      <c r="C39" s="333">
        <v>4827</v>
      </c>
      <c r="D39" s="333">
        <v>82553643</v>
      </c>
      <c r="E39" s="333">
        <v>10358</v>
      </c>
      <c r="F39" s="333">
        <v>42892676</v>
      </c>
    </row>
    <row r="40" spans="1:6">
      <c r="A40" s="1277" t="s">
        <v>30</v>
      </c>
      <c r="B40" s="1277" t="s">
        <v>29</v>
      </c>
      <c r="C40" s="333">
        <v>0</v>
      </c>
      <c r="D40" s="333">
        <v>0</v>
      </c>
      <c r="E40" s="333">
        <v>0</v>
      </c>
      <c r="F40" s="333">
        <v>0</v>
      </c>
    </row>
    <row r="41" spans="1:6">
      <c r="A41" s="1277" t="s">
        <v>32</v>
      </c>
      <c r="B41" s="1277" t="s">
        <v>33</v>
      </c>
      <c r="C41" s="333">
        <v>43</v>
      </c>
      <c r="D41" s="333">
        <v>1100914</v>
      </c>
      <c r="E41" s="333">
        <v>174</v>
      </c>
      <c r="F41" s="333">
        <v>2181830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1243983</v>
      </c>
      <c r="E44" s="333">
        <v>29</v>
      </c>
      <c r="F44" s="333">
        <v>1174039</v>
      </c>
    </row>
    <row r="45" spans="1:6">
      <c r="A45" s="1277" t="s">
        <v>32</v>
      </c>
      <c r="B45" s="1277" t="s">
        <v>37</v>
      </c>
      <c r="C45" s="333">
        <v>5</v>
      </c>
      <c r="D45" s="333">
        <v>8124831</v>
      </c>
      <c r="E45" s="333">
        <v>9</v>
      </c>
      <c r="F45" s="333">
        <v>2763755</v>
      </c>
    </row>
    <row r="46" spans="1:6">
      <c r="A46" s="1277" t="s">
        <v>32</v>
      </c>
      <c r="B46" s="1277" t="s">
        <v>38</v>
      </c>
      <c r="C46" s="333">
        <v>0</v>
      </c>
      <c r="D46" s="333">
        <v>0</v>
      </c>
      <c r="E46" s="333">
        <v>0</v>
      </c>
      <c r="F46" s="333">
        <v>0</v>
      </c>
    </row>
    <row r="47" spans="1:6">
      <c r="A47" s="1277" t="s">
        <v>32</v>
      </c>
      <c r="B47" s="1277" t="s">
        <v>39</v>
      </c>
      <c r="C47" s="333">
        <v>0</v>
      </c>
      <c r="D47" s="333">
        <v>0</v>
      </c>
      <c r="E47" s="333">
        <v>4</v>
      </c>
      <c r="F47" s="333">
        <v>160495</v>
      </c>
    </row>
    <row r="48" spans="1:6">
      <c r="A48" s="1277" t="s">
        <v>32</v>
      </c>
      <c r="B48" s="1277" t="s">
        <v>29</v>
      </c>
      <c r="C48" s="333">
        <v>2</v>
      </c>
      <c r="D48" s="333">
        <v>944910</v>
      </c>
      <c r="E48" s="333">
        <v>2</v>
      </c>
      <c r="F48" s="333">
        <v>3662607</v>
      </c>
    </row>
    <row r="49" spans="1:6">
      <c r="A49" s="1277" t="s">
        <v>32</v>
      </c>
      <c r="B49" s="1277" t="s">
        <v>40</v>
      </c>
      <c r="C49" s="333">
        <v>0</v>
      </c>
      <c r="D49" s="333">
        <v>0</v>
      </c>
      <c r="E49" s="333">
        <v>3</v>
      </c>
      <c r="F49" s="333">
        <v>1072671</v>
      </c>
    </row>
    <row r="50" spans="1:6">
      <c r="A50" s="1277" t="s">
        <v>32</v>
      </c>
      <c r="B50" s="1277" t="s">
        <v>41</v>
      </c>
      <c r="C50" s="333">
        <v>5</v>
      </c>
      <c r="D50" s="333">
        <v>542796</v>
      </c>
      <c r="E50" s="333">
        <v>16</v>
      </c>
      <c r="F50" s="333">
        <v>846495</v>
      </c>
    </row>
    <row r="51" spans="1:6">
      <c r="A51" s="1277" t="s">
        <v>42</v>
      </c>
      <c r="B51" s="1277" t="s">
        <v>43</v>
      </c>
      <c r="C51" s="333">
        <v>28</v>
      </c>
      <c r="D51" s="333">
        <v>7702008</v>
      </c>
      <c r="E51" s="333">
        <v>160</v>
      </c>
      <c r="F51" s="333">
        <v>6671950</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120</v>
      </c>
      <c r="F54" s="333">
        <v>1403723</v>
      </c>
    </row>
    <row r="55" spans="1:6">
      <c r="A55" s="1277" t="s">
        <v>46</v>
      </c>
      <c r="B55" s="1277" t="s">
        <v>29</v>
      </c>
      <c r="C55" s="333">
        <v>0</v>
      </c>
      <c r="D55" s="333">
        <v>0</v>
      </c>
      <c r="E55" s="333">
        <v>0</v>
      </c>
      <c r="F55" s="333">
        <v>0</v>
      </c>
    </row>
    <row r="56" spans="1:6">
      <c r="A56" s="1277" t="s">
        <v>48</v>
      </c>
      <c r="B56" s="1277" t="s">
        <v>29</v>
      </c>
      <c r="C56" s="333">
        <v>77</v>
      </c>
      <c r="D56" s="333">
        <v>6957087</v>
      </c>
      <c r="E56" s="333">
        <v>241</v>
      </c>
      <c r="F56" s="333">
        <v>3190837</v>
      </c>
    </row>
    <row r="57" spans="1:6">
      <c r="A57" s="1277" t="s">
        <v>49</v>
      </c>
      <c r="B57" s="1277" t="s">
        <v>50</v>
      </c>
      <c r="C57" s="333">
        <v>47</v>
      </c>
      <c r="D57" s="333">
        <v>5250674</v>
      </c>
      <c r="E57" s="333">
        <v>117</v>
      </c>
      <c r="F57" s="333">
        <v>4800983</v>
      </c>
    </row>
    <row r="58" spans="1:6">
      <c r="A58" s="1277" t="s">
        <v>49</v>
      </c>
      <c r="B58" s="1277" t="s">
        <v>51</v>
      </c>
      <c r="C58" s="333">
        <v>17</v>
      </c>
      <c r="D58" s="333">
        <v>2680739</v>
      </c>
      <c r="E58" s="333">
        <v>37</v>
      </c>
      <c r="F58" s="333">
        <v>1572774</v>
      </c>
    </row>
    <row r="59" spans="1:6">
      <c r="A59" s="1277" t="s">
        <v>49</v>
      </c>
      <c r="B59" s="1277" t="s">
        <v>52</v>
      </c>
      <c r="C59" s="333">
        <v>112</v>
      </c>
      <c r="D59" s="333">
        <v>5344048</v>
      </c>
      <c r="E59" s="333">
        <v>287</v>
      </c>
      <c r="F59" s="333">
        <v>8840047</v>
      </c>
    </row>
    <row r="60" spans="1:6">
      <c r="A60" s="1277" t="s">
        <v>49</v>
      </c>
      <c r="B60" s="1277" t="s">
        <v>53</v>
      </c>
      <c r="C60" s="333">
        <v>64</v>
      </c>
      <c r="D60" s="333">
        <v>3747684</v>
      </c>
      <c r="E60" s="333">
        <v>115</v>
      </c>
      <c r="F60" s="333">
        <v>3952470</v>
      </c>
    </row>
    <row r="61" spans="1:6">
      <c r="A61" s="1277" t="s">
        <v>49</v>
      </c>
      <c r="B61" s="1277" t="s">
        <v>54</v>
      </c>
      <c r="C61" s="333">
        <v>92</v>
      </c>
      <c r="D61" s="333">
        <v>4562744</v>
      </c>
      <c r="E61" s="333">
        <v>317</v>
      </c>
      <c r="F61" s="333">
        <v>3752523</v>
      </c>
    </row>
    <row r="62" spans="1:6">
      <c r="A62" s="1277" t="s">
        <v>49</v>
      </c>
      <c r="B62" s="1277" t="s">
        <v>55</v>
      </c>
      <c r="C62" s="333">
        <v>11</v>
      </c>
      <c r="D62" s="333">
        <v>940760</v>
      </c>
      <c r="E62" s="333">
        <v>26</v>
      </c>
      <c r="F62" s="333">
        <v>1802144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31040</v>
      </c>
      <c r="E65" s="333">
        <v>1</v>
      </c>
      <c r="F65" s="333">
        <v>58646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49086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97034610</v>
      </c>
      <c r="E73" s="333">
        <v>99981299.946342066</v>
      </c>
      <c r="F73" s="333">
        <v>97119081</v>
      </c>
    </row>
    <row r="74" spans="1:6">
      <c r="A74" s="1277" t="s">
        <v>64</v>
      </c>
      <c r="B74" s="1277" t="s">
        <v>774</v>
      </c>
      <c r="C74" s="1288" t="s">
        <v>775</v>
      </c>
      <c r="D74" s="333">
        <v>5125788.2093362929</v>
      </c>
      <c r="E74" s="333">
        <v>5379814.8367400002</v>
      </c>
      <c r="F74" s="333">
        <v>5238880.0431087427</v>
      </c>
    </row>
    <row r="75" spans="1:6">
      <c r="A75" s="1277" t="s">
        <v>65</v>
      </c>
      <c r="B75" s="1277" t="s">
        <v>772</v>
      </c>
      <c r="C75" s="1288" t="s">
        <v>776</v>
      </c>
      <c r="D75" s="333">
        <v>25831446</v>
      </c>
      <c r="E75" s="333">
        <v>26756782.398904629</v>
      </c>
      <c r="F75" s="333">
        <v>25905322</v>
      </c>
    </row>
    <row r="76" spans="1:6">
      <c r="A76" s="1277" t="s">
        <v>65</v>
      </c>
      <c r="B76" s="1277" t="s">
        <v>774</v>
      </c>
      <c r="C76" s="1288" t="s">
        <v>777</v>
      </c>
      <c r="D76" s="333">
        <v>405537.20933629276</v>
      </c>
      <c r="E76" s="333">
        <v>475188.97963412403</v>
      </c>
      <c r="F76" s="333">
        <v>444386.04310874274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711487.58132741449</v>
      </c>
      <c r="C83" s="333">
        <v>650573.32750793139</v>
      </c>
      <c r="D83" s="333">
        <v>661855.91378251452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9911.2119547937709</v>
      </c>
    </row>
    <row r="91" spans="1:6">
      <c r="A91" s="1277" t="s">
        <v>68</v>
      </c>
      <c r="B91" s="333">
        <v>3335.8527441651127</v>
      </c>
    </row>
    <row r="92" spans="1:6">
      <c r="A92" s="1273" t="s">
        <v>69</v>
      </c>
      <c r="B92" s="336">
        <v>1714.1392900809417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2004</v>
      </c>
    </row>
    <row r="98" spans="1:6">
      <c r="A98" s="1277" t="s">
        <v>72</v>
      </c>
      <c r="B98" s="333">
        <v>3</v>
      </c>
    </row>
    <row r="99" spans="1:6">
      <c r="A99" s="1277" t="s">
        <v>73</v>
      </c>
      <c r="B99" s="333">
        <v>78</v>
      </c>
    </row>
    <row r="100" spans="1:6">
      <c r="A100" s="1277" t="s">
        <v>74</v>
      </c>
      <c r="B100" s="333">
        <v>269</v>
      </c>
    </row>
    <row r="101" spans="1:6">
      <c r="A101" s="1277" t="s">
        <v>75</v>
      </c>
      <c r="B101" s="333">
        <v>71</v>
      </c>
    </row>
    <row r="102" spans="1:6">
      <c r="A102" s="1277" t="s">
        <v>76</v>
      </c>
      <c r="B102" s="333">
        <v>125</v>
      </c>
    </row>
    <row r="103" spans="1:6">
      <c r="A103" s="1277" t="s">
        <v>77</v>
      </c>
      <c r="B103" s="333">
        <v>108</v>
      </c>
    </row>
    <row r="104" spans="1:6">
      <c r="A104" s="1277" t="s">
        <v>78</v>
      </c>
      <c r="B104" s="333">
        <v>6016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2</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94078.852710235398</v>
      </c>
      <c r="C3" s="43" t="s">
        <v>170</v>
      </c>
      <c r="D3" s="43"/>
      <c r="E3" s="156"/>
      <c r="F3" s="43"/>
      <c r="G3" s="43"/>
      <c r="H3" s="43"/>
      <c r="I3" s="43"/>
      <c r="J3" s="43"/>
      <c r="K3" s="96"/>
    </row>
    <row r="4" spans="1:11">
      <c r="A4" s="364" t="s">
        <v>171</v>
      </c>
      <c r="B4" s="49">
        <f>IF(ISERROR('SEAP template'!B78+'SEAP template'!C78),0,'SEAP template'!B78+'SEAP template'!C78)</f>
        <v>14961.203989039826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0.18585473635864105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1403.723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1403.723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0.18585473635864105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260.88856808556068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42892.675999999999</v>
      </c>
      <c r="C5" s="17">
        <f>IF(ISERROR('Eigen informatie GS &amp; warmtenet'!B57),0,'Eigen informatie GS &amp; warmtenet'!B57)</f>
        <v>0</v>
      </c>
      <c r="D5" s="30">
        <f>(SUM(HH_hh_gas_kWh,HH_rest_gas_kWh)/1000)*0.902</f>
        <v>74463.385985999994</v>
      </c>
      <c r="E5" s="17">
        <f>B46*B57</f>
        <v>6973.1515511802245</v>
      </c>
      <c r="F5" s="17">
        <f>B51*B62</f>
        <v>79244.158497467768</v>
      </c>
      <c r="G5" s="18"/>
      <c r="H5" s="17"/>
      <c r="I5" s="17"/>
      <c r="J5" s="17">
        <f>B50*B61+C50*C61</f>
        <v>0</v>
      </c>
      <c r="K5" s="17"/>
      <c r="L5" s="17"/>
      <c r="M5" s="17"/>
      <c r="N5" s="17">
        <f>B48*B59+C48*C59</f>
        <v>18365.076891532801</v>
      </c>
      <c r="O5" s="17">
        <f>B69*B70*B71</f>
        <v>79.73</v>
      </c>
      <c r="P5" s="17">
        <f>B77*B78*B79/1000-B77*B78*B79/1000/B80</f>
        <v>209.73333333333335</v>
      </c>
    </row>
    <row r="6" spans="1:16">
      <c r="A6" s="16" t="s">
        <v>632</v>
      </c>
      <c r="B6" s="779">
        <f>kWh_PV_kleiner_dan_10kW</f>
        <v>3335.8527441651127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46228.528744165109</v>
      </c>
      <c r="C8" s="21">
        <f>C5</f>
        <v>0</v>
      </c>
      <c r="D8" s="21">
        <f>D5</f>
        <v>74463.385985999994</v>
      </c>
      <c r="E8" s="21">
        <f>E5</f>
        <v>6973.1515511802245</v>
      </c>
      <c r="F8" s="21">
        <f>F5</f>
        <v>79244.158497467768</v>
      </c>
      <c r="G8" s="21"/>
      <c r="H8" s="21"/>
      <c r="I8" s="21"/>
      <c r="J8" s="21">
        <f>J5</f>
        <v>0</v>
      </c>
      <c r="K8" s="21"/>
      <c r="L8" s="21">
        <f>L5</f>
        <v>0</v>
      </c>
      <c r="M8" s="21">
        <f>M5</f>
        <v>0</v>
      </c>
      <c r="N8" s="21">
        <f>N5</f>
        <v>18365.076891532801</v>
      </c>
      <c r="O8" s="21">
        <f>O5</f>
        <v>79.73</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0.18585473635864105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8591.7910219946662</v>
      </c>
      <c r="C12" s="23">
        <f ca="1">C10*C8</f>
        <v>0</v>
      </c>
      <c r="D12" s="23">
        <f>D8*D10</f>
        <v>15041.603969172</v>
      </c>
      <c r="E12" s="23">
        <f>E10*E8</f>
        <v>1582.9054021179111</v>
      </c>
      <c r="F12" s="23">
        <f>F10*F8</f>
        <v>21158.190318823894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2004</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18.660287081339714</v>
      </c>
      <c r="D20" s="230"/>
      <c r="E20" s="15"/>
    </row>
    <row r="21" spans="1:7">
      <c r="A21" s="172" t="s">
        <v>74</v>
      </c>
      <c r="B21" s="37">
        <f>aantalw2001_elektriciteit</f>
        <v>269</v>
      </c>
      <c r="C21" s="168">
        <f>IF(ISERROR(B21/SUM($B$20,$B$21,$B$22)*100),0,B21/SUM($B$20,$B$21,$B$22)*100)</f>
        <v>64.354066985645929</v>
      </c>
      <c r="D21" s="230"/>
      <c r="E21" s="15"/>
    </row>
    <row r="22" spans="1:7">
      <c r="A22" s="172" t="s">
        <v>75</v>
      </c>
      <c r="B22" s="37">
        <f>aantalw2001_hout</f>
        <v>71</v>
      </c>
      <c r="C22" s="168">
        <f>IF(ISERROR(B22/SUM($B$20,$B$21,$B$22)*100),0,B22/SUM($B$20,$B$21,$B$22)*100)</f>
        <v>16.985645933014354</v>
      </c>
      <c r="D22" s="230"/>
      <c r="E22" s="15"/>
    </row>
    <row r="23" spans="1:7">
      <c r="A23" s="172" t="s">
        <v>76</v>
      </c>
      <c r="B23" s="37">
        <f>aantalw2001_niet_gespec</f>
        <v>125</v>
      </c>
      <c r="C23" s="167" t="s">
        <v>111</v>
      </c>
      <c r="D23" s="229"/>
      <c r="E23" s="15"/>
    </row>
    <row r="24" spans="1:7">
      <c r="A24" s="172" t="s">
        <v>77</v>
      </c>
      <c r="B24" s="37">
        <f>aantalw2001_steenkool</f>
        <v>108</v>
      </c>
      <c r="C24" s="167" t="s">
        <v>111</v>
      </c>
      <c r="D24" s="230"/>
      <c r="E24" s="15"/>
    </row>
    <row r="25" spans="1:7">
      <c r="A25" s="172" t="s">
        <v>78</v>
      </c>
      <c r="B25" s="37">
        <f>aantalw2001_stookolie</f>
        <v>6016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10130</v>
      </c>
      <c r="C28" s="36"/>
      <c r="D28" s="229"/>
    </row>
    <row r="29" spans="1:7" s="15" customFormat="1">
      <c r="A29" s="231" t="s">
        <v>713</v>
      </c>
      <c r="B29" s="37">
        <f>SUM(HH_hh_gas_aantal,HH_rest_gas_aantal)</f>
        <v>4827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4827</v>
      </c>
      <c r="C32" s="168">
        <f>IF(ISERROR(B32/SUM($B$32,$B$34,$B$35,$B$36,$B$38,$B$39)*100),0,B32/SUM($B$32,$B$34,$B$35,$B$36,$B$38,$B$39)*100)</f>
        <v>47.702342128668839</v>
      </c>
      <c r="D32" s="234"/>
      <c r="G32" s="15"/>
    </row>
    <row r="33" spans="1:7">
      <c r="A33" s="172" t="s">
        <v>72</v>
      </c>
      <c r="B33" s="34" t="s">
        <v>111</v>
      </c>
      <c r="C33" s="168"/>
      <c r="D33" s="234"/>
      <c r="G33" s="15"/>
    </row>
    <row r="34" spans="1:7">
      <c r="A34" s="172" t="s">
        <v>73</v>
      </c>
      <c r="B34" s="33">
        <f>IF((($B$28-$B$32-$B$39-$B$77-$B$38)*C20/100)&lt;0,0,($B$28-$B$32-$B$39-$B$77-$B$38)*C20/100)</f>
        <v>339.00143540669865</v>
      </c>
      <c r="C34" s="168">
        <f>IF(ISERROR(B34/SUM($B$32,$B$34,$B$35,$B$36,$B$38,$B$39)*100),0,B34/SUM($B$32,$B$34,$B$35,$B$36,$B$38,$B$39)*100)</f>
        <v>3.3501475976548933</v>
      </c>
      <c r="D34" s="234"/>
      <c r="G34" s="15"/>
    </row>
    <row r="35" spans="1:7">
      <c r="A35" s="172" t="s">
        <v>74</v>
      </c>
      <c r="B35" s="33">
        <f>IF((($B$28-$B$32-$B$39-$B$77-$B$38)*C21/100)&lt;0,0,($B$28-$B$32-$B$39-$B$77-$B$38)*C21/100)</f>
        <v>1169.1203349282298</v>
      </c>
      <c r="C35" s="168">
        <f>IF(ISERROR(B35/SUM($B$32,$B$34,$B$35,$B$36,$B$38,$B$39)*100),0,B35/SUM($B$32,$B$34,$B$35,$B$36,$B$38,$B$39)*100)</f>
        <v>11.553714150886746</v>
      </c>
      <c r="D35" s="234"/>
      <c r="G35" s="15"/>
    </row>
    <row r="36" spans="1:7">
      <c r="A36" s="172" t="s">
        <v>75</v>
      </c>
      <c r="B36" s="33">
        <f>IF((($B$28-$B$32-$B$39-$B$77-$B$38)*C22/100)&lt;0,0,($B$28-$B$32-$B$39-$B$77-$B$38)*C22/100)</f>
        <v>308.57822966507183</v>
      </c>
      <c r="C36" s="168">
        <f>IF(ISERROR(B36/SUM($B$32,$B$34,$B$35,$B$36,$B$38,$B$39)*100),0,B36/SUM($B$32,$B$34,$B$35,$B$36,$B$38,$B$39)*100)</f>
        <v>3.0494933260704795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3475.2999999999997</v>
      </c>
      <c r="C39" s="168">
        <f>IF(ISERROR(B39/SUM($B$32,$B$34,$B$35,$B$36,$B$38,$B$39)*100),0,B39/SUM($B$32,$B$34,$B$35,$B$36,$B$38,$B$39)*100)</f>
        <v>34.344302796719042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4827</v>
      </c>
      <c r="C44" s="34" t="s">
        <v>111</v>
      </c>
      <c r="D44" s="175"/>
    </row>
    <row r="45" spans="1:7">
      <c r="A45" s="172" t="s">
        <v>72</v>
      </c>
      <c r="B45" s="33" t="str">
        <f t="shared" si="0"/>
        <v>-</v>
      </c>
      <c r="C45" s="34" t="s">
        <v>111</v>
      </c>
      <c r="D45" s="175"/>
    </row>
    <row r="46" spans="1:7">
      <c r="A46" s="172" t="s">
        <v>73</v>
      </c>
      <c r="B46" s="33">
        <f t="shared" si="0"/>
        <v>339.00143540669865</v>
      </c>
      <c r="C46" s="34" t="s">
        <v>111</v>
      </c>
      <c r="D46" s="175"/>
    </row>
    <row r="47" spans="1:7">
      <c r="A47" s="172" t="s">
        <v>74</v>
      </c>
      <c r="B47" s="33">
        <f t="shared" si="0"/>
        <v>1169.1203349282298</v>
      </c>
      <c r="C47" s="34" t="s">
        <v>111</v>
      </c>
      <c r="D47" s="175"/>
    </row>
    <row r="48" spans="1:7">
      <c r="A48" s="172" t="s">
        <v>75</v>
      </c>
      <c r="B48" s="33">
        <f t="shared" si="0"/>
        <v>308.57822966507183</v>
      </c>
      <c r="C48" s="33">
        <f>B48*10</f>
        <v>3085.7822966507183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3475.2999999999997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24720.941000000003</v>
      </c>
      <c r="C5" s="17">
        <f>IF(ISERROR('Eigen informatie GS &amp; warmtenet'!B58),0,'Eigen informatie GS &amp; warmtenet'!B58)</f>
        <v>0</v>
      </c>
      <c r="D5" s="30">
        <f>SUM(D6:D12)</f>
        <v>20319.037398</v>
      </c>
      <c r="E5" s="17">
        <f>SUM(E6:E12)</f>
        <v>431.00097469858736</v>
      </c>
      <c r="F5" s="17">
        <f>SUM(F6:F12)</f>
        <v>5584.7920535005014</v>
      </c>
      <c r="G5" s="18"/>
      <c r="H5" s="17"/>
      <c r="I5" s="17"/>
      <c r="J5" s="17">
        <f>SUM(J6:J12)</f>
        <v>0</v>
      </c>
      <c r="K5" s="17"/>
      <c r="L5" s="17"/>
      <c r="M5" s="17"/>
      <c r="N5" s="17">
        <f>SUM(N6:N12)</f>
        <v>1158.567275310013</v>
      </c>
      <c r="O5" s="17">
        <f>B38*B39*B40</f>
        <v>3.1266666666666669</v>
      </c>
      <c r="P5" s="17">
        <f>B46*B47*B48/1000-B46*B47*B48/1000/B49</f>
        <v>0</v>
      </c>
      <c r="R5" s="32"/>
    </row>
    <row r="6" spans="1:18">
      <c r="A6" s="32" t="s">
        <v>54</v>
      </c>
      <c r="B6" s="37">
        <f>B26</f>
        <v>3752.5230000000001</v>
      </c>
      <c r="C6" s="33"/>
      <c r="D6" s="37">
        <f>IF(ISERROR(TER_kantoor_gas_kWh/1000),0,TER_kantoor_gas_kWh/1000)*0.902</f>
        <v>4115.595088</v>
      </c>
      <c r="E6" s="33">
        <f>$C$26*'E Balans VL '!I12/100/3.6*1000000</f>
        <v>131.3530664747249</v>
      </c>
      <c r="F6" s="33">
        <f>$C$26*('E Balans VL '!L12+'E Balans VL '!N12)/100/3.6*1000000</f>
        <v>568.96305267933667</v>
      </c>
      <c r="G6" s="34"/>
      <c r="H6" s="33"/>
      <c r="I6" s="33"/>
      <c r="J6" s="33">
        <f>$C$26*('E Balans VL '!D12+'E Balans VL '!E12)/100/3.6*1000000</f>
        <v>0</v>
      </c>
      <c r="K6" s="33"/>
      <c r="L6" s="33"/>
      <c r="M6" s="33"/>
      <c r="N6" s="33">
        <f>$C$26*'E Balans VL '!Y12/100/3.6*1000000</f>
        <v>29.005828282624897</v>
      </c>
      <c r="O6" s="33"/>
      <c r="P6" s="33"/>
      <c r="R6" s="32"/>
    </row>
    <row r="7" spans="1:18">
      <c r="A7" s="32" t="s">
        <v>53</v>
      </c>
      <c r="B7" s="37">
        <f t="shared" ref="B7:B12" si="0">B27</f>
        <v>3952.47</v>
      </c>
      <c r="C7" s="33"/>
      <c r="D7" s="37">
        <f>IF(ISERROR(TER_horeca_gas_kWh/1000),0,TER_horeca_gas_kWh/1000)*0.902</f>
        <v>3380.4109680000001</v>
      </c>
      <c r="E7" s="33">
        <f>$C$27*'E Balans VL '!I9/100/3.6*1000000</f>
        <v>222.97186305167619</v>
      </c>
      <c r="F7" s="33">
        <f>$C$27*('E Balans VL '!L9+'E Balans VL '!N9)/100/3.6*1000000</f>
        <v>688.54214724981932</v>
      </c>
      <c r="G7" s="34"/>
      <c r="H7" s="33"/>
      <c r="I7" s="33"/>
      <c r="J7" s="33">
        <f>$C$27*('E Balans VL '!D9+'E Balans VL '!E9)/100/3.6*1000000</f>
        <v>0</v>
      </c>
      <c r="K7" s="33"/>
      <c r="L7" s="33"/>
      <c r="M7" s="33"/>
      <c r="N7" s="33">
        <f>$C$27*'E Balans VL '!Y9/100/3.6*1000000</f>
        <v>0</v>
      </c>
      <c r="O7" s="33"/>
      <c r="P7" s="33"/>
      <c r="R7" s="32"/>
    </row>
    <row r="8" spans="1:18">
      <c r="A8" s="6" t="s">
        <v>52</v>
      </c>
      <c r="B8" s="37">
        <f t="shared" si="0"/>
        <v>8840.0470000000005</v>
      </c>
      <c r="C8" s="33"/>
      <c r="D8" s="37">
        <f>IF(ISERROR(TER_handel_gas_kWh/1000),0,TER_handel_gas_kWh/1000)*0.902</f>
        <v>4820.3312960000003</v>
      </c>
      <c r="E8" s="33">
        <f>$C$28*'E Balans VL '!I13/100/3.6*1000000</f>
        <v>45.383903162250803</v>
      </c>
      <c r="F8" s="33">
        <f>$C$28*('E Balans VL '!L13+'E Balans VL '!N13)/100/3.6*1000000</f>
        <v>1362.9986546519924</v>
      </c>
      <c r="G8" s="34"/>
      <c r="H8" s="33"/>
      <c r="I8" s="33"/>
      <c r="J8" s="33">
        <f>$C$28*('E Balans VL '!D13+'E Balans VL '!E13)/100/3.6*1000000</f>
        <v>0</v>
      </c>
      <c r="K8" s="33"/>
      <c r="L8" s="33"/>
      <c r="M8" s="33"/>
      <c r="N8" s="33">
        <f>$C$28*'E Balans VL '!Y13/100/3.6*1000000</f>
        <v>4.1345978891983632</v>
      </c>
      <c r="O8" s="33"/>
      <c r="P8" s="33"/>
      <c r="R8" s="32"/>
    </row>
    <row r="9" spans="1:18">
      <c r="A9" s="32" t="s">
        <v>51</v>
      </c>
      <c r="B9" s="37">
        <f t="shared" si="0"/>
        <v>1572.7739999999999</v>
      </c>
      <c r="C9" s="33"/>
      <c r="D9" s="37">
        <f>IF(ISERROR(TER_gezond_gas_kWh/1000),0,TER_gezond_gas_kWh/1000)*0.902</f>
        <v>2418.026578</v>
      </c>
      <c r="E9" s="33">
        <f>$C$29*'E Balans VL '!I10/100/3.6*1000000</f>
        <v>0.65190362210500963</v>
      </c>
      <c r="F9" s="33">
        <f>$C$29*('E Balans VL '!L10+'E Balans VL '!N10)/100/3.6*1000000</f>
        <v>387.35167961195975</v>
      </c>
      <c r="G9" s="34"/>
      <c r="H9" s="33"/>
      <c r="I9" s="33"/>
      <c r="J9" s="33">
        <f>$C$29*('E Balans VL '!D10+'E Balans VL '!E10)/100/3.6*1000000</f>
        <v>0</v>
      </c>
      <c r="K9" s="33"/>
      <c r="L9" s="33"/>
      <c r="M9" s="33"/>
      <c r="N9" s="33">
        <f>$C$29*'E Balans VL '!Y10/100/3.6*1000000</f>
        <v>13.592660172432092</v>
      </c>
      <c r="O9" s="33"/>
      <c r="P9" s="33"/>
      <c r="R9" s="32"/>
    </row>
    <row r="10" spans="1:18">
      <c r="A10" s="32" t="s">
        <v>50</v>
      </c>
      <c r="B10" s="37">
        <f t="shared" si="0"/>
        <v>4800.9830000000002</v>
      </c>
      <c r="C10" s="33"/>
      <c r="D10" s="37">
        <f>IF(ISERROR(TER_ander_gas_kWh/1000),0,TER_ander_gas_kWh/1000)*0.902</f>
        <v>4736.1079479999999</v>
      </c>
      <c r="E10" s="33">
        <f>$C$30*'E Balans VL '!I14/100/3.6*1000000</f>
        <v>29.266910821201034</v>
      </c>
      <c r="F10" s="33">
        <f>$C$30*('E Balans VL '!L14+'E Balans VL '!N14)/100/3.6*1000000</f>
        <v>1272.806359306938</v>
      </c>
      <c r="G10" s="34"/>
      <c r="H10" s="33"/>
      <c r="I10" s="33"/>
      <c r="J10" s="33">
        <f>$C$30*('E Balans VL '!D14+'E Balans VL '!E14)/100/3.6*1000000</f>
        <v>0</v>
      </c>
      <c r="K10" s="33"/>
      <c r="L10" s="33"/>
      <c r="M10" s="33"/>
      <c r="N10" s="33">
        <f>$C$30*'E Balans VL '!Y14/100/3.6*1000000</f>
        <v>1106.5228398931899</v>
      </c>
      <c r="O10" s="33"/>
      <c r="P10" s="33"/>
      <c r="R10" s="32"/>
    </row>
    <row r="11" spans="1:18">
      <c r="A11" s="32" t="s">
        <v>55</v>
      </c>
      <c r="B11" s="37">
        <f t="shared" si="0"/>
        <v>1802.144</v>
      </c>
      <c r="C11" s="33"/>
      <c r="D11" s="37">
        <f>IF(ISERROR(TER_onderwijs_gas_kWh/1000),0,TER_onderwijs_gas_kWh/1000)*0.902</f>
        <v>848.56551999999999</v>
      </c>
      <c r="E11" s="33">
        <f>$C$31*'E Balans VL '!I11/100/3.6*1000000</f>
        <v>1.3733275666294225</v>
      </c>
      <c r="F11" s="33">
        <f>$C$31*('E Balans VL '!L11+'E Balans VL '!N11)/100/3.6*1000000</f>
        <v>1304.1301600004556</v>
      </c>
      <c r="G11" s="34"/>
      <c r="H11" s="33"/>
      <c r="I11" s="33"/>
      <c r="J11" s="33">
        <f>$C$31*('E Balans VL '!D11+'E Balans VL '!E11)/100/3.6*1000000</f>
        <v>0</v>
      </c>
      <c r="K11" s="33"/>
      <c r="L11" s="33"/>
      <c r="M11" s="33"/>
      <c r="N11" s="33">
        <f>$C$31*'E Balans VL '!Y11/100/3.6*1000000</f>
        <v>5.311349072567717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24720.941000000003</v>
      </c>
      <c r="C16" s="21">
        <f ca="1">C5+C13+C14</f>
        <v>0</v>
      </c>
      <c r="D16" s="21">
        <f t="shared" ref="D16:N16" ca="1" si="1">MAX((D5+D13+D14),0)</f>
        <v>20319.037398</v>
      </c>
      <c r="E16" s="21">
        <f t="shared" si="1"/>
        <v>431.00097469858736</v>
      </c>
      <c r="F16" s="21">
        <f t="shared" ca="1" si="1"/>
        <v>5584.7920535005014</v>
      </c>
      <c r="G16" s="21">
        <f t="shared" si="1"/>
        <v>0</v>
      </c>
      <c r="H16" s="21">
        <f t="shared" si="1"/>
        <v>0</v>
      </c>
      <c r="I16" s="21">
        <f t="shared" si="1"/>
        <v>0</v>
      </c>
      <c r="J16" s="21">
        <f t="shared" si="1"/>
        <v>0</v>
      </c>
      <c r="K16" s="21">
        <f t="shared" si="1"/>
        <v>0</v>
      </c>
      <c r="L16" s="21">
        <f t="shared" ca="1" si="1"/>
        <v>0</v>
      </c>
      <c r="M16" s="21">
        <f t="shared" si="1"/>
        <v>0</v>
      </c>
      <c r="N16" s="21">
        <f t="shared" ca="1" si="1"/>
        <v>1158.567275310013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0.18585473635864105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4594.5039720925206</v>
      </c>
      <c r="C20" s="23">
        <f t="shared" ref="C20:P20" ca="1" si="2">C16*C18</f>
        <v>0</v>
      </c>
      <c r="D20" s="23">
        <f t="shared" ca="1" si="2"/>
        <v>4104.4455543960003</v>
      </c>
      <c r="E20" s="23">
        <f t="shared" si="2"/>
        <v>97.837221256579326</v>
      </c>
      <c r="F20" s="23">
        <f t="shared" ca="1" si="2"/>
        <v>1491.1394782846339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3752.5230000000001</v>
      </c>
      <c r="C26" s="39">
        <f>IF(ISERROR(B26*3.6/1000000/'E Balans VL '!Z12*100),0,B26*3.6/1000000/'E Balans VL '!Z12*100)</f>
        <v>7.8965623444031588E-2</v>
      </c>
      <c r="D26" s="238" t="s">
        <v>719</v>
      </c>
      <c r="F26" s="6"/>
    </row>
    <row r="27" spans="1:18">
      <c r="A27" s="232" t="s">
        <v>53</v>
      </c>
      <c r="B27" s="33">
        <f>IF(ISERROR(TER_horeca_ele_kWh/1000),0,TER_horeca_ele_kWh/1000)</f>
        <v>3952.47</v>
      </c>
      <c r="C27" s="39">
        <f>IF(ISERROR(B27*3.6/1000000/'E Balans VL '!Z9*100),0,B27*3.6/1000000/'E Balans VL '!Z9*100)</f>
        <v>0.33464452856215166</v>
      </c>
      <c r="D27" s="238" t="s">
        <v>719</v>
      </c>
      <c r="F27" s="6"/>
    </row>
    <row r="28" spans="1:18">
      <c r="A28" s="172" t="s">
        <v>52</v>
      </c>
      <c r="B28" s="33">
        <f>IF(ISERROR(TER_handel_ele_kWh/1000),0,TER_handel_ele_kWh/1000)</f>
        <v>8840.0470000000005</v>
      </c>
      <c r="C28" s="39">
        <f>IF(ISERROR(B28*3.6/1000000/'E Balans VL '!Z13*100),0,B28*3.6/1000000/'E Balans VL '!Z13*100)</f>
        <v>0.24473547880173685</v>
      </c>
      <c r="D28" s="238" t="s">
        <v>719</v>
      </c>
      <c r="F28" s="6"/>
    </row>
    <row r="29" spans="1:18">
      <c r="A29" s="232" t="s">
        <v>51</v>
      </c>
      <c r="B29" s="33">
        <f>IF(ISERROR(TER_gezond_ele_kWh/1000),0,TER_gezond_ele_kWh/1000)</f>
        <v>1572.7739999999999</v>
      </c>
      <c r="C29" s="39">
        <f>IF(ISERROR(B29*3.6/1000000/'E Balans VL '!Z10*100),0,B29*3.6/1000000/'E Balans VL '!Z10*100)</f>
        <v>0.20444318376732451</v>
      </c>
      <c r="D29" s="238" t="s">
        <v>719</v>
      </c>
      <c r="F29" s="6"/>
    </row>
    <row r="30" spans="1:18">
      <c r="A30" s="232" t="s">
        <v>50</v>
      </c>
      <c r="B30" s="33">
        <f>IF(ISERROR(TER_ander_ele_kWh/1000),0,TER_ander_ele_kWh/1000)</f>
        <v>4800.9830000000002</v>
      </c>
      <c r="C30" s="39">
        <f>IF(ISERROR(B30*3.6/1000000/'E Balans VL '!Z14*100),0,B30*3.6/1000000/'E Balans VL '!Z14*100)</f>
        <v>0.37212021087748265</v>
      </c>
      <c r="D30" s="238" t="s">
        <v>719</v>
      </c>
      <c r="F30" s="6"/>
    </row>
    <row r="31" spans="1:18">
      <c r="A31" s="232" t="s">
        <v>55</v>
      </c>
      <c r="B31" s="33">
        <f>IF(ISERROR(TER_onderwijs_ele_kWh/1000),0,TER_onderwijs_ele_kWh/1000)</f>
        <v>1802.144</v>
      </c>
      <c r="C31" s="39">
        <f>IF(ISERROR(B31*3.6/1000000/'E Balans VL '!Z11*100),0,B31*3.6/1000000/'E Balans VL '!Z11*100)</f>
        <v>0.34478085508391537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11861.892</v>
      </c>
      <c r="C5" s="17">
        <f>IF(ISERROR('Eigen informatie GS &amp; warmtenet'!B59),0,'Eigen informatie GS &amp; warmtenet'!B59)</f>
        <v>0</v>
      </c>
      <c r="D5" s="30">
        <f>SUM(D6:D15)</f>
        <v>10785.605468</v>
      </c>
      <c r="E5" s="17">
        <f>SUM(E6:E15)</f>
        <v>161.60813626094972</v>
      </c>
      <c r="F5" s="17">
        <f>SUM(F6:F15)</f>
        <v>3053.9671761234131</v>
      </c>
      <c r="G5" s="18"/>
      <c r="H5" s="17"/>
      <c r="I5" s="17"/>
      <c r="J5" s="17">
        <f>SUM(J6:J15)</f>
        <v>68.267531341149379</v>
      </c>
      <c r="K5" s="17"/>
      <c r="L5" s="17"/>
      <c r="M5" s="17"/>
      <c r="N5" s="17">
        <f>SUM(N6:N15)</f>
        <v>252.01367938588521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1174.039</v>
      </c>
      <c r="C8" s="33"/>
      <c r="D8" s="37">
        <f>IF( ISERROR(IND_metaal_Gas_kWH/1000),0,IND_metaal_Gas_kWH/1000)*0.902</f>
        <v>1122.072666</v>
      </c>
      <c r="E8" s="33">
        <f>C30*'E Balans VL '!I18/100/3.6*1000000</f>
        <v>8.2497130130447704</v>
      </c>
      <c r="F8" s="33">
        <f>C30*'E Balans VL '!L18/100/3.6*1000000+C30*'E Balans VL '!N18/100/3.6*1000000</f>
        <v>128.90261339576364</v>
      </c>
      <c r="G8" s="34"/>
      <c r="H8" s="33"/>
      <c r="I8" s="33"/>
      <c r="J8" s="40">
        <f>C30*'E Balans VL '!D18/100/3.6*1000000+C30*'E Balans VL '!E18/100/3.6*1000000</f>
        <v>24.222955084001086</v>
      </c>
      <c r="K8" s="33"/>
      <c r="L8" s="33"/>
      <c r="M8" s="33"/>
      <c r="N8" s="33">
        <f>C30*'E Balans VL '!Y18/100/3.6*1000000</f>
        <v>4.4003827261980861</v>
      </c>
      <c r="O8" s="33"/>
      <c r="P8" s="33"/>
      <c r="R8" s="32"/>
    </row>
    <row r="9" spans="1:18">
      <c r="A9" s="6" t="s">
        <v>33</v>
      </c>
      <c r="B9" s="37">
        <f t="shared" si="0"/>
        <v>2181.83</v>
      </c>
      <c r="C9" s="33"/>
      <c r="D9" s="37">
        <f>IF( ISERROR(IND_andere_gas_kWh/1000),0,IND_andere_gas_kWh/1000)*0.902</f>
        <v>993.02442800000006</v>
      </c>
      <c r="E9" s="33">
        <f>C31*'E Balans VL '!I19/100/3.6*1000000</f>
        <v>36.646507677088621</v>
      </c>
      <c r="F9" s="33">
        <f>C31*'E Balans VL '!L19/100/3.6*1000000+C31*'E Balans VL '!N19/100/3.6*1000000</f>
        <v>1705.6304262419721</v>
      </c>
      <c r="G9" s="34"/>
      <c r="H9" s="33"/>
      <c r="I9" s="33"/>
      <c r="J9" s="40">
        <f>C31*'E Balans VL '!D19/100/3.6*1000000+C31*'E Balans VL '!E19/100/3.6*1000000</f>
        <v>0.19678180614677371</v>
      </c>
      <c r="K9" s="33"/>
      <c r="L9" s="33"/>
      <c r="M9" s="33"/>
      <c r="N9" s="33">
        <f>C31*'E Balans VL '!Y19/100/3.6*1000000</f>
        <v>161.70860738065997</v>
      </c>
      <c r="O9" s="33"/>
      <c r="P9" s="33"/>
      <c r="R9" s="32"/>
    </row>
    <row r="10" spans="1:18">
      <c r="A10" s="6" t="s">
        <v>41</v>
      </c>
      <c r="B10" s="37">
        <f t="shared" si="0"/>
        <v>846.495</v>
      </c>
      <c r="C10" s="33"/>
      <c r="D10" s="37">
        <f>IF( ISERROR(IND_voed_gas_kWh/1000),0,IND_voed_gas_kWh/1000)*0.902</f>
        <v>489.60199200000005</v>
      </c>
      <c r="E10" s="33">
        <f>C32*'E Balans VL '!I20/100/3.6*1000000</f>
        <v>7.7230686190196636</v>
      </c>
      <c r="F10" s="33">
        <f>C32*'E Balans VL '!L20/100/3.6*1000000+C32*'E Balans VL '!N20/100/3.6*1000000</f>
        <v>136.56612031412294</v>
      </c>
      <c r="G10" s="34"/>
      <c r="H10" s="33"/>
      <c r="I10" s="33"/>
      <c r="J10" s="40">
        <f>C32*'E Balans VL '!D20/100/3.6*1000000+C32*'E Balans VL '!E20/100/3.6*1000000</f>
        <v>3.4864213989862862</v>
      </c>
      <c r="K10" s="33"/>
      <c r="L10" s="33"/>
      <c r="M10" s="33"/>
      <c r="N10" s="33">
        <f>C32*'E Balans VL '!Y20/100/3.6*1000000</f>
        <v>12.38355436995896</v>
      </c>
      <c r="O10" s="33"/>
      <c r="P10" s="33"/>
      <c r="R10" s="32"/>
    </row>
    <row r="11" spans="1:18">
      <c r="A11" s="6" t="s">
        <v>40</v>
      </c>
      <c r="B11" s="37">
        <f t="shared" si="0"/>
        <v>1072.671</v>
      </c>
      <c r="C11" s="33"/>
      <c r="D11" s="37">
        <f>IF( ISERROR(IND_textiel_gas_kWh/1000),0,IND_textiel_gas_kWh/1000)*0.902</f>
        <v>0</v>
      </c>
      <c r="E11" s="33">
        <f>C33*'E Balans VL '!I21/100/3.6*1000000</f>
        <v>2.4465635790365923</v>
      </c>
      <c r="F11" s="33">
        <f>C33*'E Balans VL '!L21/100/3.6*1000000+C33*'E Balans VL '!N21/100/3.6*1000000</f>
        <v>22.929337522870341</v>
      </c>
      <c r="G11" s="34"/>
      <c r="H11" s="33"/>
      <c r="I11" s="33"/>
      <c r="J11" s="40">
        <f>C33*'E Balans VL '!D21/100/3.6*1000000+C33*'E Balans VL '!E21/100/3.6*1000000</f>
        <v>0</v>
      </c>
      <c r="K11" s="33"/>
      <c r="L11" s="33"/>
      <c r="M11" s="33"/>
      <c r="N11" s="33">
        <f>C33*'E Balans VL '!Y21/100/3.6*1000000</f>
        <v>7.6093833604425622</v>
      </c>
      <c r="O11" s="33"/>
      <c r="P11" s="33"/>
      <c r="R11" s="32"/>
    </row>
    <row r="12" spans="1:18">
      <c r="A12" s="6" t="s">
        <v>37</v>
      </c>
      <c r="B12" s="37">
        <f t="shared" si="0"/>
        <v>2763.7550000000001</v>
      </c>
      <c r="C12" s="33"/>
      <c r="D12" s="37">
        <f>IF( ISERROR(IND_min_gas_kWh/1000),0,IND_min_gas_kWh/1000)*0.902</f>
        <v>7328.5975619999999</v>
      </c>
      <c r="E12" s="33">
        <f>C34*'E Balans VL '!I22/100/3.6*1000000</f>
        <v>68.550109101038501</v>
      </c>
      <c r="F12" s="33">
        <f>C34*'E Balans VL '!L22/100/3.6*1000000+C34*'E Balans VL '!N22/100/3.6*1000000</f>
        <v>293.67543169378945</v>
      </c>
      <c r="G12" s="34"/>
      <c r="H12" s="33"/>
      <c r="I12" s="33"/>
      <c r="J12" s="40">
        <f>C34*'E Balans VL '!D22/100/3.6*1000000+C34*'E Balans VL '!E22/100/3.6*1000000</f>
        <v>15.699750066969992</v>
      </c>
      <c r="K12" s="33"/>
      <c r="L12" s="33"/>
      <c r="M12" s="33"/>
      <c r="N12" s="33">
        <f>C34*'E Balans VL '!Y22/100/3.6*1000000</f>
        <v>0</v>
      </c>
      <c r="O12" s="33"/>
      <c r="P12" s="33"/>
      <c r="R12" s="32"/>
    </row>
    <row r="13" spans="1:18">
      <c r="A13" s="6" t="s">
        <v>39</v>
      </c>
      <c r="B13" s="37">
        <f t="shared" si="0"/>
        <v>160.495</v>
      </c>
      <c r="C13" s="33"/>
      <c r="D13" s="37">
        <f>IF( ISERROR(IND_papier_gas_kWh/1000),0,IND_papier_gas_kWh/1000)*0.902</f>
        <v>0</v>
      </c>
      <c r="E13" s="33">
        <f>C35*'E Balans VL '!I23/100/3.6*1000000</f>
        <v>4.9380122953542438</v>
      </c>
      <c r="F13" s="33">
        <f>C35*'E Balans VL '!L23/100/3.6*1000000+C35*'E Balans VL '!N23/100/3.6*1000000</f>
        <v>34.078697468858728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3662.607</v>
      </c>
      <c r="C15" s="33"/>
      <c r="D15" s="37">
        <f>IF( ISERROR(IND_rest_gas_kWh/1000),0,IND_rest_gas_kWh/1000)*0.902</f>
        <v>852.30881999999997</v>
      </c>
      <c r="E15" s="33">
        <f>C37*'E Balans VL '!I15/100/3.6*1000000</f>
        <v>33.054161976367332</v>
      </c>
      <c r="F15" s="33">
        <f>C37*'E Balans VL '!L15/100/3.6*1000000+C37*'E Balans VL '!N15/100/3.6*1000000</f>
        <v>732.18454948603585</v>
      </c>
      <c r="G15" s="34"/>
      <c r="H15" s="33"/>
      <c r="I15" s="33"/>
      <c r="J15" s="40">
        <f>C37*'E Balans VL '!D15/100/3.6*1000000+C37*'E Balans VL '!E15/100/3.6*1000000</f>
        <v>24.661622985045238</v>
      </c>
      <c r="K15" s="33"/>
      <c r="L15" s="33"/>
      <c r="M15" s="33"/>
      <c r="N15" s="33">
        <f>C37*'E Balans VL '!Y15/100/3.6*1000000</f>
        <v>65.911751548625617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11861.892</v>
      </c>
      <c r="C18" s="21">
        <f>C5+C16</f>
        <v>0</v>
      </c>
      <c r="D18" s="21">
        <f>MAX((D5+D16),0)</f>
        <v>10785.605468</v>
      </c>
      <c r="E18" s="21">
        <f>MAX((E5+E16),0)</f>
        <v>161.60813626094972</v>
      </c>
      <c r="F18" s="21">
        <f>MAX((F5+F16),0)</f>
        <v>3053.9671761234131</v>
      </c>
      <c r="G18" s="21"/>
      <c r="H18" s="21"/>
      <c r="I18" s="21"/>
      <c r="J18" s="21">
        <f>MAX((J5+J16),0)</f>
        <v>68.267531341149379</v>
      </c>
      <c r="K18" s="21"/>
      <c r="L18" s="21">
        <f>MAX((L5+L16),0)</f>
        <v>0</v>
      </c>
      <c r="M18" s="21"/>
      <c r="N18" s="21">
        <f>MAX((N5+N16),0)</f>
        <v>252.01367938588521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0.18585473635864105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2204.5888103746734</v>
      </c>
      <c r="C22" s="23">
        <f ca="1">C18*C20</f>
        <v>0</v>
      </c>
      <c r="D22" s="23">
        <f>D18*D20</f>
        <v>2178.6923045359999</v>
      </c>
      <c r="E22" s="23">
        <f>E18*E20</f>
        <v>36.68504693123559</v>
      </c>
      <c r="F22" s="23">
        <f>F18*F20</f>
        <v>815.40923602495138</v>
      </c>
      <c r="G22" s="23"/>
      <c r="H22" s="23"/>
      <c r="I22" s="23"/>
      <c r="J22" s="23">
        <f>J18*J20</f>
        <v>24.16670609476688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1174.039</v>
      </c>
      <c r="C30" s="39">
        <f>IF(ISERROR(B30*3.6/1000000/'E Balans VL '!Z18*100),0,B30*3.6/1000000/'E Balans VL '!Z18*100)</f>
        <v>7.8156493158290721E-2</v>
      </c>
      <c r="D30" s="238" t="s">
        <v>719</v>
      </c>
    </row>
    <row r="31" spans="1:18">
      <c r="A31" s="6" t="s">
        <v>33</v>
      </c>
      <c r="B31" s="37">
        <f>IF( ISERROR(IND_ander_ele_kWh/1000),0,IND_ander_ele_kWh/1000)</f>
        <v>2181.83</v>
      </c>
      <c r="C31" s="39">
        <f>IF(ISERROR(B31*3.6/1000000/'E Balans VL '!Z19*100),0,B31*3.6/1000000/'E Balans VL '!Z19*100)</f>
        <v>9.671187742367035E-2</v>
      </c>
      <c r="D31" s="238" t="s">
        <v>719</v>
      </c>
    </row>
    <row r="32" spans="1:18">
      <c r="A32" s="172" t="s">
        <v>41</v>
      </c>
      <c r="B32" s="37">
        <f>IF( ISERROR(IND_voed_ele_kWh/1000),0,IND_voed_ele_kWh/1000)</f>
        <v>846.495</v>
      </c>
      <c r="C32" s="39">
        <f>IF(ISERROR(B32*3.6/1000000/'E Balans VL '!Z20*100),0,B32*3.6/1000000/'E Balans VL '!Z20*100)</f>
        <v>2.8275361279874168E-2</v>
      </c>
      <c r="D32" s="238" t="s">
        <v>719</v>
      </c>
    </row>
    <row r="33" spans="1:5">
      <c r="A33" s="172" t="s">
        <v>40</v>
      </c>
      <c r="B33" s="37">
        <f>IF( ISERROR(IND_textiel_ele_kWh/1000),0,IND_textiel_ele_kWh/1000)</f>
        <v>1072.671</v>
      </c>
      <c r="C33" s="39">
        <f>IF(ISERROR(B33*3.6/1000000/'E Balans VL '!Z21*100),0,B33*3.6/1000000/'E Balans VL '!Z21*100)</f>
        <v>0.14121961077220965</v>
      </c>
      <c r="D33" s="238" t="s">
        <v>719</v>
      </c>
    </row>
    <row r="34" spans="1:5">
      <c r="A34" s="172" t="s">
        <v>37</v>
      </c>
      <c r="B34" s="37">
        <f>IF( ISERROR(IND_min_ele_kWh/1000),0,IND_min_ele_kWh/1000)</f>
        <v>2763.7550000000001</v>
      </c>
      <c r="C34" s="39">
        <f>IF(ISERROR(B34*3.6/1000000/'E Balans VL '!Z22*100),0,B34*3.6/1000000/'E Balans VL '!Z22*100)</f>
        <v>0.53751998937698509</v>
      </c>
      <c r="D34" s="238" t="s">
        <v>719</v>
      </c>
    </row>
    <row r="35" spans="1:5">
      <c r="A35" s="172" t="s">
        <v>39</v>
      </c>
      <c r="B35" s="37">
        <f>IF( ISERROR(IND_papier_ele_kWh/1000),0,IND_papier_ele_kWh/1000)</f>
        <v>160.495</v>
      </c>
      <c r="C35" s="39">
        <f>IF(ISERROR(B35*3.6/1000000/'E Balans VL '!Z22*100),0,B35*3.6/1000000/'E Balans VL '!Z22*100)</f>
        <v>3.1214514562636422E-2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3662.607</v>
      </c>
      <c r="C37" s="39">
        <f>IF(ISERROR(B37*3.6/1000000/'E Balans VL '!Z15*100),0,B37*3.6/1000000/'E Balans VL '!Z15*100)</f>
        <v>2.7243829182793125E-2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6671.95</v>
      </c>
      <c r="C5" s="17">
        <f>'Eigen informatie GS &amp; warmtenet'!B60</f>
        <v>0</v>
      </c>
      <c r="D5" s="30">
        <f>IF(ISERROR(SUM(LB_lb_gas_kWh,LB_rest_gas_kWh)/1000),0,SUM(LB_lb_gas_kWh,LB_rest_gas_kWh)/1000)*0.902</f>
        <v>6947.2112159999997</v>
      </c>
      <c r="E5" s="17">
        <f>B17*'E Balans VL '!I25/3.6*1000000/100</f>
        <v>69.870104818271955</v>
      </c>
      <c r="F5" s="17">
        <f>B17*('E Balans VL '!L25/3.6*1000000+'E Balans VL '!N25/3.6*1000000)/100</f>
        <v>28561.01560532075</v>
      </c>
      <c r="G5" s="18"/>
      <c r="H5" s="17"/>
      <c r="I5" s="17"/>
      <c r="J5" s="17">
        <f>('E Balans VL '!D25+'E Balans VL '!E25)/3.6*1000000*landbouw!B17/100</f>
        <v>595.86493670804668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6671.95</v>
      </c>
      <c r="C8" s="21">
        <f>C5+C6</f>
        <v>0</v>
      </c>
      <c r="D8" s="21">
        <f>MAX((D5+D6),0)</f>
        <v>6947.2112159999997</v>
      </c>
      <c r="E8" s="21">
        <f>MAX((E5+E6),0)</f>
        <v>69.870104818271955</v>
      </c>
      <c r="F8" s="21">
        <f>MAX((F5+F6),0)</f>
        <v>28561.01560532075</v>
      </c>
      <c r="G8" s="21"/>
      <c r="H8" s="21"/>
      <c r="I8" s="21"/>
      <c r="J8" s="21">
        <f>MAX((J5+J6),0)</f>
        <v>595.86493670804668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0.18585473635864105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1240.0135082480351</v>
      </c>
      <c r="C12" s="23">
        <f ca="1">C8*C10</f>
        <v>0</v>
      </c>
      <c r="D12" s="23">
        <f>D8*D10</f>
        <v>1403.3366656319999</v>
      </c>
      <c r="E12" s="23">
        <f>E8*E10</f>
        <v>15.860513793747733</v>
      </c>
      <c r="F12" s="23">
        <f>F8*F10</f>
        <v>7625.791166620641</v>
      </c>
      <c r="G12" s="23"/>
      <c r="H12" s="23"/>
      <c r="I12" s="23"/>
      <c r="J12" s="23">
        <f>J8*J10</f>
        <v>210.93618759464852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1.0269418974356408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390.35074378115877</v>
      </c>
      <c r="C26" s="248">
        <f>B26*'GWP N2O_CH4'!B5</f>
        <v>8197.3656194043342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155.29616678063897</v>
      </c>
      <c r="C27" s="248">
        <f>B27*'GWP N2O_CH4'!B5</f>
        <v>3261.2195023934182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5.241942826145884</v>
      </c>
      <c r="C28" s="248">
        <f>B28*'GWP N2O_CH4'!B4</f>
        <v>1625.0022761052242</v>
      </c>
      <c r="D28" s="50"/>
    </row>
    <row r="29" spans="1:4">
      <c r="A29" s="41" t="s">
        <v>277</v>
      </c>
      <c r="B29" s="248">
        <f>B34*'ha_N2O bodem landbouw'!B4</f>
        <v>32.290456830887905</v>
      </c>
      <c r="C29" s="248">
        <f>B29*'GWP N2O_CH4'!B4</f>
        <v>10010.041617575251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5.3364220843716732E-3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3.5314778530692284E-6</v>
      </c>
      <c r="C5" s="446" t="s">
        <v>211</v>
      </c>
      <c r="D5" s="431">
        <f>SUM(D6:D11)</f>
        <v>1.7765192861166971E-5</v>
      </c>
      <c r="E5" s="431">
        <f>SUM(E6:E11)</f>
        <v>1.7964275265283801E-3</v>
      </c>
      <c r="F5" s="444" t="s">
        <v>211</v>
      </c>
      <c r="G5" s="431">
        <f>SUM(G6:G11)</f>
        <v>0.27071314187644235</v>
      </c>
      <c r="H5" s="431">
        <f>SUM(H6:H11)</f>
        <v>5.8996436880595006E-2</v>
      </c>
      <c r="I5" s="446" t="s">
        <v>211</v>
      </c>
      <c r="J5" s="446" t="s">
        <v>211</v>
      </c>
      <c r="K5" s="446" t="s">
        <v>211</v>
      </c>
      <c r="L5" s="446" t="s">
        <v>211</v>
      </c>
      <c r="M5" s="431">
        <f>SUM(M6:M11)</f>
        <v>1.4419493155511848E-2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2.7890174662740854E-6</v>
      </c>
      <c r="C6" s="432"/>
      <c r="D6" s="432">
        <f>vkm_2011_GW_PW*SUMIFS(TableVerdeelsleutelVkm[CNG],TableVerdeelsleutelVkm[Voertuigtype],"Lichte voertuigen")*SUMIFS(TableECFTransport[EnergieConsumptieFactor (PJ per km)],TableECFTransport[Index],CONCATENATE($A6,"_CNG_CNG"))</f>
        <v>1.2023130102075248E-5</v>
      </c>
      <c r="E6" s="434">
        <f>vkm_2011_GW_PW*SUMIFS(TableVerdeelsleutelVkm[LPG],TableVerdeelsleutelVkm[Voertuigtype],"Lichte voertuigen")*SUMIFS(TableECFTransport[EnergieConsumptieFactor (PJ per km)],TableECFTransport[Index],CONCATENATE($A6,"_LPG_LPG"))</f>
        <v>1.2509329147429667E-3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0.15386818267310423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4.0510303884390364E-2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8.5185971671258662E-3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4.793490667560197E-2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1.6436215234035709E-5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2.0706981539456788E-3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7.4246038679514314E-7</v>
      </c>
      <c r="C8" s="432"/>
      <c r="D8" s="434">
        <f>vkm_2011_NGW_PW*SUMIFS(TableVerdeelsleutelVkm[CNG],TableVerdeelsleutelVkm[Voertuigtype],"Lichte voertuigen")*SUMIFS(TableECFTransport[EnergieConsumptieFactor (PJ per km)],TableECFTransport[Index],CONCATENATE($A8,"_CNG_CNG"))</f>
        <v>5.7420627590917232E-6</v>
      </c>
      <c r="E8" s="434">
        <f>vkm_2011_NGW_PW*SUMIFS(TableVerdeelsleutelVkm[LPG],TableVerdeelsleutelVkm[Voertuigtype],"Lichte voertuigen")*SUMIFS(TableECFTransport[EnergieConsumptieFactor (PJ per km)],TableECFTransport[Index],CONCATENATE($A8,"_LPG_LPG"))</f>
        <v>5.4549461178541345E-4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6.3640294265284003E-2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1.8468127058426459E-2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3.6025651256535009E-3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5.2697582624521132E-3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1.5697225441493093E-6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2.2763270878680168E-4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0.98096607029700789</v>
      </c>
      <c r="C14" s="21"/>
      <c r="D14" s="21">
        <f t="shared" ref="D14:M14" si="0">((D5)*10^9/3600)+D12</f>
        <v>4.9347757947686031</v>
      </c>
      <c r="E14" s="21">
        <f t="shared" si="0"/>
        <v>499.00764625788338</v>
      </c>
      <c r="F14" s="21"/>
      <c r="G14" s="21">
        <f t="shared" si="0"/>
        <v>75198.094965678436</v>
      </c>
      <c r="H14" s="21">
        <f t="shared" si="0"/>
        <v>16387.899133498613</v>
      </c>
      <c r="I14" s="21"/>
      <c r="J14" s="21"/>
      <c r="K14" s="21"/>
      <c r="L14" s="21"/>
      <c r="M14" s="21">
        <f t="shared" si="0"/>
        <v>4005.4147654199578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0.18585473635864105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0.18231719037182254</v>
      </c>
      <c r="C18" s="23"/>
      <c r="D18" s="23">
        <f t="shared" ref="D18:M18" si="1">D14*D16</f>
        <v>0.99682471054325783</v>
      </c>
      <c r="E18" s="23">
        <f t="shared" si="1"/>
        <v>113.27473570053954</v>
      </c>
      <c r="F18" s="23"/>
      <c r="G18" s="23">
        <f t="shared" si="1"/>
        <v>20077.891355836142</v>
      </c>
      <c r="H18" s="23">
        <f t="shared" si="1"/>
        <v>4080.5868842411546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9.342105766651591E-3</v>
      </c>
      <c r="H50" s="322">
        <f t="shared" si="2"/>
        <v>0</v>
      </c>
      <c r="I50" s="322">
        <f t="shared" si="2"/>
        <v>0</v>
      </c>
      <c r="J50" s="322">
        <f t="shared" si="2"/>
        <v>0</v>
      </c>
      <c r="K50" s="322">
        <f t="shared" si="2"/>
        <v>0</v>
      </c>
      <c r="L50" s="322">
        <f t="shared" si="2"/>
        <v>0</v>
      </c>
      <c r="M50" s="322">
        <f t="shared" si="2"/>
        <v>3.9821338227276955E-4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9.342105766651591E-3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3.9821338227276955E-4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2595.0293796254418</v>
      </c>
      <c r="H54" s="21">
        <f t="shared" si="3"/>
        <v>0</v>
      </c>
      <c r="I54" s="21">
        <f t="shared" si="3"/>
        <v>0</v>
      </c>
      <c r="J54" s="21">
        <f t="shared" si="3"/>
        <v>0</v>
      </c>
      <c r="K54" s="21">
        <f t="shared" si="3"/>
        <v>0</v>
      </c>
      <c r="L54" s="21">
        <f t="shared" si="3"/>
        <v>0</v>
      </c>
      <c r="M54" s="21">
        <f t="shared" si="3"/>
        <v>110.61482840910266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0.18585473635864105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692.872844359993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9911.2119547937709</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5049.9920342460546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14961.203989039826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2019-08-12T09:22:50Z</dcterms:modified>
</cp:coreProperties>
</file>