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L20"/>
  <c r="O18"/>
  <c r="B8"/>
  <c r="B10" s="1"/>
  <c r="O19"/>
  <c r="I101"/>
  <c r="H8" s="1"/>
  <c r="H10" s="1"/>
  <c r="E101"/>
  <c r="E8" s="1"/>
  <c r="E10" s="1"/>
  <c r="D101"/>
  <c r="G101"/>
  <c r="C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H90"/>
  <c r="R78"/>
  <c r="J56"/>
  <c r="E55"/>
  <c r="Q56"/>
  <c r="P56"/>
  <c r="I56"/>
  <c r="P52"/>
  <c r="R44"/>
  <c r="P26"/>
  <c r="H26"/>
  <c r="E25"/>
  <c r="D14" i="48" s="1"/>
  <c r="Q26" i="14"/>
  <c r="N26"/>
  <c r="I26"/>
  <c r="J22"/>
  <c r="D5" i="17"/>
  <c r="Q76" i="14" l="1"/>
  <c r="P8" i="55" s="1"/>
  <c r="D8"/>
  <c r="D10" s="1"/>
  <c r="Q14" i="48"/>
  <c r="E90" i="14"/>
  <c r="E18" i="55"/>
  <c r="L78" i="14"/>
  <c r="L8" i="55"/>
  <c r="L10" s="1"/>
  <c r="M22" i="14"/>
  <c r="R25"/>
  <c r="P22"/>
  <c r="M76"/>
  <c r="M8" i="55" s="1"/>
  <c r="M10" s="1"/>
  <c r="L90" i="14"/>
  <c r="H10" i="55"/>
  <c r="E20"/>
  <c r="G20"/>
  <c r="O20"/>
  <c r="H101" i="18"/>
  <c r="J8" s="1"/>
  <c r="C77" i="14"/>
  <c r="C9" i="55" s="1"/>
  <c r="F9"/>
  <c r="M90" i="14"/>
  <c r="M17" i="55"/>
  <c r="M20" s="1"/>
  <c r="Q22" i="14"/>
  <c r="L22"/>
  <c r="F76"/>
  <c r="K20" i="55"/>
  <c r="F101" i="18"/>
  <c r="I8" s="1"/>
  <c r="G78" i="14"/>
  <c r="G9" i="55"/>
  <c r="O78" i="14"/>
  <c r="O9" i="55"/>
  <c r="N78" i="14"/>
  <c r="N9" i="55"/>
  <c r="N10" s="1"/>
  <c r="F90" i="14"/>
  <c r="F18" i="55"/>
  <c r="F20" s="1"/>
  <c r="N90" i="14"/>
  <c r="N18" i="55"/>
  <c r="N20" s="1"/>
  <c r="P32" i="48"/>
  <c r="D22" i="14"/>
  <c r="G10" i="55"/>
  <c r="P31" i="48"/>
  <c r="R9" i="14"/>
  <c r="E10" i="55"/>
  <c r="O10"/>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31"/>
  <c r="F30"/>
  <c r="F27"/>
  <c r="F29"/>
  <c r="F24"/>
  <c r="E28"/>
  <c r="E24"/>
  <c r="E30"/>
  <c r="E32"/>
  <c r="E31"/>
  <c r="E29"/>
  <c r="M25"/>
  <c r="M32"/>
  <c r="M26"/>
  <c r="M30"/>
  <c r="M24"/>
  <c r="M29"/>
  <c r="M22"/>
  <c r="K5"/>
  <c r="L10" i="14"/>
  <c r="L16" s="1"/>
  <c r="L27" s="1"/>
  <c r="B10" i="48"/>
  <c r="C19" i="14"/>
  <c r="J32" i="48"/>
  <c r="J29"/>
  <c r="J27"/>
  <c r="J24"/>
  <c r="J30"/>
  <c r="J31"/>
  <c r="J28"/>
  <c r="B4"/>
  <c r="C11" i="14"/>
  <c r="D22" i="48"/>
  <c r="D24"/>
  <c r="D30"/>
  <c r="D29"/>
  <c r="D28"/>
  <c r="D31"/>
  <c r="D32"/>
  <c r="K30"/>
  <c r="K32"/>
  <c r="K31"/>
  <c r="K27"/>
  <c r="K22"/>
  <c r="K29"/>
  <c r="K24"/>
  <c r="K28"/>
  <c r="K25"/>
  <c r="K26"/>
  <c r="O4"/>
  <c r="P11" i="14"/>
  <c r="H12" i="22"/>
  <c r="I18" i="14"/>
  <c r="H13" i="48"/>
  <c r="H31" s="1"/>
  <c r="D4"/>
  <c r="E11" i="14"/>
  <c r="H30" i="48"/>
  <c r="H32"/>
  <c r="H26"/>
  <c r="H25"/>
  <c r="H28"/>
  <c r="H22"/>
  <c r="H24"/>
  <c r="H29"/>
  <c r="H23"/>
  <c r="B8" i="9"/>
  <c r="B6" i="48" s="1"/>
  <c r="Q6" s="1"/>
  <c r="C18" i="16"/>
  <c r="D13" i="14" s="1"/>
  <c r="N10"/>
  <c r="N16" s="1"/>
  <c r="M5" i="48"/>
  <c r="N32"/>
  <c r="N27"/>
  <c r="N28"/>
  <c r="N29"/>
  <c r="N24"/>
  <c r="N31"/>
  <c r="N30"/>
  <c r="C24" i="14"/>
  <c r="C26" s="1"/>
  <c r="B7" i="48"/>
  <c r="L22"/>
  <c r="L27"/>
  <c r="L30"/>
  <c r="L24"/>
  <c r="L32"/>
  <c r="L29"/>
  <c r="L31"/>
  <c r="L28"/>
  <c r="Q10" i="14"/>
  <c r="P5" i="48"/>
  <c r="P23" s="1"/>
  <c r="I5"/>
  <c r="J10" i="14"/>
  <c r="J16" s="1"/>
  <c r="J27" s="1"/>
  <c r="Q11"/>
  <c r="P4" i="48"/>
  <c r="I32"/>
  <c r="I30"/>
  <c r="I24"/>
  <c r="I29"/>
  <c r="I22"/>
  <c r="I26"/>
  <c r="I27"/>
  <c r="I28"/>
  <c r="I31"/>
  <c r="I25"/>
  <c r="C4"/>
  <c r="D11" i="14"/>
  <c r="G30" i="48"/>
  <c r="G32"/>
  <c r="G24"/>
  <c r="G22"/>
  <c r="G29"/>
  <c r="G25"/>
  <c r="G26"/>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0" i="14"/>
  <c r="O5" i="48"/>
  <c r="O23" s="1"/>
  <c r="N18" i="14"/>
  <c r="M13" i="48"/>
  <c r="M31" s="1"/>
  <c r="O22"/>
  <c r="J63" i="14"/>
  <c r="H9" i="48"/>
  <c r="I20" i="14"/>
  <c r="P22" i="48"/>
  <c r="K15"/>
  <c r="K23"/>
  <c r="K33" s="1"/>
  <c r="G12" i="22"/>
  <c r="H18" i="14"/>
  <c r="R18" s="1"/>
  <c r="G13" i="48"/>
  <c r="M23"/>
  <c r="P22" i="16"/>
  <c r="Q43" i="14" s="1"/>
  <c r="P8" i="48"/>
  <c r="P26" s="1"/>
  <c r="Q13" i="14"/>
  <c r="Q16" s="1"/>
  <c r="Q27" s="1"/>
  <c r="D16" i="15"/>
  <c r="D5" i="48" s="1"/>
  <c r="L46" i="14"/>
  <c r="L61" s="1"/>
  <c r="L63" s="1"/>
  <c r="I22"/>
  <c r="I27" s="1"/>
  <c r="G31" i="20"/>
  <c r="H48" i="14" s="1"/>
  <c r="F4" i="48"/>
  <c r="F22" s="1"/>
  <c r="G11"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C20"/>
  <c r="B9" i="48"/>
  <c r="F20" i="14"/>
  <c r="F22" s="1"/>
  <c r="E9" i="48"/>
  <c r="E27" s="1"/>
  <c r="Q13"/>
  <c r="G31"/>
  <c r="H27"/>
  <c r="H33" s="1"/>
  <c r="H15"/>
  <c r="E20" i="14"/>
  <c r="E22" s="1"/>
  <c r="D9" i="48"/>
  <c r="D27" s="1"/>
  <c r="P13" i="14"/>
  <c r="P16" s="1"/>
  <c r="P27" s="1"/>
  <c r="O8" i="48"/>
  <c r="O26" s="1"/>
  <c r="O33" s="1"/>
  <c r="H52" i="14"/>
  <c r="H61" s="1"/>
  <c r="C15" i="48"/>
  <c r="Q63" i="14"/>
  <c r="E10"/>
  <c r="M10" i="48"/>
  <c r="M28" s="1"/>
  <c r="N19" i="14"/>
  <c r="E12" i="13"/>
  <c r="F41" i="14" s="1"/>
  <c r="E4" i="48"/>
  <c r="F11" i="14"/>
  <c r="P15" i="48"/>
  <c r="O15"/>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H22"/>
  <c r="H27" s="1"/>
  <c r="H63" s="1"/>
  <c r="M18" i="22"/>
  <c r="N50" i="14" s="1"/>
  <c r="M9" i="48"/>
  <c r="N20" i="14"/>
  <c r="N22" s="1"/>
  <c r="N27" s="1"/>
  <c r="E22" i="48"/>
  <c r="Q4"/>
  <c r="R20" i="14"/>
  <c r="R22" s="1"/>
  <c r="C22"/>
  <c r="D15" i="48"/>
  <c r="G28"/>
  <c r="Q10"/>
  <c r="G27"/>
  <c r="G15"/>
  <c r="B15"/>
  <c r="R11" i="14"/>
  <c r="Q9" i="48"/>
  <c r="J5"/>
  <c r="K10" i="14"/>
  <c r="E20" i="15"/>
  <c r="F40" i="14" s="1"/>
  <c r="E5" i="48"/>
  <c r="F10" i="14"/>
  <c r="L15" i="48"/>
  <c r="Q7"/>
  <c r="R24" i="14"/>
  <c r="R26" s="1"/>
  <c r="J18" i="16"/>
  <c r="N18"/>
  <c r="E18"/>
  <c r="F18"/>
  <c r="F22" s="1"/>
  <c r="G43" i="14" s="1"/>
  <c r="G33" i="48" l="1"/>
  <c r="M27"/>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<sst xmlns="http://schemas.openxmlformats.org/spreadsheetml/2006/main" count="2496" uniqueCount="965">
  <si>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</si>
  <si>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</si>
  <si>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</si>
  <si>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</si>
  <si>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</si>
  <si>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</si>
  <si>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</si>
  <si>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</si>
  <si>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</si>
  <si>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</si>
  <si>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</si>
  <si>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</si>
  <si>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</si>
  <si>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</si>
  <si>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</si>
  <si>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</si>
  <si>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</si>
  <si>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</si>
  <si>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</si>
  <si>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</si>
  <si>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</si>
  <si>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</si>
  <si>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</si>
  <si>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</si>
  <si>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</si>
  <si>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</si>
  <si>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</si>
  <si>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</si>
  <si>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</si>
  <si>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</si>
  <si>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</si>
  <si>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</si>
  <si>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</si>
  <si>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</si>
  <si>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</si>
  <si>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</si>
  <si>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</si>
  <si>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</si>
  <si>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</si>
  <si>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</si>
  <si>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</si>
  <si>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</si>
  <si>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</si>
  <si>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</si>
  <si>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</si>
  <si>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</si>
  <si>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</si>
  <si>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</si>
  <si>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</si>
  <si>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</si>
  <si>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</si>
  <si>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</si>
  <si>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</si>
  <si>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</si>
  <si>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</si>
  <si>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</si>
  <si>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</si>
  <si>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</si>
  <si>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</si>
  <si>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</si>
  <si>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</si>
  <si>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</si>
  <si>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</si>
  <si>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</si>
  <si>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</si>
  <si>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</si>
  <si>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</si>
  <si>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</si>
  <si>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</si>
  <si>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</si>
  <si>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</si>
  <si>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</si>
  <si>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</si>
  <si>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</si>
  <si>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</si>
  <si>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</si>
  <si>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</si>
  <si>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</si>
  <si>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</si>
  <si>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</si>
  <si>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</si>
  <si>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</si>
  <si>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</si>
  <si>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</si>
  <si>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</si>
  <si>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</si>
  <si>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</si>
  <si>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</si>
  <si>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</si>
  <si>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</si>
  <si>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</si>
  <si>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</si>
  <si>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</si>
  <si>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</si>
  <si>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</si>
  <si>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</si>
  <si>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</si>
  <si>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</si>
  <si>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</si>
  <si>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</si>
  <si>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</si>
  <si>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</si>
  <si>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</si>
  <si>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</si>
  <si>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</si>
  <si>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</si>
  <si>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</si>
  <si>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</si>
  <si>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</si>
  <si>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</si>
  <si>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</si>
  <si>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</si>
  <si>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</si>
  <si>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</si>
  <si>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</si>
  <si>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</si>
  <si>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</si>
  <si>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</si>
  <si>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</si>
  <si>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</si>
  <si>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</si>
  <si>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</si>
  <si>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</si>
  <si>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</si>
  <si>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</si>
  <si>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</si>
  <si>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</si>
  <si>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</si>
  <si>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</si>
  <si>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</si>
  <si>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</si>
  <si>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</si>
  <si>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</si>
  <si>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</si>
  <si>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</si>
  <si>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</si>
  <si>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</si>
  <si>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</si>
  <si>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</si>
  <si>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</si>
  <si>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</si>
  <si>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</si>
  <si>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</si>
  <si>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</si>
  <si>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</si>
  <si>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</si>
  <si>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</si>
  <si>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</si>
  <si>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</si>
  <si>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</si>
  <si>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</si>
  <si>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</si>
  <si>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</si>
  <si>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</si>
  <si>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</si>
  <si>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</si>
  <si>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</si>
  <si>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</si>
  <si>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</si>
  <si>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</si>
  <si>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</si>
  <si>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</si>
  <si>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</si>
  <si>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</si>
  <si>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</si>
  <si>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</si>
  <si>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</si>
  <si>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</si>
  <si>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</si>
  <si>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</si>
  <si>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</si>
  <si>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</si>
  <si>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</si>
  <si>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</si>
  <si>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</si>
  <si>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</si>
  <si>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</si>
  <si>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</si>
  <si>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</si>
  <si>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</si>
  <si>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</si>
  <si>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</si>
  <si>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</si>
  <si>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</si>
  <si>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</si>
  <si>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</si>
  <si>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</si>
  <si>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</si>
  <si>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</si>
  <si>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</si>
  <si>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</si>
  <si>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</si>
  <si>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</si>
  <si>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</si>
  <si>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</si>
  <si>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</si>
  <si>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</si>
  <si>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</si>
  <si>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</si>
  <si>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</si>
  <si>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</si>
  <si>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</si>
  <si>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</si>
  <si>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</si>
  <si>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</si>
  <si>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</si>
  <si>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</si>
  <si>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</si>
  <si>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</si>
  <si>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</si>
  <si>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</si>
  <si>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</si>
  <si>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</si>
  <si>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</si>
  <si>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</si>
  <si>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</si>
  <si>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</si>
  <si>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</si>
  <si>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</si>
  <si>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</si>
  <si>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</si>
  <si>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</si>
  <si>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</si>
  <si>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</si>
  <si>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</si>
  <si>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</si>
  <si>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</si>
  <si>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</si>
  <si>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</si>
  <si>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</si>
  <si>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</si>
  <si>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</si>
  <si>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</si>
  <si>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</si>
  <si>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</si>
  <si>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</si>
  <si>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</si>
  <si>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</si>
  <si>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</si>
  <si>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</si>
  <si>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</si>
  <si>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</si>
  <si>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</si>
  <si>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</si>
  <si>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</si>
  <si>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</si>
  <si>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</si>
  <si>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</si>
  <si>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</si>
  <si>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</si>
  <si>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</si>
  <si>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</si>
  <si>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</si>
  <si>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</si>
  <si>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</si>
  <si>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</si>
  <si>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</si>
  <si>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</si>
  <si>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</si>
  <si>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</si>
  <si>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</si>
  <si>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</si>
  <si>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</si>
  <si>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</si>
  <si>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</si>
  <si>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</si>
  <si>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</si>
  <si>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</si>
  <si>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</si>
  <si>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</si>
  <si>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</si>
  <si>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</si>
  <si>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</si>
  <si>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</si>
  <si>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</si>
  <si>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</si>
  <si>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</si>
  <si>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</si>
  <si>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</si>
  <si>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</si>
  <si>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</si>
  <si>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</si>
  <si>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</si>
  <si>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</si>
  <si>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</si>
  <si>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</si>
  <si>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</si>
  <si>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</si>
  <si>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</si>
  <si>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</si>
  <si>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</si>
  <si>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</si>
  <si>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</si>
  <si>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</si>
  <si>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</si>
  <si>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</si>
  <si>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</si>
  <si>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</si>
  <si>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</si>
  <si>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</si>
  <si>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</si>
  <si>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</si>
  <si>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</si>
  <si>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</si>
  <si>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</si>
  <si>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</si>
  <si>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</si>
  <si>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</si>
  <si>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</si>
  <si>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</si>
  <si>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</si>
  <si>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</si>
  <si>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</si>
  <si>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</si>
  <si>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</si>
  <si>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</si>
  <si>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</si>
  <si>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</si>
  <si>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</si>
  <si>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</si>
  <si>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</si>
  <si>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</si>
  <si>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</si>
  <si>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</si>
  <si>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</si>
  <si>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</si>
  <si>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</si>
  <si>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</si>
  <si>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</si>
  <si>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</si>
  <si>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</si>
  <si>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</si>
  <si>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</si>
  <si>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</si>
  <si>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</si>
  <si>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</si>
  <si>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</si>
  <si>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</si>
  <si>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</si>
  <si>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</si>
  <si>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</si>
  <si>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</si>
  <si>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</si>
  <si>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</si>
  <si>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</si>
  <si>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</si>
  <si>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</si>
  <si>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</si>
  <si>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</si>
  <si>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</si>
  <si>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</si>
  <si>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</si>
  <si>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</si>
  <si>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</si>
  <si>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</si>
  <si>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</si>
  <si>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</si>
  <si>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</si>
  <si>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</si>
  <si>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</si>
  <si>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</si>
  <si>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</si>
  <si>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</si>
  <si>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</si>
  <si>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</si>
  <si>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</si>
  <si>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</si>
  <si>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</si>
  <si>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</si>
  <si>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</si>
  <si>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</si>
  <si>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</si>
  <si>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</si>
  <si>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</si>
  <si>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</si>
  <si>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</si>
  <si>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</si>
  <si>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</si>
  <si>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</si>
  <si>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</si>
  <si>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</si>
  <si>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</si>
  <si>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</si>
  <si>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</si>
  <si>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</si>
  <si>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</si>
  <si>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</si>
  <si>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</si>
  <si>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</si>
  <si>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</si>
  <si>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</si>
  <si>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</si>
  <si>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</si>
  <si>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</si>
  <si>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</si>
  <si>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</si>
  <si>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</si>
  <si>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</si>
  <si>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</si>
  <si>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</si>
  <si>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</si>
  <si>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</si>
  <si>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</si>
  <si>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</si>
  <si>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</si>
  <si>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</si>
  <si>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</si>
  <si>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</si>
  <si>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</si>
  <si>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</si>
  <si>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</si>
  <si>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</si>
  <si>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</si>
  <si>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</si>
  <si>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</si>
  <si>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</si>
  <si>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</si>
  <si>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</si>
  <si>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</si>
  <si>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</si>
  <si>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</si>
  <si>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</si>
  <si>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</si>
  <si>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</si>
  <si>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</si>
  <si>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</si>
  <si>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</si>
  <si>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</si>
  <si>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</si>
  <si>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</si>
  <si>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</si>
  <si>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</si>
  <si>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</si>
  <si>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</si>
  <si>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</si>
  <si>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</si>
  <si>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</si>
  <si>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</si>
  <si>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</si>
  <si>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</si>
  <si>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</si>
  <si>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</si>
  <si>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</si>
  <si>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</si>
  <si>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</si>
  <si>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</si>
  <si>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</si>
  <si>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</si>
  <si>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</si>
  <si>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</si>
  <si>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</si>
  <si>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</si>
  <si>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</si>
  <si>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</si>
  <si>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</si>
  <si>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</si>
  <si>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</si>
  <si>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</si>
  <si>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</si>
  <si>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</si>
  <si>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</si>
  <si>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</si>
  <si>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</si>
  <si>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</si>
  <si>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</si>
  <si>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</si>
  <si>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</si>
  <si>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</si>
  <si>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</si>
  <si>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</si>
  <si>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</si>
  <si>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</si>
  <si>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</si>
  <si>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</si>
  <si>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</si>
  <si>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</si>
  <si>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</si>
  <si>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</si>
  <si>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</si>
  <si>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</si>
  <si>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</si>
  <si>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</si>
  <si>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</si>
  <si>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</si>
  <si>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</si>
  <si>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</si>
  <si>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</si>
  <si>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</si>
  <si>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</si>
  <si>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</si>
  <si>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</si>
  <si>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</si>
  <si>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</si>
  <si>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</si>
  <si>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</si>
  <si>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</si>
  <si>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</si>
  <si>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</si>
  <si>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</si>
  <si>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</si>
  <si>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</si>
  <si>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</si>
  <si>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</si>
  <si>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</si>
  <si>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</si>
  <si>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</si>
  <si>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</si>
  <si>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</si>
  <si>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</si>
  <si>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</si>
  <si>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</si>
  <si>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</si>
  <si>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</si>
  <si>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</si>
  <si>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</si>
  <si>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</si>
  <si>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</si>
  <si>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</si>
  <si>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</si>
  <si>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</si>
  <si>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</si>
  <si>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</si>
  <si>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</si>
  <si>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</si>
  <si>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</si>
  <si>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</si>
  <si>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</si>
  <si>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</si>
  <si>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</si>
  <si>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</si>
  <si>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</si>
  <si>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</si>
  <si>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</si>
  <si>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</si>
  <si>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</si>
  <si>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</si>
  <si>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</si>
  <si>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</si>
  <si>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</si>
  <si>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</si>
  <si>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</si>
  <si>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</si>
  <si>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</si>
  <si>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</si>
  <si>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</si>
  <si>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</si>
  <si>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</si>
  <si>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</si>
  <si>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</si>
  <si>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</si>
  <si>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</si>
  <si>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</si>
  <si>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</si>
  <si>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</si>
  <si>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</si>
  <si>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</si>
  <si>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</si>
  <si>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</si>
  <si>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</si>
  <si>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</si>
  <si>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</si>
  <si>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</si>
  <si>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</si>
  <si>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</si>
  <si>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</si>
  <si>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</si>
  <si>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</si>
  <si>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</si>
  <si>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</si>
  <si>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</si>
  <si>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</si>
  <si>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</si>
  <si>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</si>
  <si>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</si>
  <si>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</si>
  <si>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</si>
  <si>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</si>
  <si>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</si>
  <si>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</si>
  <si>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</si>
  <si>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</si>
  <si>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</si>
  <si>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</si>
  <si>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</si>
  <si>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</si>
  <si>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</si>
  <si>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</si>
  <si>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</si>
  <si>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</si>
  <si>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</si>
  <si>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</si>
  <si>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</si>
  <si>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</si>
  <si>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</si>
  <si>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</si>
  <si>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</si>
  <si>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</si>
  <si>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</si>
  <si>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</si>
  <si>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</si>
  <si>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</si>
  <si>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</si>
  <si>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</si>
  <si>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</si>
  <si>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</si>
  <si>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</si>
  <si>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</si>
  <si>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</si>
  <si>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</si>
  <si>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</si>
  <si>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</si>
  <si>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</si>
  <si>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</si>
  <si>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</si>
  <si>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</si>
  <si>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</si>
  <si>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</si>
  <si>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</si>
  <si>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</si>
  <si>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</si>
  <si>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</si>
  <si>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</si>
  <si>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</si>
  <si>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</si>
  <si>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</si>
  <si>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</si>
  <si>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</si>
  <si>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</si>
  <si>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</si>
  <si>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</si>
  <si>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</si>
  <si>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</si>
  <si>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</si>
  <si>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</si>
  <si>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</si>
  <si>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</si>
  <si>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</si>
  <si>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</si>
  <si>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</si>
  <si>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</si>
  <si>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</si>
  <si>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</si>
  <si>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</si>
  <si>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</si>
  <si>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</si>
  <si>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</si>
  <si>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</si>
  <si>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</si>
  <si>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</si>
  <si>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</si>
  <si>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</si>
  <si>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</si>
  <si>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</si>
  <si>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</si>
  <si>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</si>
  <si>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</si>
  <si>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</si>
  <si>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</si>
  <si>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</si>
  <si>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</si>
  <si>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</si>
  <si>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</si>
  <si>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</si>
  <si>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</si>
  <si>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</si>
  <si>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</si>
  <si>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</si>
  <si>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</si>
  <si>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</si>
  <si>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</si>
  <si>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</si>
  <si>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</si>
  <si>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</si>
  <si>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</si>
  <si>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</si>
  <si>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</si>
  <si>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</si>
  <si>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</si>
  <si>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</si>
  <si>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</si>
  <si>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</si>
  <si>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</si>
  <si>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</si>
  <si>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</si>
  <si>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</si>
  <si>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</si>
  <si>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</si>
  <si>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</si>
  <si>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</si>
  <si>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</si>
  <si>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</si>
  <si>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</si>
  <si>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</si>
  <si>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</si>
  <si>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</si>
  <si>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</si>
  <si>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</si>
  <si>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</si>
  <si>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</si>
  <si>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</si>
  <si>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</si>
  <si>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</si>
  <si>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</si>
  <si>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</si>
  <si>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</si>
  <si>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</si>
  <si>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</si>
  <si>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</si>
  <si>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</si>
  <si>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</si>
  <si>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</si>
  <si>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</si>
  <si>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</si>
  <si>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</si>
  <si>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</si>
  <si>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</si>
  <si>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</si>
  <si>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</si>
  <si>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</si>
  <si>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</si>
  <si>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</si>
  <si>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</si>
  <si>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</si>
  <si>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</si>
  <si>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</si>
  <si>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</si>
  <si>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</si>
  <si>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</si>
  <si>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</si>
  <si>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</si>
  <si>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</si>
  <si>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</si>
  <si>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</si>
  <si>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</si>
  <si>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</si>
  <si>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</si>
  <si>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</si>
  <si>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</si>
  <si>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</si>
  <si>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</si>
  <si>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</si>
  <si>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</si>
  <si>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</si>
  <si>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</si>
  <si>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</si>
  <si>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</si>
  <si>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</si>
  <si>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</si>
  <si>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</si>
  <si>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</si>
  <si>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</si>
  <si>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</si>
  <si>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</si>
  <si>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</si>
  <si>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</si>
  <si>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</si>
  <si>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</si>
  <si>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</si>
  <si>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</si>
  <si>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</si>
  <si>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</si>
  <si>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</si>
  <si>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</si>
  <si>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</si>
  <si>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</si>
  <si>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</si>
  <si>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</si>
  <si>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</si>
  <si>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</si>
  <si>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</si>
  <si>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</si>
  <si>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</si>
  <si>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</si>
  <si>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</si>
  <si>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</si>
  <si>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</si>
  <si>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</si>
  <si>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</si>
  <si>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</si>
  <si>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</si>
  <si>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</si>
  <si>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</si>
  <si>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</si>
  <si>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</si>
  <si>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</si>
  <si>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</si>
  <si>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</si>
  <si>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</si>
  <si>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</si>
  <si>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</si>
  <si>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</si>
  <si>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</si>
  <si>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</si>
  <si>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</si>
  <si>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</si>
  <si>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</si>
  <si>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</si>
  <si>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</si>
  <si>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</si>
  <si>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</si>
  <si>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</si>
  <si>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</si>
  <si>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</si>
  <si>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</si>
  <si>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</si>
  <si>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</si>
  <si>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</si>
  <si>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</si>
  <si>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</si>
  <si>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</si>
  <si>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</si>
  <si>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</si>
  <si>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</si>
  <si>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</si>
  <si>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</si>
  <si>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</si>
  <si>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</si>
  <si>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</si>
  <si>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</si>
  <si>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</si>
  <si>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</si>
  <si>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</si>
  <si>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</si>
  <si>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</si>
  <si>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</si>
  <si>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</si>
  <si>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</si>
  <si>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</si>
  <si>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</si>
  <si>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</si>
  <si>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</si>
  <si>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</si>
  <si>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</si>
  <si>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</si>
  <si>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</si>
  <si>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</si>
  <si>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</si>
  <si>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</si>
  <si>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</si>
  <si>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</si>
  <si>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</si>
  <si>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</si>
  <si>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</si>
  <si>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</si>
  <si>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</si>
  <si>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</si>
  <si>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</si>
  <si>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</si>
  <si>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</si>
  <si>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</si>
  <si>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</si>
  <si>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</si>
  <si>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</si>
  <si>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</si>
  <si>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</si>
  <si>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</si>
  <si>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</si>
  <si>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</si>
  <si>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</si>
  <si>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</si>
  <si>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</si>
  <si>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</si>
  <si>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</si>
  <si>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</si>
  <si>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</si>
  <si>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</si>
  <si>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</si>
  <si>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</si>
  <si>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</si>
  <si>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</si>
  <si>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</si>
  <si>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</si>
  <si>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</si>
  <si>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</si>
  <si>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</si>
  <si>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</si>
  <si>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</si>
  <si>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</si>
  <si>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</si>
  <si>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</si>
  <si>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</si>
  <si>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</si>
  <si>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</si>
  <si>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</si>
  <si>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</si>
  <si>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</si>
  <si>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</si>
  <si>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</si>
  <si>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</si>
  <si>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</si>
  <si>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</si>
  <si>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</si>
  <si>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</si>
  <si>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</si>
  <si>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</si>
  <si>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</si>
  <si>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</si>
  <si>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</si>
  <si>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</si>
  <si>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</si>
  <si>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</si>
  <si>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</si>
  <si>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</si>
  <si>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</si>
  <si>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</si>
  <si>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</si>
  <si>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</si>
  <si>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</si>
  <si>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</si>
  <si>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</si>
  <si>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</si>
  <si>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</si>
  <si>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</si>
  <si>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</si>
  <si>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</si>
  <si>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</si>
  <si>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</si>
  <si>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</si>
  <si>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</si>
  <si>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</si>
  <si>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</si>
  <si>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</si>
  <si>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</si>
  <si>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</si>
  <si>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</si>
  <si>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</si>
  <si>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</si>
  <si>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</si>
  <si>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</si>
  <si>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</si>
  <si>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</si>
  <si>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</si>
  <si>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</si>
  <si>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</si>
  <si>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</si>
  <si>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</si>
  <si>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</si>
  <si>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</si>
  <si>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</si>
  <si>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</si>
  <si>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</si>
  <si>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</si>
  <si>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</si>
  <si>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</si>
  <si>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</si>
  <si>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</si>
  <si>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</si>
  <si>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</si>
  <si>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</si>
  <si>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</si>
  <si>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</si>
  <si>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</si>
  <si>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</si>
  <si>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</si>
  <si>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</si>
  <si>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</si>
  <si>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71070</t>
  </si>
  <si>
    <t>HEUSDEN-ZOLDER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</si>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</sst>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71070</v>
      </c>
      <c r="B6" s="396"/>
      <c r="C6" s="397"/>
    </row>
    <row r="7" spans="1:7" s="394" customFormat="1" ht="15.75" customHeight="1">
      <c r="A7" s="398" t="str">
        <f>txtMunicipality</f>
        <v>HEUSDEN-ZOLDER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36132.503999999994</v>
      </c>
      <c r="D10" s="687">
        <f ca="1">tertiair!C16</f>
        <v>0</v>
      </c>
      <c r="E10" s="687">
        <f ca="1">tertiair!D16</f>
        <v>41338.876479999999</v>
      </c>
      <c r="F10" s="687">
        <f>tertiair!E16</f>
        <v>608.37841020961798</v>
      </c>
      <c r="G10" s="687">
        <f ca="1">tertiair!F16</f>
        <v>6751.8424556761138</v>
      </c>
      <c r="H10" s="687">
        <f>tertiair!G16</f>
        <v>0</v>
      </c>
      <c r="I10" s="687">
        <f>tertiair!H16</f>
        <v>0</v>
      </c>
      <c r="J10" s="687">
        <f>tertiair!I16</f>
        <v>0</v>
      </c>
      <c r="K10" s="687">
        <f>tertiair!J16</f>
        <v>0</v>
      </c>
      <c r="L10" s="687">
        <f>tertiair!K16</f>
        <v>0</v>
      </c>
      <c r="M10" s="687">
        <f ca="1">tertiair!L16</f>
        <v>0</v>
      </c>
      <c r="N10" s="687">
        <f>tertiair!M16</f>
        <v>0</v>
      </c>
      <c r="O10" s="687">
        <f ca="1">tertiair!N16</f>
        <v>1071.6924189547078</v>
      </c>
      <c r="P10" s="687">
        <f>tertiair!O16</f>
        <v>1.5633333333333335</v>
      </c>
      <c r="Q10" s="688">
        <f>tertiair!P16</f>
        <v>133.46666666666667</v>
      </c>
      <c r="R10" s="690">
        <f ca="1">SUM(C10:Q10)</f>
        <v>86038.323764840447</v>
      </c>
      <c r="S10" s="67"/>
    </row>
    <row r="11" spans="1:19" s="456" customFormat="1">
      <c r="A11" s="802" t="s">
        <v>225</v>
      </c>
      <c r="B11" s="807"/>
      <c r="C11" s="687">
        <f>huishoudens!B8</f>
        <v>55254.724445100503</v>
      </c>
      <c r="D11" s="687">
        <f>huishoudens!C8</f>
        <v>0</v>
      </c>
      <c r="E11" s="687">
        <f>huishoudens!D8</f>
        <v>105486.51962200001</v>
      </c>
      <c r="F11" s="687">
        <f>huishoudens!E8</f>
        <v>4490.7292716550955</v>
      </c>
      <c r="G11" s="687">
        <f>huishoudens!F8</f>
        <v>105642.1564523259</v>
      </c>
      <c r="H11" s="687">
        <f>huishoudens!G8</f>
        <v>0</v>
      </c>
      <c r="I11" s="687">
        <f>huishoudens!H8</f>
        <v>0</v>
      </c>
      <c r="J11" s="687">
        <f>huishoudens!I8</f>
        <v>0</v>
      </c>
      <c r="K11" s="687">
        <f>huishoudens!J8</f>
        <v>0</v>
      </c>
      <c r="L11" s="687">
        <f>huishoudens!K8</f>
        <v>0</v>
      </c>
      <c r="M11" s="687">
        <f>huishoudens!L8</f>
        <v>0</v>
      </c>
      <c r="N11" s="687">
        <f>huishoudens!M8</f>
        <v>0</v>
      </c>
      <c r="O11" s="687">
        <f>huishoudens!N8</f>
        <v>15935.080505480157</v>
      </c>
      <c r="P11" s="687">
        <f>huishoudens!O8</f>
        <v>217.30333333333337</v>
      </c>
      <c r="Q11" s="688">
        <f>huishoudens!P8</f>
        <v>495.73333333333335</v>
      </c>
      <c r="R11" s="690">
        <f>SUM(C11:Q11)</f>
        <v>287522.24696322839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40443.040000000001</v>
      </c>
      <c r="D13" s="687">
        <f>industrie!C18</f>
        <v>0</v>
      </c>
      <c r="E13" s="687">
        <f>industrie!D18</f>
        <v>21575.064280000002</v>
      </c>
      <c r="F13" s="687">
        <f>industrie!E18</f>
        <v>523.35938029773331</v>
      </c>
      <c r="G13" s="687">
        <f>industrie!F18</f>
        <v>13184.625477016769</v>
      </c>
      <c r="H13" s="687">
        <f>industrie!G18</f>
        <v>0</v>
      </c>
      <c r="I13" s="687">
        <f>industrie!H18</f>
        <v>0</v>
      </c>
      <c r="J13" s="687">
        <f>industrie!I18</f>
        <v>0</v>
      </c>
      <c r="K13" s="687">
        <f>industrie!J18</f>
        <v>226.01292018043827</v>
      </c>
      <c r="L13" s="687">
        <f>industrie!K18</f>
        <v>0</v>
      </c>
      <c r="M13" s="687">
        <f>industrie!L18</f>
        <v>0</v>
      </c>
      <c r="N13" s="687">
        <f>industrie!M18</f>
        <v>0</v>
      </c>
      <c r="O13" s="687">
        <f>industrie!N18</f>
        <v>1156.432318251987</v>
      </c>
      <c r="P13" s="687">
        <f>industrie!O18</f>
        <v>0</v>
      </c>
      <c r="Q13" s="688">
        <f>industrie!P18</f>
        <v>0</v>
      </c>
      <c r="R13" s="690">
        <f>SUM(C13:Q13)</f>
        <v>77108.534375746924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131830.26844510049</v>
      </c>
      <c r="D16" s="720">
        <f t="shared" ref="D16:R16" ca="1" si="0">SUM(D9:D15)</f>
        <v>0</v>
      </c>
      <c r="E16" s="720">
        <f t="shared" ca="1" si="0"/>
        <v>168400.46038199999</v>
      </c>
      <c r="F16" s="720">
        <f t="shared" si="0"/>
        <v>5622.4670621624464</v>
      </c>
      <c r="G16" s="720">
        <f t="shared" ca="1" si="0"/>
        <v>125578.62438501879</v>
      </c>
      <c r="H16" s="720">
        <f t="shared" si="0"/>
        <v>0</v>
      </c>
      <c r="I16" s="720">
        <f t="shared" si="0"/>
        <v>0</v>
      </c>
      <c r="J16" s="720">
        <f t="shared" si="0"/>
        <v>0</v>
      </c>
      <c r="K16" s="720">
        <f t="shared" si="0"/>
        <v>226.01292018043827</v>
      </c>
      <c r="L16" s="720">
        <f t="shared" si="0"/>
        <v>0</v>
      </c>
      <c r="M16" s="720">
        <f t="shared" ca="1" si="0"/>
        <v>0</v>
      </c>
      <c r="N16" s="720">
        <f t="shared" si="0"/>
        <v>0</v>
      </c>
      <c r="O16" s="720">
        <f t="shared" ca="1" si="0"/>
        <v>18163.20524268685</v>
      </c>
      <c r="P16" s="720">
        <f t="shared" si="0"/>
        <v>218.8666666666667</v>
      </c>
      <c r="Q16" s="720">
        <f t="shared" si="0"/>
        <v>629.20000000000005</v>
      </c>
      <c r="R16" s="720">
        <f t="shared" ca="1" si="0"/>
        <v>450669.10510381573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3661.9043117892365</v>
      </c>
      <c r="I19" s="687">
        <f>transport!H54</f>
        <v>0</v>
      </c>
      <c r="J19" s="687">
        <f>transport!I54</f>
        <v>0</v>
      </c>
      <c r="K19" s="687">
        <f>transport!J54</f>
        <v>0</v>
      </c>
      <c r="L19" s="687">
        <f>transport!K54</f>
        <v>0</v>
      </c>
      <c r="M19" s="687">
        <f>transport!L54</f>
        <v>0</v>
      </c>
      <c r="N19" s="687">
        <f>transport!M54</f>
        <v>156.09107175410276</v>
      </c>
      <c r="O19" s="687">
        <f>transport!N54</f>
        <v>0</v>
      </c>
      <c r="P19" s="687">
        <f>transport!O54</f>
        <v>0</v>
      </c>
      <c r="Q19" s="688">
        <f>transport!P54</f>
        <v>0</v>
      </c>
      <c r="R19" s="690">
        <f>SUM(C19:Q19)</f>
        <v>3817.9953835433394</v>
      </c>
      <c r="S19" s="67"/>
    </row>
    <row r="20" spans="1:19" s="456" customFormat="1">
      <c r="A20" s="802" t="s">
        <v>307</v>
      </c>
      <c r="B20" s="807"/>
      <c r="C20" s="687">
        <f>transport!B14</f>
        <v>2.1828635294675189</v>
      </c>
      <c r="D20" s="687">
        <f>transport!C14</f>
        <v>0</v>
      </c>
      <c r="E20" s="687">
        <f>transport!D14</f>
        <v>10.942366977677551</v>
      </c>
      <c r="F20" s="687">
        <f>transport!E14</f>
        <v>1251.9340240506829</v>
      </c>
      <c r="G20" s="687">
        <f>transport!F14</f>
        <v>0</v>
      </c>
      <c r="H20" s="687">
        <f>transport!G14</f>
        <v>225137.034755278</v>
      </c>
      <c r="I20" s="687">
        <f>transport!H14</f>
        <v>37432.113703195057</v>
      </c>
      <c r="J20" s="687">
        <f>transport!I14</f>
        <v>0</v>
      </c>
      <c r="K20" s="687">
        <f>transport!J14</f>
        <v>0</v>
      </c>
      <c r="L20" s="687">
        <f>transport!K14</f>
        <v>0</v>
      </c>
      <c r="M20" s="687">
        <f>transport!L14</f>
        <v>0</v>
      </c>
      <c r="N20" s="687">
        <f>transport!M14</f>
        <v>11453.734095978076</v>
      </c>
      <c r="O20" s="687">
        <f>transport!N14</f>
        <v>0</v>
      </c>
      <c r="P20" s="687">
        <f>transport!O14</f>
        <v>0</v>
      </c>
      <c r="Q20" s="688">
        <f>transport!P14</f>
        <v>0</v>
      </c>
      <c r="R20" s="690">
        <f>SUM(C20:Q20)</f>
        <v>275287.94180900895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2.1828635294675189</v>
      </c>
      <c r="D22" s="805">
        <f t="shared" ref="D22:R22" si="1">SUM(D18:D21)</f>
        <v>0</v>
      </c>
      <c r="E22" s="805">
        <f t="shared" si="1"/>
        <v>10.942366977677551</v>
      </c>
      <c r="F22" s="805">
        <f t="shared" si="1"/>
        <v>1251.9340240506829</v>
      </c>
      <c r="G22" s="805">
        <f t="shared" si="1"/>
        <v>0</v>
      </c>
      <c r="H22" s="805">
        <f t="shared" si="1"/>
        <v>228798.93906706723</v>
      </c>
      <c r="I22" s="805">
        <f t="shared" si="1"/>
        <v>37432.113703195057</v>
      </c>
      <c r="J22" s="805">
        <f t="shared" si="1"/>
        <v>0</v>
      </c>
      <c r="K22" s="805">
        <f t="shared" si="1"/>
        <v>0</v>
      </c>
      <c r="L22" s="805">
        <f t="shared" si="1"/>
        <v>0</v>
      </c>
      <c r="M22" s="805">
        <f t="shared" si="1"/>
        <v>0</v>
      </c>
      <c r="N22" s="805">
        <f t="shared" si="1"/>
        <v>11609.825167732179</v>
      </c>
      <c r="O22" s="805">
        <f t="shared" si="1"/>
        <v>0</v>
      </c>
      <c r="P22" s="805">
        <f t="shared" si="1"/>
        <v>0</v>
      </c>
      <c r="Q22" s="805">
        <f t="shared" si="1"/>
        <v>0</v>
      </c>
      <c r="R22" s="805">
        <f t="shared" si="1"/>
        <v>279105.93719255226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3671.15</v>
      </c>
      <c r="D24" s="687">
        <f>+landbouw!C8</f>
        <v>0</v>
      </c>
      <c r="E24" s="687">
        <f>+landbouw!D8</f>
        <v>438.67146400000001</v>
      </c>
      <c r="F24" s="687">
        <f>+landbouw!E8</f>
        <v>38.445077571564404</v>
      </c>
      <c r="G24" s="687">
        <f>+landbouw!F8</f>
        <v>15715.311481571845</v>
      </c>
      <c r="H24" s="687">
        <f>+landbouw!G8</f>
        <v>0</v>
      </c>
      <c r="I24" s="687">
        <f>+landbouw!H8</f>
        <v>0</v>
      </c>
      <c r="J24" s="687">
        <f>+landbouw!I8</f>
        <v>0</v>
      </c>
      <c r="K24" s="687">
        <f>+landbouw!J8</f>
        <v>327.86660007879948</v>
      </c>
      <c r="L24" s="687">
        <f>+landbouw!K8</f>
        <v>0</v>
      </c>
      <c r="M24" s="687">
        <f>+landbouw!L8</f>
        <v>0</v>
      </c>
      <c r="N24" s="687">
        <f>+landbouw!M8</f>
        <v>0</v>
      </c>
      <c r="O24" s="687">
        <f>+landbouw!N8</f>
        <v>0</v>
      </c>
      <c r="P24" s="687">
        <f>+landbouw!O8</f>
        <v>0</v>
      </c>
      <c r="Q24" s="688">
        <f>+landbouw!P8</f>
        <v>0</v>
      </c>
      <c r="R24" s="690">
        <f>SUM(C24:Q24)</f>
        <v>20191.444623222211</v>
      </c>
      <c r="S24" s="67"/>
    </row>
    <row r="25" spans="1:19" s="456" customFormat="1" ht="15" thickBot="1">
      <c r="A25" s="824" t="s">
        <v>925</v>
      </c>
      <c r="B25" s="988"/>
      <c r="C25" s="989">
        <f>IF(Onbekend_ele_kWh="---",0,Onbekend_ele_kWh)/1000+IF(REST_rest_ele_kWh="---",0,REST_rest_ele_kWh)/1000</f>
        <v>3328.2930000000001</v>
      </c>
      <c r="D25" s="989"/>
      <c r="E25" s="989">
        <f>IF(onbekend_gas_kWh="---",0,onbekend_gas_kWh)/1000+IF(REST_rest_gas_kWh="---",0,REST_rest_gas_kWh)/1000</f>
        <v>3614.6979999999999</v>
      </c>
      <c r="F25" s="989"/>
      <c r="G25" s="989"/>
      <c r="H25" s="989"/>
      <c r="I25" s="989"/>
      <c r="J25" s="989"/>
      <c r="K25" s="989"/>
      <c r="L25" s="989"/>
      <c r="M25" s="989"/>
      <c r="N25" s="989"/>
      <c r="O25" s="989"/>
      <c r="P25" s="989"/>
      <c r="Q25" s="990"/>
      <c r="R25" s="690">
        <f>SUM(C25:Q25)</f>
        <v>6942.991</v>
      </c>
      <c r="S25" s="67"/>
    </row>
    <row r="26" spans="1:19" s="456" customFormat="1" ht="15.75" thickBot="1">
      <c r="A26" s="693" t="s">
        <v>926</v>
      </c>
      <c r="B26" s="810"/>
      <c r="C26" s="805">
        <f>SUM(C24:C25)</f>
        <v>6999.4430000000002</v>
      </c>
      <c r="D26" s="805">
        <f t="shared" ref="D26:R26" si="2">SUM(D24:D25)</f>
        <v>0</v>
      </c>
      <c r="E26" s="805">
        <f t="shared" si="2"/>
        <v>4053.3694639999999</v>
      </c>
      <c r="F26" s="805">
        <f t="shared" si="2"/>
        <v>38.445077571564404</v>
      </c>
      <c r="G26" s="805">
        <f t="shared" si="2"/>
        <v>15715.311481571845</v>
      </c>
      <c r="H26" s="805">
        <f t="shared" si="2"/>
        <v>0</v>
      </c>
      <c r="I26" s="805">
        <f t="shared" si="2"/>
        <v>0</v>
      </c>
      <c r="J26" s="805">
        <f t="shared" si="2"/>
        <v>0</v>
      </c>
      <c r="K26" s="805">
        <f t="shared" si="2"/>
        <v>327.86660007879948</v>
      </c>
      <c r="L26" s="805">
        <f t="shared" si="2"/>
        <v>0</v>
      </c>
      <c r="M26" s="805">
        <f t="shared" si="2"/>
        <v>0</v>
      </c>
      <c r="N26" s="805">
        <f t="shared" si="2"/>
        <v>0</v>
      </c>
      <c r="O26" s="805">
        <f t="shared" si="2"/>
        <v>0</v>
      </c>
      <c r="P26" s="805">
        <f t="shared" si="2"/>
        <v>0</v>
      </c>
      <c r="Q26" s="805">
        <f t="shared" si="2"/>
        <v>0</v>
      </c>
      <c r="R26" s="805">
        <f t="shared" si="2"/>
        <v>27134.435623222213</v>
      </c>
      <c r="S26" s="67"/>
    </row>
    <row r="27" spans="1:19" s="456" customFormat="1" ht="17.25" thickTop="1" thickBot="1">
      <c r="A27" s="694" t="s">
        <v>116</v>
      </c>
      <c r="B27" s="797"/>
      <c r="C27" s="695">
        <f ca="1">C22+C16+C26</f>
        <v>138831.89430862997</v>
      </c>
      <c r="D27" s="695">
        <f t="shared" ref="D27:R27" ca="1" si="3">D22+D16+D26</f>
        <v>0</v>
      </c>
      <c r="E27" s="695">
        <f t="shared" ca="1" si="3"/>
        <v>172464.77221297767</v>
      </c>
      <c r="F27" s="695">
        <f t="shared" si="3"/>
        <v>6912.8461637846931</v>
      </c>
      <c r="G27" s="695">
        <f t="shared" ca="1" si="3"/>
        <v>141293.93586659065</v>
      </c>
      <c r="H27" s="695">
        <f t="shared" si="3"/>
        <v>228798.93906706723</v>
      </c>
      <c r="I27" s="695">
        <f t="shared" si="3"/>
        <v>37432.113703195057</v>
      </c>
      <c r="J27" s="695">
        <f t="shared" si="3"/>
        <v>0</v>
      </c>
      <c r="K27" s="695">
        <f t="shared" si="3"/>
        <v>553.87952025923778</v>
      </c>
      <c r="L27" s="695">
        <f t="shared" si="3"/>
        <v>0</v>
      </c>
      <c r="M27" s="695">
        <f t="shared" ca="1" si="3"/>
        <v>0</v>
      </c>
      <c r="N27" s="695">
        <f t="shared" si="3"/>
        <v>11609.825167732179</v>
      </c>
      <c r="O27" s="695">
        <f t="shared" ca="1" si="3"/>
        <v>18163.20524268685</v>
      </c>
      <c r="P27" s="695">
        <f t="shared" si="3"/>
        <v>218.8666666666667</v>
      </c>
      <c r="Q27" s="695">
        <f t="shared" si="3"/>
        <v>629.20000000000005</v>
      </c>
      <c r="R27" s="695">
        <f t="shared" ca="1" si="3"/>
        <v>756909.47791959019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7318.9135261975234</v>
      </c>
      <c r="D40" s="687">
        <f ca="1">tertiair!C20</f>
        <v>0</v>
      </c>
      <c r="E40" s="687">
        <f ca="1">tertiair!D20</f>
        <v>8350.4530489600002</v>
      </c>
      <c r="F40" s="687">
        <f>tertiair!E20</f>
        <v>138.10189911758329</v>
      </c>
      <c r="G40" s="687">
        <f ca="1">tertiair!F20</f>
        <v>1802.7419356655225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17610.210409940628</v>
      </c>
    </row>
    <row r="41" spans="1:18">
      <c r="A41" s="815" t="s">
        <v>225</v>
      </c>
      <c r="B41" s="822"/>
      <c r="C41" s="687">
        <f ca="1">huishoudens!B12</f>
        <v>11192.264730049239</v>
      </c>
      <c r="D41" s="687">
        <f ca="1">huishoudens!C12</f>
        <v>0</v>
      </c>
      <c r="E41" s="687">
        <f>huishoudens!D12</f>
        <v>21308.276963644003</v>
      </c>
      <c r="F41" s="687">
        <f>huishoudens!E12</f>
        <v>1019.3955446657067</v>
      </c>
      <c r="G41" s="687">
        <f>huishoudens!F12</f>
        <v>28206.455772771016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61726.393011129971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8192.0453809829378</v>
      </c>
      <c r="D43" s="687">
        <f ca="1">industrie!C22</f>
        <v>0</v>
      </c>
      <c r="E43" s="687">
        <f>industrie!D22</f>
        <v>4358.162984560001</v>
      </c>
      <c r="F43" s="687">
        <f>industrie!E22</f>
        <v>118.80257932758546</v>
      </c>
      <c r="G43" s="687">
        <f>industrie!F22</f>
        <v>3520.2950023634776</v>
      </c>
      <c r="H43" s="687">
        <f>industrie!G22</f>
        <v>0</v>
      </c>
      <c r="I43" s="687">
        <f>industrie!H22</f>
        <v>0</v>
      </c>
      <c r="J43" s="687">
        <f>industrie!I22</f>
        <v>0</v>
      </c>
      <c r="K43" s="687">
        <f>industrie!J22</f>
        <v>80.008573743875147</v>
      </c>
      <c r="L43" s="687">
        <f>industrie!K22</f>
        <v>0</v>
      </c>
      <c r="M43" s="687">
        <f>industrie!L22</f>
        <v>0</v>
      </c>
      <c r="N43" s="687">
        <f>industrie!M22</f>
        <v>0</v>
      </c>
      <c r="O43" s="687">
        <f>industrie!N22</f>
        <v>0</v>
      </c>
      <c r="P43" s="687">
        <f>industrie!O22</f>
        <v>0</v>
      </c>
      <c r="Q43" s="762">
        <f>industrie!P22</f>
        <v>0</v>
      </c>
      <c r="R43" s="842">
        <f t="shared" ca="1" si="4"/>
        <v>16269.314520977874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26703.223637229701</v>
      </c>
      <c r="D46" s="720">
        <f t="shared" ref="D46:Q46" ca="1" si="5">SUM(D39:D45)</f>
        <v>0</v>
      </c>
      <c r="E46" s="720">
        <f t="shared" ca="1" si="5"/>
        <v>34016.892997164003</v>
      </c>
      <c r="F46" s="720">
        <f t="shared" si="5"/>
        <v>1276.3000231108754</v>
      </c>
      <c r="G46" s="720">
        <f t="shared" ca="1" si="5"/>
        <v>33529.492710800019</v>
      </c>
      <c r="H46" s="720">
        <f t="shared" si="5"/>
        <v>0</v>
      </c>
      <c r="I46" s="720">
        <f t="shared" si="5"/>
        <v>0</v>
      </c>
      <c r="J46" s="720">
        <f t="shared" si="5"/>
        <v>0</v>
      </c>
      <c r="K46" s="720">
        <f t="shared" si="5"/>
        <v>80.008573743875147</v>
      </c>
      <c r="L46" s="720">
        <f t="shared" si="5"/>
        <v>0</v>
      </c>
      <c r="M46" s="720">
        <f t="shared" ca="1" si="5"/>
        <v>0</v>
      </c>
      <c r="N46" s="720">
        <f t="shared" si="5"/>
        <v>0</v>
      </c>
      <c r="O46" s="720">
        <f t="shared" ca="1" si="5"/>
        <v>0</v>
      </c>
      <c r="P46" s="720">
        <f t="shared" si="5"/>
        <v>0</v>
      </c>
      <c r="Q46" s="720">
        <f t="shared" si="5"/>
        <v>0</v>
      </c>
      <c r="R46" s="720">
        <f ca="1">SUM(R39:R45)</f>
        <v>95605.917942048472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977.72845124772618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977.72845124772618</v>
      </c>
    </row>
    <row r="50" spans="1:18">
      <c r="A50" s="818" t="s">
        <v>307</v>
      </c>
      <c r="B50" s="828"/>
      <c r="C50" s="995">
        <f ca="1">transport!B18</f>
        <v>0.44215561179106472</v>
      </c>
      <c r="D50" s="995">
        <f>transport!C18</f>
        <v>0</v>
      </c>
      <c r="E50" s="995">
        <f>transport!D18</f>
        <v>2.2103581294908654</v>
      </c>
      <c r="F50" s="995">
        <f>transport!E18</f>
        <v>284.18902345950499</v>
      </c>
      <c r="G50" s="995">
        <f>transport!F18</f>
        <v>0</v>
      </c>
      <c r="H50" s="995">
        <f>transport!G18</f>
        <v>60111.588279659227</v>
      </c>
      <c r="I50" s="995">
        <f>transport!H18</f>
        <v>9320.5963120955694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69719.026128955578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0.44215561179106472</v>
      </c>
      <c r="D52" s="720">
        <f t="shared" ref="D52:Q52" ca="1" si="6">SUM(D48:D51)</f>
        <v>0</v>
      </c>
      <c r="E52" s="720">
        <f t="shared" si="6"/>
        <v>2.2103581294908654</v>
      </c>
      <c r="F52" s="720">
        <f t="shared" si="6"/>
        <v>284.18902345950499</v>
      </c>
      <c r="G52" s="720">
        <f t="shared" si="6"/>
        <v>0</v>
      </c>
      <c r="H52" s="720">
        <f t="shared" si="6"/>
        <v>61089.316730906954</v>
      </c>
      <c r="I52" s="720">
        <f t="shared" si="6"/>
        <v>9320.5963120955694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70696.754580203298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743.61935701162702</v>
      </c>
      <c r="D54" s="995">
        <f ca="1">+landbouw!C12</f>
        <v>0</v>
      </c>
      <c r="E54" s="995">
        <f>+landbouw!D12</f>
        <v>88.61163572800001</v>
      </c>
      <c r="F54" s="995">
        <f>+landbouw!E12</f>
        <v>8.7270326087451195</v>
      </c>
      <c r="G54" s="995">
        <f>+landbouw!F12</f>
        <v>4195.9881655796826</v>
      </c>
      <c r="H54" s="995">
        <f>+landbouw!G12</f>
        <v>0</v>
      </c>
      <c r="I54" s="995">
        <f>+landbouw!H12</f>
        <v>0</v>
      </c>
      <c r="J54" s="995">
        <f>+landbouw!I12</f>
        <v>0</v>
      </c>
      <c r="K54" s="995">
        <f>+landbouw!J12</f>
        <v>116.06477642789501</v>
      </c>
      <c r="L54" s="995">
        <f>+landbouw!K12</f>
        <v>0</v>
      </c>
      <c r="M54" s="995">
        <f>+landbouw!L12</f>
        <v>0</v>
      </c>
      <c r="N54" s="995">
        <f>+landbouw!M12</f>
        <v>0</v>
      </c>
      <c r="O54" s="995">
        <f>+landbouw!N12</f>
        <v>0</v>
      </c>
      <c r="P54" s="995">
        <f>+landbouw!O12</f>
        <v>0</v>
      </c>
      <c r="Q54" s="996">
        <f>+landbouw!P12</f>
        <v>0</v>
      </c>
      <c r="R54" s="719">
        <f ca="1">SUM(C54:Q54)</f>
        <v>5153.0109673559491</v>
      </c>
    </row>
    <row r="55" spans="1:18" ht="15" thickBot="1">
      <c r="A55" s="818" t="s">
        <v>925</v>
      </c>
      <c r="B55" s="828"/>
      <c r="C55" s="995">
        <f ca="1">C25*'EF ele_warmte'!B12</f>
        <v>674.17106372834098</v>
      </c>
      <c r="D55" s="995"/>
      <c r="E55" s="995">
        <f>E25*EF_CO2_aardgas</f>
        <v>730.16899599999999</v>
      </c>
      <c r="F55" s="995"/>
      <c r="G55" s="995"/>
      <c r="H55" s="995"/>
      <c r="I55" s="995"/>
      <c r="J55" s="995"/>
      <c r="K55" s="995"/>
      <c r="L55" s="995"/>
      <c r="M55" s="995"/>
      <c r="N55" s="995"/>
      <c r="O55" s="995"/>
      <c r="P55" s="995"/>
      <c r="Q55" s="996"/>
      <c r="R55" s="719">
        <f ca="1">SUM(C55:Q55)</f>
        <v>1404.340059728341</v>
      </c>
    </row>
    <row r="56" spans="1:18" ht="15.75" thickBot="1">
      <c r="A56" s="816" t="s">
        <v>926</v>
      </c>
      <c r="B56" s="829"/>
      <c r="C56" s="720">
        <f ca="1">SUM(C54:C55)</f>
        <v>1417.7904207399679</v>
      </c>
      <c r="D56" s="720">
        <f t="shared" ref="D56:Q56" ca="1" si="7">SUM(D54:D55)</f>
        <v>0</v>
      </c>
      <c r="E56" s="720">
        <f t="shared" si="7"/>
        <v>818.780631728</v>
      </c>
      <c r="F56" s="720">
        <f t="shared" si="7"/>
        <v>8.7270326087451195</v>
      </c>
      <c r="G56" s="720">
        <f t="shared" si="7"/>
        <v>4195.9881655796826</v>
      </c>
      <c r="H56" s="720">
        <f t="shared" si="7"/>
        <v>0</v>
      </c>
      <c r="I56" s="720">
        <f t="shared" si="7"/>
        <v>0</v>
      </c>
      <c r="J56" s="720">
        <f t="shared" si="7"/>
        <v>0</v>
      </c>
      <c r="K56" s="720">
        <f t="shared" si="7"/>
        <v>116.06477642789501</v>
      </c>
      <c r="L56" s="720">
        <f t="shared" si="7"/>
        <v>0</v>
      </c>
      <c r="M56" s="720">
        <f t="shared" si="7"/>
        <v>0</v>
      </c>
      <c r="N56" s="720">
        <f t="shared" si="7"/>
        <v>0</v>
      </c>
      <c r="O56" s="720">
        <f t="shared" si="7"/>
        <v>0</v>
      </c>
      <c r="P56" s="720">
        <f t="shared" si="7"/>
        <v>0</v>
      </c>
      <c r="Q56" s="721">
        <f t="shared" si="7"/>
        <v>0</v>
      </c>
      <c r="R56" s="722">
        <f ca="1">SUM(R54:R55)</f>
        <v>6557.3510270842899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28121.456213581463</v>
      </c>
      <c r="D61" s="728">
        <f t="shared" ref="D61:Q61" ca="1" si="8">D46+D52+D56</f>
        <v>0</v>
      </c>
      <c r="E61" s="728">
        <f t="shared" ca="1" si="8"/>
        <v>34837.883987021494</v>
      </c>
      <c r="F61" s="728">
        <f t="shared" si="8"/>
        <v>1569.2160791791255</v>
      </c>
      <c r="G61" s="728">
        <f t="shared" ca="1" si="8"/>
        <v>37725.480876379705</v>
      </c>
      <c r="H61" s="728">
        <f t="shared" si="8"/>
        <v>61089.316730906954</v>
      </c>
      <c r="I61" s="728">
        <f t="shared" si="8"/>
        <v>9320.5963120955694</v>
      </c>
      <c r="J61" s="728">
        <f t="shared" si="8"/>
        <v>0</v>
      </c>
      <c r="K61" s="728">
        <f t="shared" si="8"/>
        <v>196.07335017177016</v>
      </c>
      <c r="L61" s="728">
        <f t="shared" si="8"/>
        <v>0</v>
      </c>
      <c r="M61" s="728">
        <f t="shared" ca="1" si="8"/>
        <v>0</v>
      </c>
      <c r="N61" s="728">
        <f t="shared" si="8"/>
        <v>0</v>
      </c>
      <c r="O61" s="728">
        <f t="shared" ca="1" si="8"/>
        <v>0</v>
      </c>
      <c r="P61" s="728">
        <f t="shared" si="8"/>
        <v>0</v>
      </c>
      <c r="Q61" s="728">
        <f t="shared" si="8"/>
        <v>0</v>
      </c>
      <c r="R61" s="728">
        <f ca="1">R46+R52+R56</f>
        <v>172860.02354933607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0.20255760647525356</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11585.486102379031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11585.486102379031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55254.724445100503</v>
      </c>
      <c r="C4" s="460">
        <f>huishoudens!C8</f>
        <v>0</v>
      </c>
      <c r="D4" s="460">
        <f>huishoudens!D8</f>
        <v>105486.51962200001</v>
      </c>
      <c r="E4" s="460">
        <f>huishoudens!E8</f>
        <v>4490.7292716550955</v>
      </c>
      <c r="F4" s="460">
        <f>huishoudens!F8</f>
        <v>105642.1564523259</v>
      </c>
      <c r="G4" s="460">
        <f>huishoudens!G8</f>
        <v>0</v>
      </c>
      <c r="H4" s="460">
        <f>huishoudens!H8</f>
        <v>0</v>
      </c>
      <c r="I4" s="460">
        <f>huishoudens!I8</f>
        <v>0</v>
      </c>
      <c r="J4" s="460">
        <f>huishoudens!J8</f>
        <v>0</v>
      </c>
      <c r="K4" s="460">
        <f>huishoudens!K8</f>
        <v>0</v>
      </c>
      <c r="L4" s="460">
        <f>huishoudens!L8</f>
        <v>0</v>
      </c>
      <c r="M4" s="460">
        <f>huishoudens!M8</f>
        <v>0</v>
      </c>
      <c r="N4" s="460">
        <f>huishoudens!N8</f>
        <v>15935.080505480157</v>
      </c>
      <c r="O4" s="460">
        <f>huishoudens!O8</f>
        <v>217.30333333333337</v>
      </c>
      <c r="P4" s="461">
        <f>huishoudens!P8</f>
        <v>495.73333333333335</v>
      </c>
      <c r="Q4" s="462">
        <f>SUM(B4:P4)</f>
        <v>287522.24696322839</v>
      </c>
    </row>
    <row r="5" spans="1:17">
      <c r="A5" s="459" t="s">
        <v>156</v>
      </c>
      <c r="B5" s="460">
        <f ca="1">tertiair!B16</f>
        <v>34263.990999999995</v>
      </c>
      <c r="C5" s="460">
        <f ca="1">tertiair!C16</f>
        <v>0</v>
      </c>
      <c r="D5" s="460">
        <f ca="1">tertiair!D16</f>
        <v>41338.876479999999</v>
      </c>
      <c r="E5" s="460">
        <f>tertiair!E16</f>
        <v>608.37841020961798</v>
      </c>
      <c r="F5" s="460">
        <f ca="1">tertiair!F16</f>
        <v>6751.8424556761138</v>
      </c>
      <c r="G5" s="460">
        <f>tertiair!G16</f>
        <v>0</v>
      </c>
      <c r="H5" s="460">
        <f>tertiair!H16</f>
        <v>0</v>
      </c>
      <c r="I5" s="460">
        <f>tertiair!I16</f>
        <v>0</v>
      </c>
      <c r="J5" s="460">
        <f>tertiair!J16</f>
        <v>0</v>
      </c>
      <c r="K5" s="460">
        <f>tertiair!K16</f>
        <v>0</v>
      </c>
      <c r="L5" s="460">
        <f ca="1">tertiair!L16</f>
        <v>0</v>
      </c>
      <c r="M5" s="460">
        <f>tertiair!M16</f>
        <v>0</v>
      </c>
      <c r="N5" s="460">
        <f ca="1">tertiair!N16</f>
        <v>1071.6924189547078</v>
      </c>
      <c r="O5" s="460">
        <f>tertiair!O16</f>
        <v>1.5633333333333335</v>
      </c>
      <c r="P5" s="461">
        <f>tertiair!P16</f>
        <v>133.46666666666667</v>
      </c>
      <c r="Q5" s="459">
        <f t="shared" ref="Q5:Q14" ca="1" si="0">SUM(B5:P5)</f>
        <v>84169.81076484044</v>
      </c>
    </row>
    <row r="6" spans="1:17">
      <c r="A6" s="459" t="s">
        <v>194</v>
      </c>
      <c r="B6" s="460">
        <f>'openbare verlichting'!B8</f>
        <v>1868.5129999999999</v>
      </c>
      <c r="C6" s="460"/>
      <c r="D6" s="460"/>
      <c r="E6" s="460"/>
      <c r="F6" s="460"/>
      <c r="G6" s="460"/>
      <c r="H6" s="460"/>
      <c r="I6" s="460"/>
      <c r="J6" s="460"/>
      <c r="K6" s="460"/>
      <c r="L6" s="460"/>
      <c r="M6" s="460"/>
      <c r="N6" s="460"/>
      <c r="O6" s="460"/>
      <c r="P6" s="461"/>
      <c r="Q6" s="459">
        <f t="shared" si="0"/>
        <v>1868.5129999999999</v>
      </c>
    </row>
    <row r="7" spans="1:17">
      <c r="A7" s="459" t="s">
        <v>112</v>
      </c>
      <c r="B7" s="460">
        <f>landbouw!B8</f>
        <v>3671.15</v>
      </c>
      <c r="C7" s="460">
        <f>landbouw!C8</f>
        <v>0</v>
      </c>
      <c r="D7" s="460">
        <f>landbouw!D8</f>
        <v>438.67146400000001</v>
      </c>
      <c r="E7" s="460">
        <f>landbouw!E8</f>
        <v>38.445077571564404</v>
      </c>
      <c r="F7" s="460">
        <f>landbouw!F8</f>
        <v>15715.311481571845</v>
      </c>
      <c r="G7" s="460">
        <f>landbouw!G8</f>
        <v>0</v>
      </c>
      <c r="H7" s="460">
        <f>landbouw!H8</f>
        <v>0</v>
      </c>
      <c r="I7" s="460">
        <f>landbouw!I8</f>
        <v>0</v>
      </c>
      <c r="J7" s="460">
        <f>landbouw!J8</f>
        <v>327.86660007879948</v>
      </c>
      <c r="K7" s="460">
        <f>landbouw!K8</f>
        <v>0</v>
      </c>
      <c r="L7" s="460">
        <f>landbouw!L8</f>
        <v>0</v>
      </c>
      <c r="M7" s="460">
        <f>landbouw!M8</f>
        <v>0</v>
      </c>
      <c r="N7" s="460">
        <f>landbouw!N8</f>
        <v>0</v>
      </c>
      <c r="O7" s="460">
        <f>landbouw!O8</f>
        <v>0</v>
      </c>
      <c r="P7" s="461">
        <f>landbouw!P8</f>
        <v>0</v>
      </c>
      <c r="Q7" s="459">
        <f t="shared" si="0"/>
        <v>20191.444623222211</v>
      </c>
    </row>
    <row r="8" spans="1:17">
      <c r="A8" s="459" t="s">
        <v>655</v>
      </c>
      <c r="B8" s="460">
        <f>industrie!B18</f>
        <v>40443.040000000001</v>
      </c>
      <c r="C8" s="460">
        <f>industrie!C18</f>
        <v>0</v>
      </c>
      <c r="D8" s="460">
        <f>industrie!D18</f>
        <v>21575.064280000002</v>
      </c>
      <c r="E8" s="460">
        <f>industrie!E18</f>
        <v>523.35938029773331</v>
      </c>
      <c r="F8" s="460">
        <f>industrie!F18</f>
        <v>13184.625477016769</v>
      </c>
      <c r="G8" s="460">
        <f>industrie!G18</f>
        <v>0</v>
      </c>
      <c r="H8" s="460">
        <f>industrie!H18</f>
        <v>0</v>
      </c>
      <c r="I8" s="460">
        <f>industrie!I18</f>
        <v>0</v>
      </c>
      <c r="J8" s="460">
        <f>industrie!J18</f>
        <v>226.01292018043827</v>
      </c>
      <c r="K8" s="460">
        <f>industrie!K18</f>
        <v>0</v>
      </c>
      <c r="L8" s="460">
        <f>industrie!L18</f>
        <v>0</v>
      </c>
      <c r="M8" s="460">
        <f>industrie!M18</f>
        <v>0</v>
      </c>
      <c r="N8" s="460">
        <f>industrie!N18</f>
        <v>1156.432318251987</v>
      </c>
      <c r="O8" s="460">
        <f>industrie!O18</f>
        <v>0</v>
      </c>
      <c r="P8" s="461">
        <f>industrie!P18</f>
        <v>0</v>
      </c>
      <c r="Q8" s="459">
        <f t="shared" si="0"/>
        <v>77108.534375746924</v>
      </c>
    </row>
    <row r="9" spans="1:17" s="465" customFormat="1">
      <c r="A9" s="463" t="s">
        <v>573</v>
      </c>
      <c r="B9" s="464">
        <f>transport!B14</f>
        <v>2.1828635294675189</v>
      </c>
      <c r="C9" s="464">
        <f>transport!C14</f>
        <v>0</v>
      </c>
      <c r="D9" s="464">
        <f>transport!D14</f>
        <v>10.942366977677551</v>
      </c>
      <c r="E9" s="464">
        <f>transport!E14</f>
        <v>1251.9340240506829</v>
      </c>
      <c r="F9" s="464">
        <f>transport!F14</f>
        <v>0</v>
      </c>
      <c r="G9" s="464">
        <f>transport!G14</f>
        <v>225137.034755278</v>
      </c>
      <c r="H9" s="464">
        <f>transport!H14</f>
        <v>37432.113703195057</v>
      </c>
      <c r="I9" s="464">
        <f>transport!I14</f>
        <v>0</v>
      </c>
      <c r="J9" s="464">
        <f>transport!J14</f>
        <v>0</v>
      </c>
      <c r="K9" s="464">
        <f>transport!K14</f>
        <v>0</v>
      </c>
      <c r="L9" s="464">
        <f>transport!L14</f>
        <v>0</v>
      </c>
      <c r="M9" s="464">
        <f>transport!M14</f>
        <v>11453.734095978076</v>
      </c>
      <c r="N9" s="464">
        <f>transport!N14</f>
        <v>0</v>
      </c>
      <c r="O9" s="464">
        <f>transport!O14</f>
        <v>0</v>
      </c>
      <c r="P9" s="464">
        <f>transport!P14</f>
        <v>0</v>
      </c>
      <c r="Q9" s="463">
        <f>SUM(B9:P9)</f>
        <v>275287.94180900895</v>
      </c>
    </row>
    <row r="10" spans="1:17">
      <c r="A10" s="459" t="s">
        <v>563</v>
      </c>
      <c r="B10" s="460">
        <f>transport!B54</f>
        <v>0</v>
      </c>
      <c r="C10" s="460">
        <f>transport!C54</f>
        <v>0</v>
      </c>
      <c r="D10" s="460">
        <f>transport!D54</f>
        <v>0</v>
      </c>
      <c r="E10" s="460">
        <f>transport!E54</f>
        <v>0</v>
      </c>
      <c r="F10" s="460">
        <f>transport!F54</f>
        <v>0</v>
      </c>
      <c r="G10" s="460">
        <f>transport!G54</f>
        <v>3661.9043117892365</v>
      </c>
      <c r="H10" s="460">
        <f>transport!H54</f>
        <v>0</v>
      </c>
      <c r="I10" s="460">
        <f>transport!I54</f>
        <v>0</v>
      </c>
      <c r="J10" s="460">
        <f>transport!J54</f>
        <v>0</v>
      </c>
      <c r="K10" s="460">
        <f>transport!K54</f>
        <v>0</v>
      </c>
      <c r="L10" s="460">
        <f>transport!L54</f>
        <v>0</v>
      </c>
      <c r="M10" s="460">
        <f>transport!M54</f>
        <v>156.09107175410276</v>
      </c>
      <c r="N10" s="460">
        <f>transport!N54</f>
        <v>0</v>
      </c>
      <c r="O10" s="460">
        <f>transport!O54</f>
        <v>0</v>
      </c>
      <c r="P10" s="461">
        <f>transport!P54</f>
        <v>0</v>
      </c>
      <c r="Q10" s="459">
        <f t="shared" si="0"/>
        <v>3817.9953835433394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3328.2930000000001</v>
      </c>
      <c r="C14" s="467"/>
      <c r="D14" s="467">
        <f>'SEAP template'!E25</f>
        <v>3614.6979999999999</v>
      </c>
      <c r="E14" s="467"/>
      <c r="F14" s="467"/>
      <c r="G14" s="467"/>
      <c r="H14" s="467"/>
      <c r="I14" s="467"/>
      <c r="J14" s="467"/>
      <c r="K14" s="467"/>
      <c r="L14" s="467"/>
      <c r="M14" s="467"/>
      <c r="N14" s="467"/>
      <c r="O14" s="467"/>
      <c r="P14" s="468"/>
      <c r="Q14" s="459">
        <f t="shared" si="0"/>
        <v>6942.991</v>
      </c>
    </row>
    <row r="15" spans="1:17" s="472" customFormat="1">
      <c r="A15" s="469" t="s">
        <v>567</v>
      </c>
      <c r="B15" s="470">
        <f ca="1">SUM(B4:B14)</f>
        <v>138831.89430863</v>
      </c>
      <c r="C15" s="470">
        <f t="shared" ref="C15:Q15" ca="1" si="1">SUM(C4:C14)</f>
        <v>0</v>
      </c>
      <c r="D15" s="470">
        <f t="shared" ca="1" si="1"/>
        <v>172464.7722129777</v>
      </c>
      <c r="E15" s="470">
        <f t="shared" si="1"/>
        <v>6912.8461637846931</v>
      </c>
      <c r="F15" s="470">
        <f t="shared" ca="1" si="1"/>
        <v>141293.93586659062</v>
      </c>
      <c r="G15" s="470">
        <f t="shared" si="1"/>
        <v>228798.93906706723</v>
      </c>
      <c r="H15" s="470">
        <f t="shared" si="1"/>
        <v>37432.113703195057</v>
      </c>
      <c r="I15" s="470">
        <f t="shared" si="1"/>
        <v>0</v>
      </c>
      <c r="J15" s="470">
        <f t="shared" si="1"/>
        <v>553.87952025923778</v>
      </c>
      <c r="K15" s="470">
        <f t="shared" si="1"/>
        <v>0</v>
      </c>
      <c r="L15" s="470">
        <f t="shared" ca="1" si="1"/>
        <v>0</v>
      </c>
      <c r="M15" s="470">
        <f t="shared" si="1"/>
        <v>11609.825167732179</v>
      </c>
      <c r="N15" s="470">
        <f t="shared" ca="1" si="1"/>
        <v>18163.20524268685</v>
      </c>
      <c r="O15" s="470">
        <f t="shared" si="1"/>
        <v>218.8666666666667</v>
      </c>
      <c r="P15" s="470">
        <f t="shared" si="1"/>
        <v>629.20000000000005</v>
      </c>
      <c r="Q15" s="470">
        <f t="shared" ca="1" si="1"/>
        <v>756909.47791959019</v>
      </c>
    </row>
    <row r="17" spans="1:17">
      <c r="A17" s="473" t="s">
        <v>568</v>
      </c>
      <c r="B17" s="777">
        <f ca="1">huishoudens!B10</f>
        <v>0.20255760647525353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11192.264730049239</v>
      </c>
      <c r="C22" s="460">
        <f t="shared" ref="C22:C32" ca="1" si="3">C4*$C$17</f>
        <v>0</v>
      </c>
      <c r="D22" s="460">
        <f t="shared" ref="D22:D32" si="4">D4*$D$17</f>
        <v>21308.276963644003</v>
      </c>
      <c r="E22" s="460">
        <f t="shared" ref="E22:E32" si="5">E4*$E$17</f>
        <v>1019.3955446657067</v>
      </c>
      <c r="F22" s="460">
        <f t="shared" ref="F22:F32" si="6">F4*$F$17</f>
        <v>28206.455772771016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61726.393011129971</v>
      </c>
    </row>
    <row r="23" spans="1:17">
      <c r="A23" s="459" t="s">
        <v>156</v>
      </c>
      <c r="B23" s="460">
        <f t="shared" ca="1" si="2"/>
        <v>6940.4320052496278</v>
      </c>
      <c r="C23" s="460">
        <f t="shared" ca="1" si="3"/>
        <v>0</v>
      </c>
      <c r="D23" s="460">
        <f t="shared" ca="1" si="4"/>
        <v>8350.4530489600002</v>
      </c>
      <c r="E23" s="460">
        <f t="shared" si="5"/>
        <v>138.10189911758329</v>
      </c>
      <c r="F23" s="460">
        <f t="shared" ca="1" si="6"/>
        <v>1802.7419356655225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17231.728888992733</v>
      </c>
    </row>
    <row r="24" spans="1:17">
      <c r="A24" s="459" t="s">
        <v>194</v>
      </c>
      <c r="B24" s="460">
        <f t="shared" ca="1" si="2"/>
        <v>378.48152094789538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378.48152094789538</v>
      </c>
    </row>
    <row r="25" spans="1:17">
      <c r="A25" s="459" t="s">
        <v>112</v>
      </c>
      <c r="B25" s="460">
        <f t="shared" ca="1" si="2"/>
        <v>743.61935701162702</v>
      </c>
      <c r="C25" s="460">
        <f t="shared" ca="1" si="3"/>
        <v>0</v>
      </c>
      <c r="D25" s="460">
        <f t="shared" si="4"/>
        <v>88.61163572800001</v>
      </c>
      <c r="E25" s="460">
        <f t="shared" si="5"/>
        <v>8.7270326087451195</v>
      </c>
      <c r="F25" s="460">
        <f t="shared" si="6"/>
        <v>4195.9881655796826</v>
      </c>
      <c r="G25" s="460">
        <f t="shared" si="7"/>
        <v>0</v>
      </c>
      <c r="H25" s="460">
        <f t="shared" si="8"/>
        <v>0</v>
      </c>
      <c r="I25" s="460">
        <f t="shared" si="9"/>
        <v>0</v>
      </c>
      <c r="J25" s="460">
        <f t="shared" si="10"/>
        <v>116.06477642789501</v>
      </c>
      <c r="K25" s="460">
        <f t="shared" si="11"/>
        <v>0</v>
      </c>
      <c r="L25" s="460">
        <f t="shared" si="12"/>
        <v>0</v>
      </c>
      <c r="M25" s="460">
        <f t="shared" si="13"/>
        <v>0</v>
      </c>
      <c r="N25" s="460">
        <f t="shared" si="14"/>
        <v>0</v>
      </c>
      <c r="O25" s="460">
        <f t="shared" si="15"/>
        <v>0</v>
      </c>
      <c r="P25" s="461">
        <f t="shared" si="16"/>
        <v>0</v>
      </c>
      <c r="Q25" s="459">
        <f t="shared" ca="1" si="17"/>
        <v>5153.0109673559491</v>
      </c>
    </row>
    <row r="26" spans="1:17">
      <c r="A26" s="459" t="s">
        <v>655</v>
      </c>
      <c r="B26" s="460">
        <f t="shared" ca="1" si="2"/>
        <v>8192.0453809829378</v>
      </c>
      <c r="C26" s="460">
        <f t="shared" ca="1" si="3"/>
        <v>0</v>
      </c>
      <c r="D26" s="460">
        <f t="shared" si="4"/>
        <v>4358.162984560001</v>
      </c>
      <c r="E26" s="460">
        <f t="shared" si="5"/>
        <v>118.80257932758546</v>
      </c>
      <c r="F26" s="460">
        <f t="shared" si="6"/>
        <v>3520.2950023634776</v>
      </c>
      <c r="G26" s="460">
        <f t="shared" si="7"/>
        <v>0</v>
      </c>
      <c r="H26" s="460">
        <f t="shared" si="8"/>
        <v>0</v>
      </c>
      <c r="I26" s="460">
        <f t="shared" si="9"/>
        <v>0</v>
      </c>
      <c r="J26" s="460">
        <f t="shared" si="10"/>
        <v>80.008573743875147</v>
      </c>
      <c r="K26" s="460">
        <f t="shared" si="11"/>
        <v>0</v>
      </c>
      <c r="L26" s="460">
        <f t="shared" si="12"/>
        <v>0</v>
      </c>
      <c r="M26" s="460">
        <f t="shared" si="13"/>
        <v>0</v>
      </c>
      <c r="N26" s="460">
        <f t="shared" si="14"/>
        <v>0</v>
      </c>
      <c r="O26" s="460">
        <f t="shared" si="15"/>
        <v>0</v>
      </c>
      <c r="P26" s="461">
        <f t="shared" si="16"/>
        <v>0</v>
      </c>
      <c r="Q26" s="459">
        <f t="shared" ca="1" si="17"/>
        <v>16269.314520977874</v>
      </c>
    </row>
    <row r="27" spans="1:17" s="465" customFormat="1">
      <c r="A27" s="463" t="s">
        <v>573</v>
      </c>
      <c r="B27" s="771">
        <f t="shared" ca="1" si="2"/>
        <v>0.44215561179106472</v>
      </c>
      <c r="C27" s="464">
        <f t="shared" ca="1" si="3"/>
        <v>0</v>
      </c>
      <c r="D27" s="464">
        <f t="shared" si="4"/>
        <v>2.2103581294908654</v>
      </c>
      <c r="E27" s="464">
        <f t="shared" si="5"/>
        <v>284.18902345950499</v>
      </c>
      <c r="F27" s="464">
        <f t="shared" si="6"/>
        <v>0</v>
      </c>
      <c r="G27" s="464">
        <f t="shared" si="7"/>
        <v>60111.588279659227</v>
      </c>
      <c r="H27" s="464">
        <f t="shared" si="8"/>
        <v>9320.5963120955694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69719.026128955578</v>
      </c>
    </row>
    <row r="28" spans="1:17">
      <c r="A28" s="459" t="s">
        <v>563</v>
      </c>
      <c r="B28" s="460">
        <f t="shared" ca="1" si="2"/>
        <v>0</v>
      </c>
      <c r="C28" s="460">
        <f t="shared" ca="1" si="3"/>
        <v>0</v>
      </c>
      <c r="D28" s="460">
        <f t="shared" si="4"/>
        <v>0</v>
      </c>
      <c r="E28" s="460">
        <f t="shared" si="5"/>
        <v>0</v>
      </c>
      <c r="F28" s="460">
        <f t="shared" si="6"/>
        <v>0</v>
      </c>
      <c r="G28" s="460">
        <f t="shared" si="7"/>
        <v>977.72845124772618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977.72845124772618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674.17106372834098</v>
      </c>
      <c r="C32" s="460">
        <f t="shared" ca="1" si="3"/>
        <v>0</v>
      </c>
      <c r="D32" s="460">
        <f t="shared" si="4"/>
        <v>730.16899599999999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1404.340059728341</v>
      </c>
    </row>
    <row r="33" spans="1:17" s="472" customFormat="1">
      <c r="A33" s="469" t="s">
        <v>567</v>
      </c>
      <c r="B33" s="470">
        <f ca="1">SUM(B22:B32)</f>
        <v>28121.456213581456</v>
      </c>
      <c r="C33" s="470">
        <f t="shared" ref="C33:Q33" ca="1" si="19">SUM(C22:C32)</f>
        <v>0</v>
      </c>
      <c r="D33" s="470">
        <f t="shared" ca="1" si="19"/>
        <v>34837.883987021502</v>
      </c>
      <c r="E33" s="470">
        <f t="shared" si="19"/>
        <v>1569.2160791791255</v>
      </c>
      <c r="F33" s="470">
        <f t="shared" ca="1" si="19"/>
        <v>37725.480876379697</v>
      </c>
      <c r="G33" s="470">
        <f t="shared" si="19"/>
        <v>61089.316730906954</v>
      </c>
      <c r="H33" s="470">
        <f t="shared" si="19"/>
        <v>9320.5963120955694</v>
      </c>
      <c r="I33" s="470">
        <f t="shared" si="19"/>
        <v>0</v>
      </c>
      <c r="J33" s="470">
        <f t="shared" si="19"/>
        <v>196.07335017177016</v>
      </c>
      <c r="K33" s="470">
        <f t="shared" si="19"/>
        <v>0</v>
      </c>
      <c r="L33" s="470">
        <f t="shared" ca="1" si="19"/>
        <v>0</v>
      </c>
      <c r="M33" s="470">
        <f t="shared" si="19"/>
        <v>0</v>
      </c>
      <c r="N33" s="470">
        <f t="shared" ca="1" si="19"/>
        <v>0</v>
      </c>
      <c r="O33" s="470">
        <f t="shared" si="19"/>
        <v>0</v>
      </c>
      <c r="P33" s="470">
        <f t="shared" si="19"/>
        <v>0</v>
      </c>
      <c r="Q33" s="470">
        <f t="shared" ca="1" si="19"/>
        <v>172860.02354933607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11585.486102379031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11585.486102379031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0.20255760647525353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0.20255760647525353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0.20255760647525353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0.20255760647525353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71070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11888</v>
      </c>
      <c r="C9" s="336">
        <v>12841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857</v>
      </c>
    </row>
    <row r="15" spans="1:6">
      <c r="A15" s="1277" t="s">
        <v>184</v>
      </c>
      <c r="B15" s="333">
        <v>1</v>
      </c>
    </row>
    <row r="16" spans="1:6">
      <c r="A16" s="1277" t="s">
        <v>6</v>
      </c>
      <c r="B16" s="333">
        <v>57</v>
      </c>
    </row>
    <row r="17" spans="1:6">
      <c r="A17" s="1277" t="s">
        <v>7</v>
      </c>
      <c r="B17" s="333">
        <v>57</v>
      </c>
    </row>
    <row r="18" spans="1:6">
      <c r="A18" s="1277" t="s">
        <v>8</v>
      </c>
      <c r="B18" s="333">
        <v>86</v>
      </c>
    </row>
    <row r="19" spans="1:6">
      <c r="A19" s="1277" t="s">
        <v>9</v>
      </c>
      <c r="B19" s="333">
        <v>67</v>
      </c>
    </row>
    <row r="20" spans="1:6">
      <c r="A20" s="1277" t="s">
        <v>10</v>
      </c>
      <c r="B20" s="333">
        <v>101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30</v>
      </c>
    </row>
    <row r="27" spans="1:6">
      <c r="A27" s="1277" t="s">
        <v>17</v>
      </c>
      <c r="B27" s="333">
        <v>0</v>
      </c>
    </row>
    <row r="28" spans="1:6">
      <c r="A28" s="1277" t="s">
        <v>18</v>
      </c>
      <c r="B28" s="333">
        <v>5335</v>
      </c>
    </row>
    <row r="29" spans="1:6">
      <c r="A29" s="1277" t="s">
        <v>959</v>
      </c>
      <c r="B29" s="333">
        <v>105</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97703</v>
      </c>
    </row>
    <row r="37" spans="1:6">
      <c r="A37" s="1277" t="s">
        <v>25</v>
      </c>
      <c r="B37" s="1277" t="s">
        <v>28</v>
      </c>
      <c r="C37" s="333">
        <v>0</v>
      </c>
      <c r="D37" s="333">
        <v>0</v>
      </c>
      <c r="E37" s="333">
        <v>0</v>
      </c>
      <c r="F37" s="333">
        <v>0</v>
      </c>
    </row>
    <row r="38" spans="1:6">
      <c r="A38" s="1277" t="s">
        <v>25</v>
      </c>
      <c r="B38" s="1277" t="s">
        <v>29</v>
      </c>
      <c r="C38" s="333">
        <v>1</v>
      </c>
      <c r="D38" s="333">
        <v>245700</v>
      </c>
      <c r="E38" s="333">
        <v>0</v>
      </c>
      <c r="F38" s="333">
        <v>0</v>
      </c>
    </row>
    <row r="39" spans="1:6">
      <c r="A39" s="1277" t="s">
        <v>30</v>
      </c>
      <c r="B39" s="1277" t="s">
        <v>31</v>
      </c>
      <c r="C39" s="333">
        <v>5363</v>
      </c>
      <c r="D39" s="333">
        <v>116947361</v>
      </c>
      <c r="E39" s="333">
        <v>12235</v>
      </c>
      <c r="F39" s="333">
        <v>51093060</v>
      </c>
    </row>
    <row r="40" spans="1:6">
      <c r="A40" s="1277" t="s">
        <v>30</v>
      </c>
      <c r="B40" s="1277" t="s">
        <v>29</v>
      </c>
      <c r="C40" s="333">
        <v>0</v>
      </c>
      <c r="D40" s="333">
        <v>0</v>
      </c>
      <c r="E40" s="333">
        <v>0</v>
      </c>
      <c r="F40" s="333">
        <v>0</v>
      </c>
    </row>
    <row r="41" spans="1:6">
      <c r="A41" s="1277" t="s">
        <v>32</v>
      </c>
      <c r="B41" s="1277" t="s">
        <v>33</v>
      </c>
      <c r="C41" s="333">
        <v>60</v>
      </c>
      <c r="D41" s="333">
        <v>4902180</v>
      </c>
      <c r="E41" s="333">
        <v>155</v>
      </c>
      <c r="F41" s="333">
        <v>10511249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14</v>
      </c>
      <c r="D44" s="333">
        <v>11264761</v>
      </c>
      <c r="E44" s="333">
        <v>20</v>
      </c>
      <c r="F44" s="333">
        <v>3270918</v>
      </c>
    </row>
    <row r="45" spans="1:6">
      <c r="A45" s="1277" t="s">
        <v>32</v>
      </c>
      <c r="B45" s="1277" t="s">
        <v>37</v>
      </c>
      <c r="C45" s="333">
        <v>3</v>
      </c>
      <c r="D45" s="333">
        <v>536577</v>
      </c>
      <c r="E45" s="333">
        <v>7</v>
      </c>
      <c r="F45" s="333">
        <v>5164322</v>
      </c>
    </row>
    <row r="46" spans="1:6">
      <c r="A46" s="1277" t="s">
        <v>32</v>
      </c>
      <c r="B46" s="1277" t="s">
        <v>38</v>
      </c>
      <c r="C46" s="333">
        <v>0</v>
      </c>
      <c r="D46" s="333">
        <v>0</v>
      </c>
      <c r="E46" s="333">
        <v>0</v>
      </c>
      <c r="F46" s="333">
        <v>0</v>
      </c>
    </row>
    <row r="47" spans="1:6">
      <c r="A47" s="1277" t="s">
        <v>32</v>
      </c>
      <c r="B47" s="1277" t="s">
        <v>39</v>
      </c>
      <c r="C47" s="333">
        <v>0</v>
      </c>
      <c r="D47" s="333">
        <v>0</v>
      </c>
      <c r="E47" s="333">
        <v>3</v>
      </c>
      <c r="F47" s="333">
        <v>51616</v>
      </c>
    </row>
    <row r="48" spans="1:6">
      <c r="A48" s="1277" t="s">
        <v>32</v>
      </c>
      <c r="B48" s="1277" t="s">
        <v>29</v>
      </c>
      <c r="C48" s="333">
        <v>3</v>
      </c>
      <c r="D48" s="333">
        <v>5531734</v>
      </c>
      <c r="E48" s="333">
        <v>4</v>
      </c>
      <c r="F48" s="333">
        <v>15266830</v>
      </c>
    </row>
    <row r="49" spans="1:6">
      <c r="A49" s="1277" t="s">
        <v>32</v>
      </c>
      <c r="B49" s="1277" t="s">
        <v>40</v>
      </c>
      <c r="C49" s="333">
        <v>0</v>
      </c>
      <c r="D49" s="333">
        <v>0</v>
      </c>
      <c r="E49" s="333">
        <v>0</v>
      </c>
      <c r="F49" s="333">
        <v>0</v>
      </c>
    </row>
    <row r="50" spans="1:6">
      <c r="A50" s="1277" t="s">
        <v>32</v>
      </c>
      <c r="B50" s="1277" t="s">
        <v>41</v>
      </c>
      <c r="C50" s="333">
        <v>8</v>
      </c>
      <c r="D50" s="333">
        <v>1683888</v>
      </c>
      <c r="E50" s="333">
        <v>15</v>
      </c>
      <c r="F50" s="333">
        <v>6178105</v>
      </c>
    </row>
    <row r="51" spans="1:6">
      <c r="A51" s="1277" t="s">
        <v>42</v>
      </c>
      <c r="B51" s="1277" t="s">
        <v>43</v>
      </c>
      <c r="C51" s="333">
        <v>0</v>
      </c>
      <c r="D51" s="333">
        <v>0</v>
      </c>
      <c r="E51" s="333">
        <v>19</v>
      </c>
      <c r="F51" s="333">
        <v>3671150</v>
      </c>
    </row>
    <row r="52" spans="1:6">
      <c r="A52" s="1277" t="s">
        <v>42</v>
      </c>
      <c r="B52" s="1277" t="s">
        <v>29</v>
      </c>
      <c r="C52" s="333">
        <v>2</v>
      </c>
      <c r="D52" s="333">
        <v>486332</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137</v>
      </c>
      <c r="F54" s="333">
        <v>1868513</v>
      </c>
    </row>
    <row r="55" spans="1:6">
      <c r="A55" s="1277" t="s">
        <v>46</v>
      </c>
      <c r="B55" s="1277" t="s">
        <v>29</v>
      </c>
      <c r="C55" s="333">
        <v>0</v>
      </c>
      <c r="D55" s="333">
        <v>0</v>
      </c>
      <c r="E55" s="333">
        <v>0</v>
      </c>
      <c r="F55" s="333">
        <v>0</v>
      </c>
    </row>
    <row r="56" spans="1:6">
      <c r="A56" s="1277" t="s">
        <v>48</v>
      </c>
      <c r="B56" s="1277" t="s">
        <v>29</v>
      </c>
      <c r="C56" s="333">
        <v>79</v>
      </c>
      <c r="D56" s="333">
        <v>3614698</v>
      </c>
      <c r="E56" s="333">
        <v>277</v>
      </c>
      <c r="F56" s="333">
        <v>3328293</v>
      </c>
    </row>
    <row r="57" spans="1:6">
      <c r="A57" s="1277" t="s">
        <v>49</v>
      </c>
      <c r="B57" s="1277" t="s">
        <v>50</v>
      </c>
      <c r="C57" s="333">
        <v>49</v>
      </c>
      <c r="D57" s="333">
        <v>9987327</v>
      </c>
      <c r="E57" s="333">
        <v>142</v>
      </c>
      <c r="F57" s="333">
        <v>4100717</v>
      </c>
    </row>
    <row r="58" spans="1:6">
      <c r="A58" s="1277" t="s">
        <v>49</v>
      </c>
      <c r="B58" s="1277" t="s">
        <v>51</v>
      </c>
      <c r="C58" s="333">
        <v>26</v>
      </c>
      <c r="D58" s="333">
        <v>8968263</v>
      </c>
      <c r="E58" s="333">
        <v>45</v>
      </c>
      <c r="F58" s="333">
        <v>6205650</v>
      </c>
    </row>
    <row r="59" spans="1:6">
      <c r="A59" s="1277" t="s">
        <v>49</v>
      </c>
      <c r="B59" s="1277" t="s">
        <v>52</v>
      </c>
      <c r="C59" s="333">
        <v>140</v>
      </c>
      <c r="D59" s="333">
        <v>10063326</v>
      </c>
      <c r="E59" s="333">
        <v>300</v>
      </c>
      <c r="F59" s="333">
        <v>10737489</v>
      </c>
    </row>
    <row r="60" spans="1:6">
      <c r="A60" s="1277" t="s">
        <v>49</v>
      </c>
      <c r="B60" s="1277" t="s">
        <v>53</v>
      </c>
      <c r="C60" s="333">
        <v>66</v>
      </c>
      <c r="D60" s="333">
        <v>3616556</v>
      </c>
      <c r="E60" s="333">
        <v>110</v>
      </c>
      <c r="F60" s="333">
        <v>4017279</v>
      </c>
    </row>
    <row r="61" spans="1:6">
      <c r="A61" s="1277" t="s">
        <v>49</v>
      </c>
      <c r="B61" s="1277" t="s">
        <v>54</v>
      </c>
      <c r="C61" s="333">
        <v>151</v>
      </c>
      <c r="D61" s="333">
        <v>12078536</v>
      </c>
      <c r="E61" s="333">
        <v>437</v>
      </c>
      <c r="F61" s="333">
        <v>8528794</v>
      </c>
    </row>
    <row r="62" spans="1:6">
      <c r="A62" s="1277" t="s">
        <v>49</v>
      </c>
      <c r="B62" s="1277" t="s">
        <v>55</v>
      </c>
      <c r="C62" s="333">
        <v>6</v>
      </c>
      <c r="D62" s="333">
        <v>1116232</v>
      </c>
      <c r="E62" s="333">
        <v>14</v>
      </c>
      <c r="F62" s="333">
        <v>674062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8742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268735</v>
      </c>
      <c r="E68" s="333">
        <v>15</v>
      </c>
      <c r="F68" s="333">
        <v>348233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73410241</v>
      </c>
      <c r="E73" s="333">
        <v>99438064.445308074</v>
      </c>
      <c r="F73" s="333">
        <v>81037696</v>
      </c>
    </row>
    <row r="74" spans="1:6">
      <c r="A74" s="1277" t="s">
        <v>64</v>
      </c>
      <c r="B74" s="1277" t="s">
        <v>774</v>
      </c>
      <c r="C74" s="1288" t="s">
        <v>775</v>
      </c>
      <c r="D74" s="333">
        <v>2321449.9374147877</v>
      </c>
      <c r="E74" s="333">
        <v>3344904.1203942411</v>
      </c>
      <c r="F74" s="333">
        <v>2839165.118482586</v>
      </c>
    </row>
    <row r="75" spans="1:6">
      <c r="A75" s="1277" t="s">
        <v>65</v>
      </c>
      <c r="B75" s="1277" t="s">
        <v>772</v>
      </c>
      <c r="C75" s="1288" t="s">
        <v>776</v>
      </c>
      <c r="D75" s="333">
        <v>49218826</v>
      </c>
      <c r="E75" s="333">
        <v>66469409.309763104</v>
      </c>
      <c r="F75" s="333">
        <v>54197267</v>
      </c>
    </row>
    <row r="76" spans="1:6">
      <c r="A76" s="1277" t="s">
        <v>65</v>
      </c>
      <c r="B76" s="1277" t="s">
        <v>774</v>
      </c>
      <c r="C76" s="1288" t="s">
        <v>777</v>
      </c>
      <c r="D76" s="333">
        <v>424938.93741478765</v>
      </c>
      <c r="E76" s="333">
        <v>920377.421682899</v>
      </c>
      <c r="F76" s="333">
        <v>637414.11848258576</v>
      </c>
    </row>
    <row r="77" spans="1:6">
      <c r="A77" s="1277" t="s">
        <v>66</v>
      </c>
      <c r="B77" s="1277" t="s">
        <v>772</v>
      </c>
      <c r="C77" s="1288" t="s">
        <v>778</v>
      </c>
      <c r="D77" s="333">
        <v>150774714</v>
      </c>
      <c r="E77" s="333">
        <v>180717925.55962238</v>
      </c>
      <c r="F77" s="333">
        <v>159836256</v>
      </c>
    </row>
    <row r="78" spans="1:6">
      <c r="A78" s="1273" t="s">
        <v>66</v>
      </c>
      <c r="B78" s="1273" t="s">
        <v>774</v>
      </c>
      <c r="C78" s="1273" t="s">
        <v>779</v>
      </c>
      <c r="D78" s="1273">
        <v>28877673</v>
      </c>
      <c r="E78" s="1273">
        <v>32481821.398927994</v>
      </c>
      <c r="F78" s="336">
        <v>29884275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1003996.1251704247</v>
      </c>
      <c r="C83" s="333">
        <v>918038.65183222876</v>
      </c>
      <c r="D83" s="333">
        <v>933959.76303482847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4161.6644451005022</v>
      </c>
    </row>
    <row r="92" spans="1:6">
      <c r="A92" s="1273" t="s">
        <v>69</v>
      </c>
      <c r="B92" s="336">
        <v>7423.8216572785286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1923</v>
      </c>
    </row>
    <row r="98" spans="1:6">
      <c r="A98" s="1277" t="s">
        <v>72</v>
      </c>
      <c r="B98" s="333">
        <v>7</v>
      </c>
    </row>
    <row r="99" spans="1:6">
      <c r="A99" s="1277" t="s">
        <v>73</v>
      </c>
      <c r="B99" s="333">
        <v>53</v>
      </c>
    </row>
    <row r="100" spans="1:6">
      <c r="A100" s="1277" t="s">
        <v>74</v>
      </c>
      <c r="B100" s="333">
        <v>335</v>
      </c>
    </row>
    <row r="101" spans="1:6">
      <c r="A101" s="1277" t="s">
        <v>75</v>
      </c>
      <c r="B101" s="333">
        <v>65</v>
      </c>
    </row>
    <row r="102" spans="1:6">
      <c r="A102" s="1277" t="s">
        <v>76</v>
      </c>
      <c r="B102" s="333">
        <v>118</v>
      </c>
    </row>
    <row r="103" spans="1:6">
      <c r="A103" s="1277" t="s">
        <v>77</v>
      </c>
      <c r="B103" s="333">
        <v>185</v>
      </c>
    </row>
    <row r="104" spans="1:6">
      <c r="A104" s="1277" t="s">
        <v>78</v>
      </c>
      <c r="B104" s="333">
        <v>7729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55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84</v>
      </c>
    </row>
    <row r="130" spans="1:6">
      <c r="A130" s="1277" t="s">
        <v>295</v>
      </c>
      <c r="B130" s="333">
        <v>1</v>
      </c>
    </row>
    <row r="131" spans="1:6">
      <c r="A131" s="1277" t="s">
        <v>296</v>
      </c>
      <c r="B131" s="333">
        <v>7</v>
      </c>
    </row>
    <row r="132" spans="1:6">
      <c r="A132" s="1273" t="s">
        <v>297</v>
      </c>
      <c r="B132" s="336">
        <v>15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138831.89430862997</v>
      </c>
      <c r="C3" s="43" t="s">
        <v>170</v>
      </c>
      <c r="D3" s="43"/>
      <c r="E3" s="156"/>
      <c r="F3" s="43"/>
      <c r="G3" s="43"/>
      <c r="H3" s="43"/>
      <c r="I3" s="43"/>
      <c r="J3" s="43"/>
      <c r="K3" s="96"/>
    </row>
    <row r="4" spans="1:11">
      <c r="A4" s="364" t="s">
        <v>171</v>
      </c>
      <c r="B4" s="49">
        <f>IF(ISERROR('SEAP template'!B78+'SEAP template'!C78),0,'SEAP template'!B78+'SEAP template'!C78)</f>
        <v>11585.486102379031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0.20255760647525353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1868.5129999999999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1868.5129999999999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0.20255760647525353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378.48152094789538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51093.06</v>
      </c>
      <c r="C5" s="17">
        <f>IF(ISERROR('Eigen informatie GS &amp; warmtenet'!B57),0,'Eigen informatie GS &amp; warmtenet'!B57)</f>
        <v>0</v>
      </c>
      <c r="D5" s="30">
        <f>(SUM(HH_hh_gas_kWh,HH_rest_gas_kWh)/1000)*0.902</f>
        <v>105486.51962200001</v>
      </c>
      <c r="E5" s="17">
        <f>B46*B57</f>
        <v>4490.7292716550955</v>
      </c>
      <c r="F5" s="17">
        <f>B51*B62</f>
        <v>105642.1564523259</v>
      </c>
      <c r="G5" s="18"/>
      <c r="H5" s="17"/>
      <c r="I5" s="17"/>
      <c r="J5" s="17">
        <f>B50*B61+C50*C61</f>
        <v>0</v>
      </c>
      <c r="K5" s="17"/>
      <c r="L5" s="17"/>
      <c r="M5" s="17"/>
      <c r="N5" s="17">
        <f>B48*B59+C48*C59</f>
        <v>15935.080505480157</v>
      </c>
      <c r="O5" s="17">
        <f>B69*B70*B71</f>
        <v>217.30333333333337</v>
      </c>
      <c r="P5" s="17">
        <f>B77*B78*B79/1000-B77*B78*B79/1000/B80</f>
        <v>495.73333333333335</v>
      </c>
    </row>
    <row r="6" spans="1:16">
      <c r="A6" s="16" t="s">
        <v>632</v>
      </c>
      <c r="B6" s="779">
        <f>kWh_PV_kleiner_dan_10kW</f>
        <v>4161.6644451005022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55254.724445100503</v>
      </c>
      <c r="C8" s="21">
        <f>C5</f>
        <v>0</v>
      </c>
      <c r="D8" s="21">
        <f>D5</f>
        <v>105486.51962200001</v>
      </c>
      <c r="E8" s="21">
        <f>E5</f>
        <v>4490.7292716550955</v>
      </c>
      <c r="F8" s="21">
        <f>F5</f>
        <v>105642.1564523259</v>
      </c>
      <c r="G8" s="21"/>
      <c r="H8" s="21"/>
      <c r="I8" s="21"/>
      <c r="J8" s="21">
        <f>J5</f>
        <v>0</v>
      </c>
      <c r="K8" s="21"/>
      <c r="L8" s="21">
        <f>L5</f>
        <v>0</v>
      </c>
      <c r="M8" s="21">
        <f>M5</f>
        <v>0</v>
      </c>
      <c r="N8" s="21">
        <f>N5</f>
        <v>15935.080505480157</v>
      </c>
      <c r="O8" s="21">
        <f>O5</f>
        <v>217.30333333333337</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0.20255760647525353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11192.264730049239</v>
      </c>
      <c r="C12" s="23">
        <f ca="1">C10*C8</f>
        <v>0</v>
      </c>
      <c r="D12" s="23">
        <f>D8*D10</f>
        <v>21308.276963644003</v>
      </c>
      <c r="E12" s="23">
        <f>E10*E8</f>
        <v>1019.3955446657067</v>
      </c>
      <c r="F12" s="23">
        <f>F10*F8</f>
        <v>28206.455772771016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1923</v>
      </c>
      <c r="C18" s="167" t="s">
        <v>111</v>
      </c>
      <c r="D18" s="229"/>
      <c r="E18" s="15"/>
    </row>
    <row r="19" spans="1:7">
      <c r="A19" s="172" t="s">
        <v>72</v>
      </c>
      <c r="B19" s="37">
        <f>aantalw2001_ander</f>
        <v>7</v>
      </c>
      <c r="C19" s="167" t="s">
        <v>111</v>
      </c>
      <c r="D19" s="230"/>
      <c r="E19" s="15"/>
    </row>
    <row r="20" spans="1:7">
      <c r="A20" s="172" t="s">
        <v>73</v>
      </c>
      <c r="B20" s="37">
        <f>aantalw2001_propaan</f>
        <v>53</v>
      </c>
      <c r="C20" s="168">
        <f>IF(ISERROR(B20/SUM($B$20,$B$21,$B$22)*100),0,B20/SUM($B$20,$B$21,$B$22)*100)</f>
        <v>11.699779249448124</v>
      </c>
      <c r="D20" s="230"/>
      <c r="E20" s="15"/>
    </row>
    <row r="21" spans="1:7">
      <c r="A21" s="172" t="s">
        <v>74</v>
      </c>
      <c r="B21" s="37">
        <f>aantalw2001_elektriciteit</f>
        <v>335</v>
      </c>
      <c r="C21" s="168">
        <f>IF(ISERROR(B21/SUM($B$20,$B$21,$B$22)*100),0,B21/SUM($B$20,$B$21,$B$22)*100)</f>
        <v>73.951434878587193</v>
      </c>
      <c r="D21" s="230"/>
      <c r="E21" s="15"/>
    </row>
    <row r="22" spans="1:7">
      <c r="A22" s="172" t="s">
        <v>75</v>
      </c>
      <c r="B22" s="37">
        <f>aantalw2001_hout</f>
        <v>65</v>
      </c>
      <c r="C22" s="168">
        <f>IF(ISERROR(B22/SUM($B$20,$B$21,$B$22)*100),0,B22/SUM($B$20,$B$21,$B$22)*100)</f>
        <v>14.348785871964681</v>
      </c>
      <c r="D22" s="230"/>
      <c r="E22" s="15"/>
    </row>
    <row r="23" spans="1:7">
      <c r="A23" s="172" t="s">
        <v>76</v>
      </c>
      <c r="B23" s="37">
        <f>aantalw2001_niet_gespec</f>
        <v>118</v>
      </c>
      <c r="C23" s="167" t="s">
        <v>111</v>
      </c>
      <c r="D23" s="229"/>
      <c r="E23" s="15"/>
    </row>
    <row r="24" spans="1:7">
      <c r="A24" s="172" t="s">
        <v>77</v>
      </c>
      <c r="B24" s="37">
        <f>aantalw2001_steenkool</f>
        <v>185</v>
      </c>
      <c r="C24" s="167" t="s">
        <v>111</v>
      </c>
      <c r="D24" s="230"/>
      <c r="E24" s="15"/>
    </row>
    <row r="25" spans="1:7">
      <c r="A25" s="172" t="s">
        <v>78</v>
      </c>
      <c r="B25" s="37">
        <f>aantalw2001_stookolie</f>
        <v>7729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11888</v>
      </c>
      <c r="C28" s="36"/>
      <c r="D28" s="229"/>
    </row>
    <row r="29" spans="1:7" s="15" customFormat="1">
      <c r="A29" s="231" t="s">
        <v>713</v>
      </c>
      <c r="B29" s="37">
        <f>SUM(HH_hh_gas_aantal,HH_rest_gas_aantal)</f>
        <v>5363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5363</v>
      </c>
      <c r="C32" s="168">
        <f>IF(ISERROR(B32/SUM($B$32,$B$34,$B$35,$B$36,$B$38,$B$39)*100),0,B32/SUM($B$32,$B$34,$B$35,$B$36,$B$38,$B$39)*100)</f>
        <v>45.211600067442255</v>
      </c>
      <c r="D32" s="234"/>
      <c r="G32" s="15"/>
    </row>
    <row r="33" spans="1:7">
      <c r="A33" s="172" t="s">
        <v>72</v>
      </c>
      <c r="B33" s="34" t="s">
        <v>111</v>
      </c>
      <c r="C33" s="168"/>
      <c r="D33" s="234"/>
      <c r="G33" s="15"/>
    </row>
    <row r="34" spans="1:7">
      <c r="A34" s="172" t="s">
        <v>73</v>
      </c>
      <c r="B34" s="33">
        <f>IF((($B$28-$B$32-$B$39-$B$77-$B$38)*C20/100)&lt;0,0,($B$28-$B$32-$B$39-$B$77-$B$38)*C20/100)</f>
        <v>218.31788079470201</v>
      </c>
      <c r="C34" s="168">
        <f>IF(ISERROR(B34/SUM($B$32,$B$34,$B$35,$B$36,$B$38,$B$39)*100),0,B34/SUM($B$32,$B$34,$B$35,$B$36,$B$38,$B$39)*100)</f>
        <v>1.8404812071716574</v>
      </c>
      <c r="D34" s="234"/>
      <c r="G34" s="15"/>
    </row>
    <row r="35" spans="1:7">
      <c r="A35" s="172" t="s">
        <v>74</v>
      </c>
      <c r="B35" s="33">
        <f>IF((($B$28-$B$32-$B$39-$B$77-$B$38)*C21/100)&lt;0,0,($B$28-$B$32-$B$39-$B$77-$B$38)*C21/100)</f>
        <v>1379.9337748344371</v>
      </c>
      <c r="C35" s="168">
        <f>IF(ISERROR(B35/SUM($B$32,$B$34,$B$35,$B$36,$B$38,$B$39)*100),0,B35/SUM($B$32,$B$34,$B$35,$B$36,$B$38,$B$39)*100)</f>
        <v>11.633230271745381</v>
      </c>
      <c r="D35" s="234"/>
      <c r="G35" s="15"/>
    </row>
    <row r="36" spans="1:7">
      <c r="A36" s="172" t="s">
        <v>75</v>
      </c>
      <c r="B36" s="33">
        <f>IF((($B$28-$B$32-$B$39-$B$77-$B$38)*C22/100)&lt;0,0,($B$28-$B$32-$B$39-$B$77-$B$38)*C22/100)</f>
        <v>267.74834437086093</v>
      </c>
      <c r="C36" s="168">
        <f>IF(ISERROR(B36/SUM($B$32,$B$34,$B$35,$B$36,$B$38,$B$39)*100),0,B36/SUM($B$32,$B$34,$B$35,$B$36,$B$38,$B$39)*100)</f>
        <v>2.2571939333237308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4633</v>
      </c>
      <c r="C39" s="168">
        <f>IF(ISERROR(B39/SUM($B$32,$B$34,$B$35,$B$36,$B$38,$B$39)*100),0,B39/SUM($B$32,$B$34,$B$35,$B$36,$B$38,$B$39)*100)</f>
        <v>39.057494520316979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5363</v>
      </c>
      <c r="C44" s="34" t="s">
        <v>111</v>
      </c>
      <c r="D44" s="175"/>
    </row>
    <row r="45" spans="1:7">
      <c r="A45" s="172" t="s">
        <v>72</v>
      </c>
      <c r="B45" s="33" t="str">
        <f t="shared" si="0"/>
        <v>-</v>
      </c>
      <c r="C45" s="34" t="s">
        <v>111</v>
      </c>
      <c r="D45" s="175"/>
    </row>
    <row r="46" spans="1:7">
      <c r="A46" s="172" t="s">
        <v>73</v>
      </c>
      <c r="B46" s="33">
        <f t="shared" si="0"/>
        <v>218.31788079470201</v>
      </c>
      <c r="C46" s="34" t="s">
        <v>111</v>
      </c>
      <c r="D46" s="175"/>
    </row>
    <row r="47" spans="1:7">
      <c r="A47" s="172" t="s">
        <v>74</v>
      </c>
      <c r="B47" s="33">
        <f t="shared" si="0"/>
        <v>1379.9337748344371</v>
      </c>
      <c r="C47" s="34" t="s">
        <v>111</v>
      </c>
      <c r="D47" s="175"/>
    </row>
    <row r="48" spans="1:7">
      <c r="A48" s="172" t="s">
        <v>75</v>
      </c>
      <c r="B48" s="33">
        <f t="shared" si="0"/>
        <v>267.74834437086093</v>
      </c>
      <c r="C48" s="33">
        <f>B48*10</f>
        <v>2677.4834437086092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4633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34263.990999999995</v>
      </c>
      <c r="C5" s="17">
        <f>IF(ISERROR('Eigen informatie GS &amp; warmtenet'!B58),0,'Eigen informatie GS &amp; warmtenet'!B58)</f>
        <v>0</v>
      </c>
      <c r="D5" s="30">
        <f>SUM(D6:D12)</f>
        <v>41338.876479999999</v>
      </c>
      <c r="E5" s="17">
        <f>SUM(E6:E12)</f>
        <v>608.37841020961798</v>
      </c>
      <c r="F5" s="17">
        <f>SUM(F6:F12)</f>
        <v>6751.8424556761138</v>
      </c>
      <c r="G5" s="18"/>
      <c r="H5" s="17"/>
      <c r="I5" s="17"/>
      <c r="J5" s="17">
        <f>SUM(J6:J12)</f>
        <v>0</v>
      </c>
      <c r="K5" s="17"/>
      <c r="L5" s="17"/>
      <c r="M5" s="17"/>
      <c r="N5" s="17">
        <f>SUM(N6:N12)</f>
        <v>1071.6924189547078</v>
      </c>
      <c r="O5" s="17">
        <f>B38*B39*B40</f>
        <v>1.5633333333333335</v>
      </c>
      <c r="P5" s="17">
        <f>B46*B47*B48/1000-B46*B47*B48/1000/B49</f>
        <v>133.46666666666667</v>
      </c>
      <c r="R5" s="32"/>
    </row>
    <row r="6" spans="1:18">
      <c r="A6" s="32" t="s">
        <v>54</v>
      </c>
      <c r="B6" s="37">
        <f>B26</f>
        <v>8528.7939999999999</v>
      </c>
      <c r="C6" s="33"/>
      <c r="D6" s="37">
        <f>IF(ISERROR(TER_kantoor_gas_kWh/1000),0,TER_kantoor_gas_kWh/1000)*0.902</f>
        <v>10894.839472</v>
      </c>
      <c r="E6" s="33">
        <f>$C$26*'E Balans VL '!I12/100/3.6*1000000</f>
        <v>298.54134011470023</v>
      </c>
      <c r="F6" s="33">
        <f>$C$26*('E Balans VL '!L12+'E Balans VL '!N12)/100/3.6*1000000</f>
        <v>1293.1482818128527</v>
      </c>
      <c r="G6" s="34"/>
      <c r="H6" s="33"/>
      <c r="I6" s="33"/>
      <c r="J6" s="33">
        <f>$C$26*('E Balans VL '!D12+'E Balans VL '!E12)/100/3.6*1000000</f>
        <v>0</v>
      </c>
      <c r="K6" s="33"/>
      <c r="L6" s="33"/>
      <c r="M6" s="33"/>
      <c r="N6" s="33">
        <f>$C$26*'E Balans VL '!Y12/100/3.6*1000000</f>
        <v>65.924908180944271</v>
      </c>
      <c r="O6" s="33"/>
      <c r="P6" s="33"/>
      <c r="R6" s="32"/>
    </row>
    <row r="7" spans="1:18">
      <c r="A7" s="32" t="s">
        <v>53</v>
      </c>
      <c r="B7" s="37">
        <f t="shared" ref="B7:B12" si="0">B27</f>
        <v>4017.279</v>
      </c>
      <c r="C7" s="33"/>
      <c r="D7" s="37">
        <f>IF(ISERROR(TER_horeca_gas_kWh/1000),0,TER_horeca_gas_kWh/1000)*0.902</f>
        <v>3262.1335120000003</v>
      </c>
      <c r="E7" s="33">
        <f>$C$27*'E Balans VL '!I9/100/3.6*1000000</f>
        <v>226.62795240150456</v>
      </c>
      <c r="F7" s="33">
        <f>$C$27*('E Balans VL '!L9+'E Balans VL '!N9)/100/3.6*1000000</f>
        <v>699.83223370743019</v>
      </c>
      <c r="G7" s="34"/>
      <c r="H7" s="33"/>
      <c r="I7" s="33"/>
      <c r="J7" s="33">
        <f>$C$27*('E Balans VL '!D9+'E Balans VL '!E9)/100/3.6*1000000</f>
        <v>0</v>
      </c>
      <c r="K7" s="33"/>
      <c r="L7" s="33"/>
      <c r="M7" s="33"/>
      <c r="N7" s="33">
        <f>$C$27*'E Balans VL '!Y9/100/3.6*1000000</f>
        <v>0</v>
      </c>
      <c r="O7" s="33"/>
      <c r="P7" s="33"/>
      <c r="R7" s="32"/>
    </row>
    <row r="8" spans="1:18">
      <c r="A8" s="6" t="s">
        <v>52</v>
      </c>
      <c r="B8" s="37">
        <f t="shared" si="0"/>
        <v>10737.489</v>
      </c>
      <c r="C8" s="33"/>
      <c r="D8" s="37">
        <f>IF(ISERROR(TER_handel_gas_kWh/1000),0,TER_handel_gas_kWh/1000)*0.902</f>
        <v>9077.1200520000002</v>
      </c>
      <c r="E8" s="33">
        <f>$C$28*'E Balans VL '!I13/100/3.6*1000000</f>
        <v>55.125177612939495</v>
      </c>
      <c r="F8" s="33">
        <f>$C$28*('E Balans VL '!L13+'E Balans VL '!N13)/100/3.6*1000000</f>
        <v>1655.5548925634178</v>
      </c>
      <c r="G8" s="34"/>
      <c r="H8" s="33"/>
      <c r="I8" s="33"/>
      <c r="J8" s="33">
        <f>$C$28*('E Balans VL '!D13+'E Balans VL '!E13)/100/3.6*1000000</f>
        <v>0</v>
      </c>
      <c r="K8" s="33"/>
      <c r="L8" s="33"/>
      <c r="M8" s="33"/>
      <c r="N8" s="33">
        <f>$C$28*'E Balans VL '!Y13/100/3.6*1000000</f>
        <v>5.0220546739955809</v>
      </c>
      <c r="O8" s="33"/>
      <c r="P8" s="33"/>
      <c r="R8" s="32"/>
    </row>
    <row r="9" spans="1:18">
      <c r="A9" s="32" t="s">
        <v>51</v>
      </c>
      <c r="B9" s="37">
        <f t="shared" si="0"/>
        <v>6205.65</v>
      </c>
      <c r="C9" s="33"/>
      <c r="D9" s="37">
        <f>IF(ISERROR(TER_gezond_gas_kWh/1000),0,TER_gezond_gas_kWh/1000)*0.902</f>
        <v>8089.3732260000006</v>
      </c>
      <c r="E9" s="33">
        <f>$C$29*'E Balans VL '!I10/100/3.6*1000000</f>
        <v>2.5721977299446412</v>
      </c>
      <c r="F9" s="33">
        <f>$C$29*('E Balans VL '!L10+'E Balans VL '!N10)/100/3.6*1000000</f>
        <v>1528.3625941069461</v>
      </c>
      <c r="G9" s="34"/>
      <c r="H9" s="33"/>
      <c r="I9" s="33"/>
      <c r="J9" s="33">
        <f>$C$29*('E Balans VL '!D10+'E Balans VL '!E10)/100/3.6*1000000</f>
        <v>0</v>
      </c>
      <c r="K9" s="33"/>
      <c r="L9" s="33"/>
      <c r="M9" s="33"/>
      <c r="N9" s="33">
        <f>$C$29*'E Balans VL '!Y10/100/3.6*1000000</f>
        <v>53.632175760187565</v>
      </c>
      <c r="O9" s="33"/>
      <c r="P9" s="33"/>
      <c r="R9" s="32"/>
    </row>
    <row r="10" spans="1:18">
      <c r="A10" s="32" t="s">
        <v>50</v>
      </c>
      <c r="B10" s="37">
        <f t="shared" si="0"/>
        <v>4100.7169999999996</v>
      </c>
      <c r="C10" s="33"/>
      <c r="D10" s="37">
        <f>IF(ISERROR(TER_ander_gas_kWh/1000),0,TER_ander_gas_kWh/1000)*0.902</f>
        <v>9008.5689540000003</v>
      </c>
      <c r="E10" s="33">
        <f>$C$30*'E Balans VL '!I14/100/3.6*1000000</f>
        <v>24.998072007749876</v>
      </c>
      <c r="F10" s="33">
        <f>$C$30*('E Balans VL '!L14+'E Balans VL '!N14)/100/3.6*1000000</f>
        <v>1087.1562501508688</v>
      </c>
      <c r="G10" s="34"/>
      <c r="H10" s="33"/>
      <c r="I10" s="33"/>
      <c r="J10" s="33">
        <f>$C$30*('E Balans VL '!D14+'E Balans VL '!E14)/100/3.6*1000000</f>
        <v>0</v>
      </c>
      <c r="K10" s="33"/>
      <c r="L10" s="33"/>
      <c r="M10" s="33"/>
      <c r="N10" s="33">
        <f>$C$30*'E Balans VL '!Y14/100/3.6*1000000</f>
        <v>945.12665852769783</v>
      </c>
      <c r="O10" s="33"/>
      <c r="P10" s="33"/>
      <c r="R10" s="32"/>
    </row>
    <row r="11" spans="1:18">
      <c r="A11" s="32" t="s">
        <v>55</v>
      </c>
      <c r="B11" s="37">
        <f t="shared" si="0"/>
        <v>674.06200000000001</v>
      </c>
      <c r="C11" s="33"/>
      <c r="D11" s="37">
        <f>IF(ISERROR(TER_onderwijs_gas_kWh/1000),0,TER_onderwijs_gas_kWh/1000)*0.902</f>
        <v>1006.841264</v>
      </c>
      <c r="E11" s="33">
        <f>$C$31*'E Balans VL '!I11/100/3.6*1000000</f>
        <v>0.51367034277913526</v>
      </c>
      <c r="F11" s="33">
        <f>$C$31*('E Balans VL '!L11+'E Balans VL '!N11)/100/3.6*1000000</f>
        <v>487.78820333459873</v>
      </c>
      <c r="G11" s="34"/>
      <c r="H11" s="33"/>
      <c r="I11" s="33"/>
      <c r="J11" s="33">
        <f>$C$31*('E Balans VL '!D11+'E Balans VL '!E11)/100/3.6*1000000</f>
        <v>0</v>
      </c>
      <c r="K11" s="33"/>
      <c r="L11" s="33"/>
      <c r="M11" s="33"/>
      <c r="N11" s="33">
        <f>$C$31*'E Balans VL '!Y11/100/3.6*1000000</f>
        <v>1.9866218118824799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34263.990999999995</v>
      </c>
      <c r="C16" s="21">
        <f ca="1">C5+C13+C14</f>
        <v>0</v>
      </c>
      <c r="D16" s="21">
        <f t="shared" ref="D16:N16" ca="1" si="1">MAX((D5+D13+D14),0)</f>
        <v>41338.876479999999</v>
      </c>
      <c r="E16" s="21">
        <f t="shared" si="1"/>
        <v>608.37841020961798</v>
      </c>
      <c r="F16" s="21">
        <f t="shared" ca="1" si="1"/>
        <v>6751.8424556761138</v>
      </c>
      <c r="G16" s="21">
        <f t="shared" si="1"/>
        <v>0</v>
      </c>
      <c r="H16" s="21">
        <f t="shared" si="1"/>
        <v>0</v>
      </c>
      <c r="I16" s="21">
        <f t="shared" si="1"/>
        <v>0</v>
      </c>
      <c r="J16" s="21">
        <f t="shared" si="1"/>
        <v>0</v>
      </c>
      <c r="K16" s="21">
        <f t="shared" si="1"/>
        <v>0</v>
      </c>
      <c r="L16" s="21">
        <f t="shared" ca="1" si="1"/>
        <v>0</v>
      </c>
      <c r="M16" s="21">
        <f t="shared" si="1"/>
        <v>0</v>
      </c>
      <c r="N16" s="21">
        <f t="shared" ca="1" si="1"/>
        <v>1071.6924189547078</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0.20255760647525353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6940.4320052496278</v>
      </c>
      <c r="C20" s="23">
        <f t="shared" ref="C20:P20" ca="1" si="2">C16*C18</f>
        <v>0</v>
      </c>
      <c r="D20" s="23">
        <f t="shared" ca="1" si="2"/>
        <v>8350.4530489600002</v>
      </c>
      <c r="E20" s="23">
        <f t="shared" si="2"/>
        <v>138.10189911758329</v>
      </c>
      <c r="F20" s="23">
        <f t="shared" ca="1" si="2"/>
        <v>1802.7419356655225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8528.7939999999999</v>
      </c>
      <c r="C26" s="39">
        <f>IF(ISERROR(B26*3.6/1000000/'E Balans VL '!Z12*100),0,B26*3.6/1000000/'E Balans VL '!Z12*100)</f>
        <v>0.17947432578979955</v>
      </c>
      <c r="D26" s="238" t="s">
        <v>719</v>
      </c>
      <c r="F26" s="6"/>
    </row>
    <row r="27" spans="1:18">
      <c r="A27" s="232" t="s">
        <v>53</v>
      </c>
      <c r="B27" s="33">
        <f>IF(ISERROR(TER_horeca_ele_kWh/1000),0,TER_horeca_ele_kWh/1000)</f>
        <v>4017.279</v>
      </c>
      <c r="C27" s="39">
        <f>IF(ISERROR(B27*3.6/1000000/'E Balans VL '!Z9*100),0,B27*3.6/1000000/'E Balans VL '!Z9*100)</f>
        <v>0.34013172448054813</v>
      </c>
      <c r="D27" s="238" t="s">
        <v>719</v>
      </c>
      <c r="F27" s="6"/>
    </row>
    <row r="28" spans="1:18">
      <c r="A28" s="172" t="s">
        <v>52</v>
      </c>
      <c r="B28" s="33">
        <f>IF(ISERROR(TER_handel_ele_kWh/1000),0,TER_handel_ele_kWh/1000)</f>
        <v>10737.489</v>
      </c>
      <c r="C28" s="39">
        <f>IF(ISERROR(B28*3.6/1000000/'E Balans VL '!Z13*100),0,B28*3.6/1000000/'E Balans VL '!Z13*100)</f>
        <v>0.29726589819526772</v>
      </c>
      <c r="D28" s="238" t="s">
        <v>719</v>
      </c>
      <c r="F28" s="6"/>
    </row>
    <row r="29" spans="1:18">
      <c r="A29" s="232" t="s">
        <v>51</v>
      </c>
      <c r="B29" s="33">
        <f>IF(ISERROR(TER_gezond_ele_kWh/1000),0,TER_gezond_ele_kWh/1000)</f>
        <v>6205.65</v>
      </c>
      <c r="C29" s="39">
        <f>IF(ISERROR(B29*3.6/1000000/'E Balans VL '!Z10*100),0,B29*3.6/1000000/'E Balans VL '!Z10*100)</f>
        <v>0.80666570234865109</v>
      </c>
      <c r="D29" s="238" t="s">
        <v>719</v>
      </c>
      <c r="F29" s="6"/>
    </row>
    <row r="30" spans="1:18">
      <c r="A30" s="232" t="s">
        <v>50</v>
      </c>
      <c r="B30" s="33">
        <f>IF(ISERROR(TER_ander_ele_kWh/1000),0,TER_ander_ele_kWh/1000)</f>
        <v>4100.7169999999996</v>
      </c>
      <c r="C30" s="39">
        <f>IF(ISERROR(B30*3.6/1000000/'E Balans VL '!Z14*100),0,B30*3.6/1000000/'E Balans VL '!Z14*100)</f>
        <v>0.31784317394768485</v>
      </c>
      <c r="D30" s="238" t="s">
        <v>719</v>
      </c>
      <c r="F30" s="6"/>
    </row>
    <row r="31" spans="1:18">
      <c r="A31" s="232" t="s">
        <v>55</v>
      </c>
      <c r="B31" s="33">
        <f>IF(ISERROR(TER_onderwijs_ele_kWh/1000),0,TER_onderwijs_ele_kWh/1000)</f>
        <v>674.06200000000001</v>
      </c>
      <c r="C31" s="39">
        <f>IF(ISERROR(B31*3.6/1000000/'E Balans VL '!Z11*100),0,B31*3.6/1000000/'E Balans VL '!Z11*100)</f>
        <v>0.12895954637341642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40443.040000000001</v>
      </c>
      <c r="C5" s="17">
        <f>IF(ISERROR('Eigen informatie GS &amp; warmtenet'!B59),0,'Eigen informatie GS &amp; warmtenet'!B59)</f>
        <v>0</v>
      </c>
      <c r="D5" s="30">
        <f>SUM(D6:D15)</f>
        <v>21575.064280000002</v>
      </c>
      <c r="E5" s="17">
        <f>SUM(E6:E15)</f>
        <v>523.35938029773331</v>
      </c>
      <c r="F5" s="17">
        <f>SUM(F6:F15)</f>
        <v>13184.625477016769</v>
      </c>
      <c r="G5" s="18"/>
      <c r="H5" s="17"/>
      <c r="I5" s="17"/>
      <c r="J5" s="17">
        <f>SUM(J6:J15)</f>
        <v>226.01292018043827</v>
      </c>
      <c r="K5" s="17"/>
      <c r="L5" s="17"/>
      <c r="M5" s="17"/>
      <c r="N5" s="17">
        <f>SUM(N6:N15)</f>
        <v>1156.432318251987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3270.9180000000001</v>
      </c>
      <c r="C8" s="33"/>
      <c r="D8" s="37">
        <f>IF( ISERROR(IND_metaal_Gas_kWH/1000),0,IND_metaal_Gas_kWH/1000)*0.902</f>
        <v>10160.814422000001</v>
      </c>
      <c r="E8" s="33">
        <f>C30*'E Balans VL '!I18/100/3.6*1000000</f>
        <v>22.984019090679592</v>
      </c>
      <c r="F8" s="33">
        <f>C30*'E Balans VL '!L18/100/3.6*1000000+C30*'E Balans VL '!N18/100/3.6*1000000</f>
        <v>359.12765964609736</v>
      </c>
      <c r="G8" s="34"/>
      <c r="H8" s="33"/>
      <c r="I8" s="33"/>
      <c r="J8" s="40">
        <f>C30*'E Balans VL '!D18/100/3.6*1000000+C30*'E Balans VL '!E18/100/3.6*1000000</f>
        <v>67.486088449745438</v>
      </c>
      <c r="K8" s="33"/>
      <c r="L8" s="33"/>
      <c r="M8" s="33"/>
      <c r="N8" s="33">
        <f>C30*'E Balans VL '!Y18/100/3.6*1000000</f>
        <v>12.259636235261686</v>
      </c>
      <c r="O8" s="33"/>
      <c r="P8" s="33"/>
      <c r="R8" s="32"/>
    </row>
    <row r="9" spans="1:18">
      <c r="A9" s="6" t="s">
        <v>33</v>
      </c>
      <c r="B9" s="37">
        <f t="shared" si="0"/>
        <v>10511.249</v>
      </c>
      <c r="C9" s="33"/>
      <c r="D9" s="37">
        <f>IF( ISERROR(IND_andere_gas_kWh/1000),0,IND_andere_gas_kWh/1000)*0.902</f>
        <v>4421.7663600000005</v>
      </c>
      <c r="E9" s="33">
        <f>C31*'E Balans VL '!I19/100/3.6*1000000</f>
        <v>176.5493036461549</v>
      </c>
      <c r="F9" s="33">
        <f>C31*'E Balans VL '!L19/100/3.6*1000000+C31*'E Balans VL '!N19/100/3.6*1000000</f>
        <v>8217.0957921586505</v>
      </c>
      <c r="G9" s="34"/>
      <c r="H9" s="33"/>
      <c r="I9" s="33"/>
      <c r="J9" s="40">
        <f>C31*'E Balans VL '!D19/100/3.6*1000000+C31*'E Balans VL '!E19/100/3.6*1000000</f>
        <v>0.94802187295915319</v>
      </c>
      <c r="K9" s="33"/>
      <c r="L9" s="33"/>
      <c r="M9" s="33"/>
      <c r="N9" s="33">
        <f>C31*'E Balans VL '!Y19/100/3.6*1000000</f>
        <v>779.05218904376363</v>
      </c>
      <c r="O9" s="33"/>
      <c r="P9" s="33"/>
      <c r="R9" s="32"/>
    </row>
    <row r="10" spans="1:18">
      <c r="A10" s="6" t="s">
        <v>41</v>
      </c>
      <c r="B10" s="37">
        <f t="shared" si="0"/>
        <v>6178.1049999999996</v>
      </c>
      <c r="C10" s="33"/>
      <c r="D10" s="37">
        <f>IF( ISERROR(IND_voed_gas_kWh/1000),0,IND_voed_gas_kWh/1000)*0.902</f>
        <v>1518.866976</v>
      </c>
      <c r="E10" s="33">
        <f>C32*'E Balans VL '!I20/100/3.6*1000000</f>
        <v>56.366462708590674</v>
      </c>
      <c r="F10" s="33">
        <f>C32*'E Balans VL '!L20/100/3.6*1000000+C32*'E Balans VL '!N20/100/3.6*1000000</f>
        <v>996.72157631561231</v>
      </c>
      <c r="G10" s="34"/>
      <c r="H10" s="33"/>
      <c r="I10" s="33"/>
      <c r="J10" s="40">
        <f>C32*'E Balans VL '!D20/100/3.6*1000000+C32*'E Balans VL '!E20/100/3.6*1000000</f>
        <v>25.445486951705764</v>
      </c>
      <c r="K10" s="33"/>
      <c r="L10" s="33"/>
      <c r="M10" s="33"/>
      <c r="N10" s="33">
        <f>C32*'E Balans VL '!Y20/100/3.6*1000000</f>
        <v>90.380804577481626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5164.3220000000001</v>
      </c>
      <c r="C12" s="33"/>
      <c r="D12" s="37">
        <f>IF( ISERROR(IND_min_gas_kWh/1000),0,IND_min_gas_kWh/1000)*0.902</f>
        <v>483.99245400000001</v>
      </c>
      <c r="E12" s="33">
        <f>C34*'E Balans VL '!I22/100/3.6*1000000</f>
        <v>128.09197506034121</v>
      </c>
      <c r="F12" s="33">
        <f>C34*'E Balans VL '!L22/100/3.6*1000000+C34*'E Balans VL '!N22/100/3.6*1000000</f>
        <v>548.75866086383701</v>
      </c>
      <c r="G12" s="34"/>
      <c r="H12" s="33"/>
      <c r="I12" s="33"/>
      <c r="J12" s="40">
        <f>C34*'E Balans VL '!D22/100/3.6*1000000+C34*'E Balans VL '!E22/100/3.6*1000000</f>
        <v>29.336379188949305</v>
      </c>
      <c r="K12" s="33"/>
      <c r="L12" s="33"/>
      <c r="M12" s="33"/>
      <c r="N12" s="33">
        <f>C34*'E Balans VL '!Y22/100/3.6*1000000</f>
        <v>0</v>
      </c>
      <c r="O12" s="33"/>
      <c r="P12" s="33"/>
      <c r="R12" s="32"/>
    </row>
    <row r="13" spans="1:18">
      <c r="A13" s="6" t="s">
        <v>39</v>
      </c>
      <c r="B13" s="37">
        <f t="shared" si="0"/>
        <v>51.616</v>
      </c>
      <c r="C13" s="33"/>
      <c r="D13" s="37">
        <f>IF( ISERROR(IND_papier_gas_kWh/1000),0,IND_papier_gas_kWh/1000)*0.902</f>
        <v>0</v>
      </c>
      <c r="E13" s="33">
        <f>C35*'E Balans VL '!I23/100/3.6*1000000</f>
        <v>1.5880896142372325</v>
      </c>
      <c r="F13" s="33">
        <f>C35*'E Balans VL '!L23/100/3.6*1000000+C35*'E Balans VL '!N23/100/3.6*1000000</f>
        <v>10.959880672622898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15266.83</v>
      </c>
      <c r="C15" s="33"/>
      <c r="D15" s="37">
        <f>IF( ISERROR(IND_rest_gas_kWh/1000),0,IND_rest_gas_kWh/1000)*0.902</f>
        <v>4989.6240680000001</v>
      </c>
      <c r="E15" s="33">
        <f>C37*'E Balans VL '!I15/100/3.6*1000000</f>
        <v>137.7795301777297</v>
      </c>
      <c r="F15" s="33">
        <f>C37*'E Balans VL '!L15/100/3.6*1000000+C37*'E Balans VL '!N15/100/3.6*1000000</f>
        <v>3051.9619073599474</v>
      </c>
      <c r="G15" s="34"/>
      <c r="H15" s="33"/>
      <c r="I15" s="33"/>
      <c r="J15" s="40">
        <f>C37*'E Balans VL '!D15/100/3.6*1000000+C37*'E Balans VL '!E15/100/3.6*1000000</f>
        <v>102.79694371707861</v>
      </c>
      <c r="K15" s="33"/>
      <c r="L15" s="33"/>
      <c r="M15" s="33"/>
      <c r="N15" s="33">
        <f>C37*'E Balans VL '!Y15/100/3.6*1000000</f>
        <v>274.73968839548007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40443.040000000001</v>
      </c>
      <c r="C18" s="21">
        <f>C5+C16</f>
        <v>0</v>
      </c>
      <c r="D18" s="21">
        <f>MAX((D5+D16),0)</f>
        <v>21575.064280000002</v>
      </c>
      <c r="E18" s="21">
        <f>MAX((E5+E16),0)</f>
        <v>523.35938029773331</v>
      </c>
      <c r="F18" s="21">
        <f>MAX((F5+F16),0)</f>
        <v>13184.625477016769</v>
      </c>
      <c r="G18" s="21"/>
      <c r="H18" s="21"/>
      <c r="I18" s="21"/>
      <c r="J18" s="21">
        <f>MAX((J5+J16),0)</f>
        <v>226.01292018043827</v>
      </c>
      <c r="K18" s="21"/>
      <c r="L18" s="21">
        <f>MAX((L5+L16),0)</f>
        <v>0</v>
      </c>
      <c r="M18" s="21"/>
      <c r="N18" s="21">
        <f>MAX((N5+N16),0)</f>
        <v>1156.432318251987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0.20255760647525353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8192.0453809829378</v>
      </c>
      <c r="C22" s="23">
        <f ca="1">C18*C20</f>
        <v>0</v>
      </c>
      <c r="D22" s="23">
        <f>D18*D20</f>
        <v>4358.162984560001</v>
      </c>
      <c r="E22" s="23">
        <f>E18*E20</f>
        <v>118.80257932758546</v>
      </c>
      <c r="F22" s="23">
        <f>F18*F20</f>
        <v>3520.2950023634776</v>
      </c>
      <c r="G22" s="23"/>
      <c r="H22" s="23"/>
      <c r="I22" s="23"/>
      <c r="J22" s="23">
        <f>J18*J20</f>
        <v>80.008573743875147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3270.9180000000001</v>
      </c>
      <c r="C30" s="39">
        <f>IF(ISERROR(B30*3.6/1000000/'E Balans VL '!Z18*100),0,B30*3.6/1000000/'E Balans VL '!Z18*100)</f>
        <v>0.21774700864990856</v>
      </c>
      <c r="D30" s="238" t="s">
        <v>719</v>
      </c>
    </row>
    <row r="31" spans="1:18">
      <c r="A31" s="6" t="s">
        <v>33</v>
      </c>
      <c r="B31" s="37">
        <f>IF( ISERROR(IND_ander_ele_kWh/1000),0,IND_ander_ele_kWh/1000)</f>
        <v>10511.249</v>
      </c>
      <c r="C31" s="39">
        <f>IF(ISERROR(B31*3.6/1000000/'E Balans VL '!Z19*100),0,B31*3.6/1000000/'E Balans VL '!Z19*100)</f>
        <v>0.46592201264886712</v>
      </c>
      <c r="D31" s="238" t="s">
        <v>719</v>
      </c>
    </row>
    <row r="32" spans="1:18">
      <c r="A32" s="172" t="s">
        <v>41</v>
      </c>
      <c r="B32" s="37">
        <f>IF( ISERROR(IND_voed_ele_kWh/1000),0,IND_voed_ele_kWh/1000)</f>
        <v>6178.1049999999996</v>
      </c>
      <c r="C32" s="39">
        <f>IF(ISERROR(B32*3.6/1000000/'E Balans VL '!Z20*100),0,B32*3.6/1000000/'E Balans VL '!Z20*100)</f>
        <v>0.20636642968948071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5164.3220000000001</v>
      </c>
      <c r="C34" s="39">
        <f>IF(ISERROR(B34*3.6/1000000/'E Balans VL '!Z22*100),0,B34*3.6/1000000/'E Balans VL '!Z22*100)</f>
        <v>1.0044039021473792</v>
      </c>
      <c r="D34" s="238" t="s">
        <v>719</v>
      </c>
    </row>
    <row r="35" spans="1:5">
      <c r="A35" s="172" t="s">
        <v>39</v>
      </c>
      <c r="B35" s="37">
        <f>IF( ISERROR(IND_papier_ele_kWh/1000),0,IND_papier_ele_kWh/1000)</f>
        <v>51.616</v>
      </c>
      <c r="C35" s="39">
        <f>IF(ISERROR(B35*3.6/1000000/'E Balans VL '!Z22*100),0,B35*3.6/1000000/'E Balans VL '!Z22*100)</f>
        <v>1.0038745030468497E-2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15266.83</v>
      </c>
      <c r="C37" s="39">
        <f>IF(ISERROR(B37*3.6/1000000/'E Balans VL '!Z15*100),0,B37*3.6/1000000/'E Balans VL '!Z15*100)</f>
        <v>0.11356034340641558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3671.15</v>
      </c>
      <c r="C5" s="17">
        <f>'Eigen informatie GS &amp; warmtenet'!B60</f>
        <v>0</v>
      </c>
      <c r="D5" s="30">
        <f>IF(ISERROR(SUM(LB_lb_gas_kWh,LB_rest_gas_kWh)/1000),0,SUM(LB_lb_gas_kWh,LB_rest_gas_kWh)/1000)*0.902</f>
        <v>438.67146400000001</v>
      </c>
      <c r="E5" s="17">
        <f>B17*'E Balans VL '!I25/3.6*1000000/100</f>
        <v>38.445077571564404</v>
      </c>
      <c r="F5" s="17">
        <f>B17*('E Balans VL '!L25/3.6*1000000+'E Balans VL '!N25/3.6*1000000)/100</f>
        <v>15715.311481571845</v>
      </c>
      <c r="G5" s="18"/>
      <c r="H5" s="17"/>
      <c r="I5" s="17"/>
      <c r="J5" s="17">
        <f>('E Balans VL '!D25+'E Balans VL '!E25)/3.6*1000000*landbouw!B17/100</f>
        <v>327.86660007879948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3671.15</v>
      </c>
      <c r="C8" s="21">
        <f>C5+C6</f>
        <v>0</v>
      </c>
      <c r="D8" s="21">
        <f>MAX((D5+D6),0)</f>
        <v>438.67146400000001</v>
      </c>
      <c r="E8" s="21">
        <f>MAX((E5+E6),0)</f>
        <v>38.445077571564404</v>
      </c>
      <c r="F8" s="21">
        <f>MAX((F5+F6),0)</f>
        <v>15715.311481571845</v>
      </c>
      <c r="G8" s="21"/>
      <c r="H8" s="21"/>
      <c r="I8" s="21"/>
      <c r="J8" s="21">
        <f>MAX((J5+J6),0)</f>
        <v>327.86660007879948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0.20255760647525353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743.61935701162702</v>
      </c>
      <c r="C12" s="23">
        <f ca="1">C8*C10</f>
        <v>0</v>
      </c>
      <c r="D12" s="23">
        <f>D8*D10</f>
        <v>88.61163572800001</v>
      </c>
      <c r="E12" s="23">
        <f>E8*E10</f>
        <v>8.7270326087451195</v>
      </c>
      <c r="F12" s="23">
        <f>F8*F10</f>
        <v>4195.9881655796826</v>
      </c>
      <c r="G12" s="23"/>
      <c r="H12" s="23"/>
      <c r="I12" s="23"/>
      <c r="J12" s="23">
        <f>J8*J10</f>
        <v>116.06477642789501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0.56506085129097983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24.450229783885028</v>
      </c>
      <c r="C26" s="248">
        <f>B26*'GWP N2O_CH4'!B5</f>
        <v>513.45482546158564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3.3918090238178369</v>
      </c>
      <c r="C27" s="248">
        <f>B27*'GWP N2O_CH4'!B5</f>
        <v>71.227989500174573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0.33630945914020455</v>
      </c>
      <c r="C28" s="248">
        <f>B28*'GWP N2O_CH4'!B4</f>
        <v>104.25593233346341</v>
      </c>
      <c r="D28" s="50"/>
    </row>
    <row r="29" spans="1:4">
      <c r="A29" s="41" t="s">
        <v>277</v>
      </c>
      <c r="B29" s="248">
        <f>B34*'ha_N2O bodem landbouw'!B4</f>
        <v>7.7104824474981717</v>
      </c>
      <c r="C29" s="248">
        <f>B29*'GWP N2O_CH4'!B4</f>
        <v>2390.2495587244334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1.2742584915872177E-3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7.8583087060830675E-6</v>
      </c>
      <c r="C5" s="446" t="s">
        <v>211</v>
      </c>
      <c r="D5" s="431">
        <f>SUM(D6:D11)</f>
        <v>3.9392521119639186E-5</v>
      </c>
      <c r="E5" s="431">
        <f>SUM(E6:E11)</f>
        <v>4.5069624865824581E-3</v>
      </c>
      <c r="F5" s="444" t="s">
        <v>211</v>
      </c>
      <c r="G5" s="431">
        <f>SUM(G6:G11)</f>
        <v>0.81049332511900074</v>
      </c>
      <c r="H5" s="431">
        <f>SUM(H6:H11)</f>
        <v>0.13475560933150219</v>
      </c>
      <c r="I5" s="446" t="s">
        <v>211</v>
      </c>
      <c r="J5" s="446" t="s">
        <v>211</v>
      </c>
      <c r="K5" s="446" t="s">
        <v>211</v>
      </c>
      <c r="L5" s="446" t="s">
        <v>211</v>
      </c>
      <c r="M5" s="431">
        <f>SUM(M6:M11)</f>
        <v>4.1233442745521078E-2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2.1099939944354903E-6</v>
      </c>
      <c r="C6" s="432"/>
      <c r="D6" s="432">
        <f>vkm_2011_GW_PW*SUMIFS(TableVerdeelsleutelVkm[CNG],TableVerdeelsleutelVkm[Voertuigtype],"Lichte voertuigen")*SUMIFS(TableECFTransport[EnergieConsumptieFactor (PJ per km)],TableECFTransport[Index],CONCATENATE($A6,"_CNG_CNG"))</f>
        <v>9.0959388445802848E-6</v>
      </c>
      <c r="E6" s="434">
        <f>vkm_2011_GW_PW*SUMIFS(TableVerdeelsleutelVkm[LPG],TableVerdeelsleutelVkm[Voertuigtype],"Lichte voertuigen")*SUMIFS(TableECFTransport[EnergieConsumptieFactor (PJ per km)],TableECFTransport[Index],CONCATENATE($A6,"_LPG_LPG"))</f>
        <v>9.4637662526920682E-4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0.1164069229758805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3.0647530516547988E-2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6.4446311581056182E-3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2.1709536476628762E-2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7.4438992147373065E-6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9.3781129917276532E-4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1.4146722018412306E-6</v>
      </c>
      <c r="C8" s="432"/>
      <c r="D8" s="434">
        <f>vkm_2011_NGW_PW*SUMIFS(TableVerdeelsleutelVkm[CNG],TableVerdeelsleutelVkm[Voertuigtype],"Lichte voertuigen")*SUMIFS(TableECFTransport[EnergieConsumptieFactor (PJ per km)],TableECFTransport[Index],CONCATENATE($A8,"_CNG_CNG"))</f>
        <v>1.094083497380733E-5</v>
      </c>
      <c r="E8" s="434">
        <f>vkm_2011_NGW_PW*SUMIFS(TableVerdeelsleutelVkm[LPG],TableVerdeelsleutelVkm[Voertuigtype],"Lichte voertuigen")*SUMIFS(TableECFTransport[EnergieConsumptieFactor (PJ per km)],TableECFTransport[Index],CONCATENATE($A8,"_LPG_LPG"))</f>
        <v>1.0393767496176488E-3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0.12125920360911313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3.5188875304719043E-2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6.8642702415191072E-3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5.5218742569741177E-3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1.6448212755582266E-6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2.385231223320366E-4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4.333642509806346E-6</v>
      </c>
      <c r="C10" s="432"/>
      <c r="D10" s="434">
        <f>vkm_2011_SW_PW*SUMIFS(TableVerdeelsleutelVkm[CNG],TableVerdeelsleutelVkm[Voertuigtype],"Lichte voertuigen")*SUMIFS(TableECFTransport[EnergieConsumptieFactor (PJ per km)],TableECFTransport[Index],CONCATENATE($A10,"_CNG_CNG"))</f>
        <v>1.9355747301251574E-5</v>
      </c>
      <c r="E10" s="434">
        <f>vkm_2011_SW_PW*SUMIFS(TableVerdeelsleutelVkm[LPG],TableVerdeelsleutelVkm[Voertuigtype],"Lichte voertuigen")*SUMIFS(TableECFTransport[EnergieConsumptieFactor (PJ per km)],TableECFTransport[Index],CONCATENATE($A10,"_LPG_LPG"))</f>
        <v>2.5212091116956019E-3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0.2851018571508403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6.8814814234916519E-2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1.5495080498072755E-2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0.26049393064956394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9.5300554828352165E-5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1.1253126426318793E-2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2.1828635294675189</v>
      </c>
      <c r="C14" s="21"/>
      <c r="D14" s="21">
        <f t="shared" ref="D14:M14" si="0">((D5)*10^9/3600)+D12</f>
        <v>10.942366977677551</v>
      </c>
      <c r="E14" s="21">
        <f t="shared" si="0"/>
        <v>1251.9340240506829</v>
      </c>
      <c r="F14" s="21"/>
      <c r="G14" s="21">
        <f t="shared" si="0"/>
        <v>225137.034755278</v>
      </c>
      <c r="H14" s="21">
        <f t="shared" si="0"/>
        <v>37432.113703195057</v>
      </c>
      <c r="I14" s="21"/>
      <c r="J14" s="21"/>
      <c r="K14" s="21"/>
      <c r="L14" s="21"/>
      <c r="M14" s="21">
        <f t="shared" si="0"/>
        <v>11453.734095978076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0.20255760647525353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0.44215561179106472</v>
      </c>
      <c r="C18" s="23"/>
      <c r="D18" s="23">
        <f t="shared" ref="D18:M18" si="1">D14*D16</f>
        <v>2.2103581294908654</v>
      </c>
      <c r="E18" s="23">
        <f t="shared" si="1"/>
        <v>284.18902345950499</v>
      </c>
      <c r="F18" s="23"/>
      <c r="G18" s="23">
        <f t="shared" si="1"/>
        <v>60111.588279659227</v>
      </c>
      <c r="H18" s="23">
        <f t="shared" si="1"/>
        <v>9320.5963120955694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1.3182855522441252E-2</v>
      </c>
      <c r="H50" s="322">
        <f t="shared" si="2"/>
        <v>0</v>
      </c>
      <c r="I50" s="322">
        <f t="shared" si="2"/>
        <v>0</v>
      </c>
      <c r="J50" s="322">
        <f t="shared" si="2"/>
        <v>0</v>
      </c>
      <c r="K50" s="322">
        <f t="shared" si="2"/>
        <v>0</v>
      </c>
      <c r="L50" s="322">
        <f t="shared" si="2"/>
        <v>0</v>
      </c>
      <c r="M50" s="322">
        <f t="shared" si="2"/>
        <v>5.6192785831476989E-4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1.3182855522441252E-2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5.6192785831476989E-4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3661.9043117892365</v>
      </c>
      <c r="H54" s="21">
        <f t="shared" si="3"/>
        <v>0</v>
      </c>
      <c r="I54" s="21">
        <f t="shared" si="3"/>
        <v>0</v>
      </c>
      <c r="J54" s="21">
        <f t="shared" si="3"/>
        <v>0</v>
      </c>
      <c r="K54" s="21">
        <f t="shared" si="3"/>
        <v>0</v>
      </c>
      <c r="L54" s="21">
        <f t="shared" si="3"/>
        <v>0</v>
      </c>
      <c r="M54" s="21">
        <f t="shared" si="3"/>
        <v>156.09107175410276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0.20255760647525353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977.72845124772618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11585.486102379031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11585.486102379031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2019-08-12T09:22:46Z</dcterms:modified>
</cp:coreProperties>
</file>