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E90" i="14"/>
  <c r="E18" i="55"/>
  <c r="L78" i="14"/>
  <c r="L8" i="55"/>
  <c r="L10" s="1"/>
  <c r="O78" i="14"/>
  <c r="O9" i="55"/>
  <c r="C77" i="14"/>
  <c r="C9" i="55" s="1"/>
  <c r="F9"/>
  <c r="N78" i="14"/>
  <c r="N9" i="55"/>
  <c r="R25" i="14"/>
  <c r="P22"/>
  <c r="G20" i="55"/>
  <c r="M87" i="14"/>
  <c r="P32" i="48"/>
  <c r="G101" i="18"/>
  <c r="K22" i="14"/>
  <c r="D22"/>
  <c r="L22"/>
  <c r="G10" i="55"/>
  <c r="L20"/>
  <c r="P31" i="48"/>
  <c r="C101" i="18"/>
  <c r="G78" i="14"/>
  <c r="G9" i="55"/>
  <c r="M76" i="14"/>
  <c r="M8" i="55" s="1"/>
  <c r="M10" s="1"/>
  <c r="E20"/>
  <c r="D10"/>
  <c r="K20"/>
  <c r="F101" i="18"/>
  <c r="F90" i="14"/>
  <c r="F18" i="55"/>
  <c r="F20" s="1"/>
  <c r="N90" i="14"/>
  <c r="N18" i="55"/>
  <c r="N20" s="1"/>
  <c r="N10"/>
  <c r="L90" i="14"/>
  <c r="O20" i="55"/>
  <c r="H90" i="14"/>
  <c r="Q22"/>
  <c r="F76"/>
  <c r="Q76" s="1"/>
  <c r="P8" i="55" s="1"/>
  <c r="R9" i="14"/>
  <c r="O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78" l="1"/>
  <c r="F8" i="55"/>
  <c r="F10" s="1"/>
  <c r="F78" i="14"/>
  <c r="Q78"/>
  <c r="B9" i="6" s="1"/>
  <c r="P9" i="55"/>
  <c r="P10" s="1"/>
  <c r="M90" i="14"/>
  <c r="M17" i="55"/>
  <c r="M2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1"/>
  <c r="N30"/>
  <c r="N28"/>
  <c r="N27"/>
  <c r="N29"/>
  <c r="N24"/>
  <c r="L10" i="14"/>
  <c r="L16" s="1"/>
  <c r="L27" s="1"/>
  <c r="K5" i="48"/>
  <c r="L32"/>
  <c r="L30"/>
  <c r="L22"/>
  <c r="L28"/>
  <c r="L24"/>
  <c r="L29"/>
  <c r="L27"/>
  <c r="L31"/>
  <c r="B10"/>
  <c r="C19" i="14"/>
  <c r="I5" i="48"/>
  <c r="J10" i="14"/>
  <c r="J16" s="1"/>
  <c r="J27" s="1"/>
  <c r="J32" i="48"/>
  <c r="J31"/>
  <c r="J30"/>
  <c r="J28"/>
  <c r="J29"/>
  <c r="J27"/>
  <c r="J24"/>
  <c r="Q11" i="14"/>
  <c r="P4" i="48"/>
  <c r="B8" i="9"/>
  <c r="B6" i="48" s="1"/>
  <c r="Q6" s="1"/>
  <c r="N10" i="14"/>
  <c r="N16" s="1"/>
  <c r="M5" i="48"/>
  <c r="E30"/>
  <c r="E24"/>
  <c r="E32"/>
  <c r="E31"/>
  <c r="E28"/>
  <c r="E29"/>
  <c r="M26"/>
  <c r="M32"/>
  <c r="M30"/>
  <c r="M24"/>
  <c r="M29"/>
  <c r="M22"/>
  <c r="M25"/>
  <c r="D22"/>
  <c r="D30"/>
  <c r="D24"/>
  <c r="D31"/>
  <c r="D28"/>
  <c r="D32"/>
  <c r="D29"/>
  <c r="P5"/>
  <c r="P23" s="1"/>
  <c r="Q10" i="14"/>
  <c r="P11"/>
  <c r="O4" i="48"/>
  <c r="D4"/>
  <c r="E11" i="14"/>
  <c r="H30" i="48"/>
  <c r="H32"/>
  <c r="H24"/>
  <c r="H28"/>
  <c r="H29"/>
  <c r="H26"/>
  <c r="H25"/>
  <c r="H22"/>
  <c r="H23"/>
  <c r="C18" i="16"/>
  <c r="F32" i="48"/>
  <c r="F29"/>
  <c r="F24"/>
  <c r="F28"/>
  <c r="F27"/>
  <c r="F31"/>
  <c r="F30"/>
  <c r="B7"/>
  <c r="C24" i="14"/>
  <c r="C26" s="1"/>
  <c r="K30" i="48"/>
  <c r="K32"/>
  <c r="K29"/>
  <c r="K28"/>
  <c r="K26"/>
  <c r="K24"/>
  <c r="K31"/>
  <c r="K25"/>
  <c r="K22"/>
  <c r="K27"/>
  <c r="I27"/>
  <c r="I28"/>
  <c r="I24"/>
  <c r="I32"/>
  <c r="I30"/>
  <c r="I29"/>
  <c r="I22"/>
  <c r="I31"/>
  <c r="I25"/>
  <c r="I26"/>
  <c r="H12" i="22"/>
  <c r="H13" i="48"/>
  <c r="H31" s="1"/>
  <c r="I18" i="14"/>
  <c r="C4" i="48"/>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I23" i="48"/>
  <c r="I33" s="1"/>
  <c r="I15"/>
  <c r="L46" i="14"/>
  <c r="L61" s="1"/>
  <c r="L63" s="1"/>
  <c r="O5" i="48"/>
  <c r="O23" s="1"/>
  <c r="P10" i="14"/>
  <c r="N18"/>
  <c r="M13" i="48"/>
  <c r="M31" s="1"/>
  <c r="H9"/>
  <c r="I20" i="14"/>
  <c r="G11"/>
  <c r="F4" i="48"/>
  <c r="F22" s="1"/>
  <c r="P22" i="16"/>
  <c r="Q43" i="14" s="1"/>
  <c r="Q13"/>
  <c r="P8" i="48"/>
  <c r="P26" s="1"/>
  <c r="Q16" i="14"/>
  <c r="Q27" s="1"/>
  <c r="D16" i="15"/>
  <c r="D5" i="48" s="1"/>
  <c r="I22" i="14"/>
  <c r="I27" s="1"/>
  <c r="J63"/>
  <c r="O22" i="48"/>
  <c r="M23"/>
  <c r="K23"/>
  <c r="K33" s="1"/>
  <c r="K15"/>
  <c r="P22"/>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P13" i="14"/>
  <c r="P16" s="1"/>
  <c r="P27" s="1"/>
  <c r="O8" i="48"/>
  <c r="N4"/>
  <c r="N22" s="1"/>
  <c r="O11" i="14"/>
  <c r="J4" i="48"/>
  <c r="J22" s="1"/>
  <c r="K11" i="14"/>
  <c r="G9" i="48"/>
  <c r="H20" i="14"/>
  <c r="H22" s="1"/>
  <c r="H27" s="1"/>
  <c r="C20"/>
  <c r="B9" i="48"/>
  <c r="G31"/>
  <c r="Q13"/>
  <c r="F20" i="14"/>
  <c r="F22" s="1"/>
  <c r="E9" i="48"/>
  <c r="E27" s="1"/>
  <c r="C15"/>
  <c r="R18" i="14"/>
  <c r="N19"/>
  <c r="M10" i="48"/>
  <c r="M28" s="1"/>
  <c r="E12" i="13"/>
  <c r="F41" i="14" s="1"/>
  <c r="F11"/>
  <c r="E4" i="48"/>
  <c r="P15"/>
  <c r="G10"/>
  <c r="H19" i="14"/>
  <c r="H27" i="48"/>
  <c r="H33" s="1"/>
  <c r="H15"/>
  <c r="P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P63"/>
  <c r="E22" i="48"/>
  <c r="Q4"/>
  <c r="O26"/>
  <c r="O33" s="1"/>
  <c r="O15"/>
  <c r="G28"/>
  <c r="Q10"/>
  <c r="G27"/>
  <c r="G33" s="1"/>
  <c r="G15"/>
  <c r="M18" i="22"/>
  <c r="N50" i="14" s="1"/>
  <c r="N52" s="1"/>
  <c r="N61" s="1"/>
  <c r="N20"/>
  <c r="R20" s="1"/>
  <c r="M9" i="48"/>
  <c r="C22" i="14"/>
  <c r="H52"/>
  <c r="H61" s="1"/>
  <c r="H63" s="1"/>
  <c r="D15" i="48"/>
  <c r="R11" i="14"/>
  <c r="R19"/>
  <c r="R22" s="1"/>
  <c r="J5" i="48"/>
  <c r="K10" i="14"/>
  <c r="E20" i="15"/>
  <c r="F40" i="14" s="1"/>
  <c r="E5" i="48"/>
  <c r="F10" i="14"/>
  <c r="L15" i="48"/>
  <c r="Q7"/>
  <c r="R24" i="14"/>
  <c r="R26" s="1"/>
  <c r="J18" i="16"/>
  <c r="N18"/>
  <c r="E18"/>
  <c r="F18"/>
  <c r="F22" s="1"/>
  <c r="G43" i="14" s="1"/>
  <c r="M27" i="48" l="1"/>
  <c r="M33" s="1"/>
  <c r="M15"/>
  <c r="Q9"/>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<sst xmlns="http://schemas.openxmlformats.org/spreadsheetml/2006/main" count="2523" uniqueCount="977">
  <si>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</si>
  <si>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</si>
  <si>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</si>
  <si>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</si>
  <si>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</si>
  <si>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</si>
  <si>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</si>
  <si>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</si>
  <si>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</si>
  <si>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</si>
  <si>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</si>
  <si>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</si>
  <si>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</si>
  <si>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</si>
  <si>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</si>
  <si>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</si>
  <si>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</si>
  <si>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</si>
  <si>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</si>
  <si>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</si>
  <si>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</si>
  <si>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</si>
  <si>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</si>
  <si>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</si>
  <si>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</si>
  <si>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</si>
  <si>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</si>
  <si>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</si>
  <si>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</si>
  <si>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</si>
  <si>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</si>
  <si>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</si>
  <si>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</si>
  <si>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</si>
  <si>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</si>
  <si>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</si>
  <si>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</si>
  <si>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</si>
  <si>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</si>
  <si>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</si>
  <si>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</si>
  <si>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</si>
  <si>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</si>
  <si>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</si>
  <si>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</si>
  <si>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</si>
  <si>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</si>
  <si>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</si>
  <si>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</si>
  <si>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</si>
  <si>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</si>
  <si>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</si>
  <si>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</si>
  <si>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</si>
  <si>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</si>
  <si>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</si>
  <si>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</si>
  <si>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</si>
  <si>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</si>
  <si>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</si>
  <si>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</si>
  <si>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</si>
  <si>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</si>
  <si>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</si>
  <si>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</si>
  <si>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</si>
  <si>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</si>
  <si>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</si>
  <si>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</si>
  <si>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</si>
  <si>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</si>
  <si>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</si>
  <si>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</si>
  <si>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</si>
  <si>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</si>
  <si>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</si>
  <si>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</si>
  <si>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</si>
  <si>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</si>
  <si>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</si>
  <si>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</si>
  <si>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</si>
  <si>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</si>
  <si>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</si>
  <si>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</si>
  <si>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</si>
  <si>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</si>
  <si>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</si>
  <si>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</si>
  <si>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</si>
  <si>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</si>
  <si>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</si>
  <si>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</si>
  <si>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</si>
  <si>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</si>
  <si>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</si>
  <si>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</si>
  <si>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</si>
  <si>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</si>
  <si>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</si>
  <si>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</si>
  <si>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</si>
  <si>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</si>
  <si>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</si>
  <si>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</si>
  <si>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</si>
  <si>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</si>
  <si>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</si>
  <si>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</si>
  <si>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</si>
  <si>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</si>
  <si>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</si>
  <si>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</si>
  <si>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</si>
  <si>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</si>
  <si>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</si>
  <si>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</si>
  <si>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</si>
  <si>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</si>
  <si>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</si>
  <si>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</si>
  <si>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</si>
  <si>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</si>
  <si>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</si>
  <si>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</si>
  <si>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</si>
  <si>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</si>
  <si>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</si>
  <si>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</si>
  <si>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</si>
  <si>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</si>
  <si>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</si>
  <si>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</si>
  <si>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</si>
  <si>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</si>
  <si>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</si>
  <si>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</si>
  <si>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</si>
  <si>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</si>
  <si>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</si>
  <si>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</si>
  <si>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</si>
  <si>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</si>
  <si>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</si>
  <si>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</si>
  <si>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</si>
  <si>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</si>
  <si>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</si>
  <si>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</si>
  <si>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</si>
  <si>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</si>
  <si>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</si>
  <si>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</si>
  <si>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</si>
  <si>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</si>
  <si>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</si>
  <si>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</si>
  <si>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</si>
  <si>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</si>
  <si>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</si>
  <si>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</si>
  <si>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</si>
  <si>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</si>
  <si>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</si>
  <si>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</si>
  <si>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</si>
  <si>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</si>
  <si>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</si>
  <si>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</si>
  <si>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</si>
  <si>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</si>
  <si>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</si>
  <si>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</si>
  <si>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</si>
  <si>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</si>
  <si>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</si>
  <si>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</si>
  <si>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</si>
  <si>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</si>
  <si>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</si>
  <si>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</si>
  <si>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</si>
  <si>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</si>
  <si>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</si>
  <si>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</si>
  <si>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</si>
  <si>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</si>
  <si>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</si>
  <si>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</si>
  <si>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</si>
  <si>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</si>
  <si>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</si>
  <si>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</si>
  <si>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</si>
  <si>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</si>
  <si>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</si>
  <si>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</si>
  <si>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</si>
  <si>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</si>
  <si>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</si>
  <si>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</si>
  <si>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</si>
  <si>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</si>
  <si>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</si>
  <si>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</si>
  <si>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</si>
  <si>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</si>
  <si>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</si>
  <si>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</si>
  <si>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</si>
  <si>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</si>
  <si>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</si>
  <si>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</si>
  <si>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</si>
  <si>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</si>
  <si>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</si>
  <si>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</si>
  <si>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</si>
  <si>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</si>
  <si>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</si>
  <si>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</si>
  <si>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</si>
  <si>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</si>
  <si>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</si>
  <si>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</si>
  <si>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</si>
  <si>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</si>
  <si>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</si>
  <si>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</si>
  <si>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</si>
  <si>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</si>
  <si>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</si>
  <si>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</si>
  <si>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</si>
  <si>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</si>
  <si>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</si>
  <si>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</si>
  <si>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</si>
  <si>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</si>
  <si>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</si>
  <si>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</si>
  <si>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</si>
  <si>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</si>
  <si>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</si>
  <si>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</si>
  <si>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</si>
  <si>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</si>
  <si>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</si>
  <si>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</si>
  <si>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</si>
  <si>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</si>
  <si>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</si>
  <si>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</si>
  <si>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</si>
  <si>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</si>
  <si>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</si>
  <si>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</si>
  <si>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</si>
  <si>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</si>
  <si>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</si>
  <si>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</si>
  <si>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</si>
  <si>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</si>
  <si>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</si>
  <si>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</si>
  <si>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</si>
  <si>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</si>
  <si>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</si>
  <si>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</si>
  <si>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</si>
  <si>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</si>
  <si>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</si>
  <si>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</si>
  <si>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</si>
  <si>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</si>
  <si>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</si>
  <si>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</si>
  <si>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</si>
  <si>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</si>
  <si>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</si>
  <si>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</si>
  <si>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</si>
  <si>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</si>
  <si>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</si>
  <si>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</si>
  <si>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</si>
  <si>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</si>
  <si>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</si>
  <si>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</si>
  <si>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</si>
  <si>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</si>
  <si>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</si>
  <si>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</si>
  <si>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</si>
  <si>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</si>
  <si>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</si>
  <si>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</si>
  <si>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</si>
  <si>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</si>
  <si>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</si>
  <si>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</si>
  <si>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</si>
  <si>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</si>
  <si>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</si>
  <si>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</si>
  <si>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</si>
  <si>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</si>
  <si>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</si>
  <si>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</si>
  <si>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</si>
  <si>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</si>
  <si>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</si>
  <si>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</si>
  <si>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</si>
  <si>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</si>
  <si>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</si>
  <si>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</si>
  <si>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</si>
  <si>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</si>
  <si>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</si>
  <si>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</si>
  <si>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</si>
  <si>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</si>
  <si>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</si>
  <si>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</si>
  <si>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</si>
  <si>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</si>
  <si>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</si>
  <si>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</si>
  <si>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</si>
  <si>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</si>
  <si>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</si>
  <si>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</si>
  <si>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</si>
  <si>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</si>
  <si>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</si>
  <si>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</si>
  <si>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</si>
  <si>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</si>
  <si>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</si>
  <si>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</si>
  <si>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</si>
  <si>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</si>
  <si>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</si>
  <si>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</si>
  <si>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</si>
  <si>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</si>
  <si>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</si>
  <si>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</si>
  <si>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</si>
  <si>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</si>
  <si>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</si>
  <si>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</si>
  <si>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</si>
  <si>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</si>
  <si>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</si>
  <si>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</si>
  <si>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</si>
  <si>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</si>
  <si>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</si>
  <si>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</si>
  <si>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</si>
  <si>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</si>
  <si>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</si>
  <si>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</si>
  <si>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</si>
  <si>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</si>
  <si>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</si>
  <si>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</si>
  <si>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</si>
  <si>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</si>
  <si>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</si>
  <si>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</si>
  <si>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</si>
  <si>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</si>
  <si>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</si>
  <si>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</si>
  <si>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</si>
  <si>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</si>
  <si>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</si>
  <si>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</si>
  <si>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</si>
  <si>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</si>
  <si>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</si>
  <si>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</si>
  <si>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</si>
  <si>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</si>
  <si>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</si>
  <si>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</si>
  <si>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</si>
  <si>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</si>
  <si>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</si>
  <si>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</si>
  <si>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</si>
  <si>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</si>
  <si>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</si>
  <si>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</si>
  <si>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</si>
  <si>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</si>
  <si>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</si>
  <si>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</si>
  <si>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</si>
  <si>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</si>
  <si>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</si>
  <si>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</si>
  <si>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</si>
  <si>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</si>
  <si>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</si>
  <si>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</si>
  <si>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</si>
  <si>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</si>
  <si>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</si>
  <si>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</si>
  <si>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</si>
  <si>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</si>
  <si>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</si>
  <si>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</si>
  <si>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</si>
  <si>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</si>
  <si>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</si>
  <si>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</si>
  <si>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</si>
  <si>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</si>
  <si>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</si>
  <si>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</si>
  <si>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</si>
  <si>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</si>
  <si>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</si>
  <si>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</si>
  <si>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</si>
  <si>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</si>
  <si>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</si>
  <si>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</si>
  <si>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</si>
  <si>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</si>
  <si>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</si>
  <si>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</si>
  <si>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</si>
  <si>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</si>
  <si>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</si>
  <si>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</si>
  <si>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</si>
  <si>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</si>
  <si>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</si>
  <si>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</si>
  <si>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</si>
  <si>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</si>
  <si>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</si>
  <si>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</si>
  <si>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</si>
  <si>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</si>
  <si>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</si>
  <si>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</si>
  <si>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</si>
  <si>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</si>
  <si>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</si>
  <si>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</si>
  <si>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</si>
  <si>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</si>
  <si>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</si>
  <si>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</si>
  <si>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</si>
  <si>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</si>
  <si>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</si>
  <si>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</si>
  <si>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</si>
  <si>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</si>
  <si>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</si>
  <si>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</si>
  <si>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</si>
  <si>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</si>
  <si>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</si>
  <si>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</si>
  <si>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</si>
  <si>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</si>
  <si>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</si>
  <si>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</si>
  <si>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</si>
  <si>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</si>
  <si>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</si>
  <si>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</si>
  <si>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</si>
  <si>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</si>
  <si>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</si>
  <si>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</si>
  <si>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</si>
  <si>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</si>
  <si>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</si>
  <si>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</si>
  <si>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</si>
  <si>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</si>
  <si>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</si>
  <si>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</si>
  <si>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</si>
  <si>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</si>
  <si>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</si>
  <si>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</si>
  <si>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</si>
  <si>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</si>
  <si>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</si>
  <si>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</si>
  <si>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</si>
  <si>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</si>
  <si>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</si>
  <si>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</si>
  <si>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</si>
  <si>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</si>
  <si>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</si>
  <si>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</si>
  <si>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</si>
  <si>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</si>
  <si>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</si>
  <si>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</si>
  <si>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</si>
  <si>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</si>
  <si>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</si>
  <si>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</si>
  <si>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</si>
  <si>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</si>
  <si>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</si>
  <si>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</si>
  <si>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</si>
  <si>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</si>
  <si>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</si>
  <si>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</si>
  <si>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</si>
  <si>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</si>
  <si>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</si>
  <si>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</si>
  <si>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</si>
  <si>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</si>
  <si>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</si>
  <si>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</si>
  <si>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</si>
  <si>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</si>
  <si>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</si>
  <si>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</si>
  <si>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</si>
  <si>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</si>
  <si>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</si>
  <si>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</si>
  <si>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</si>
  <si>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</si>
  <si>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</si>
  <si>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</si>
  <si>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</si>
  <si>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</si>
  <si>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</si>
  <si>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</si>
  <si>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</si>
  <si>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</si>
  <si>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</si>
  <si>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</si>
  <si>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</si>
  <si>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</si>
  <si>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</si>
  <si>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</si>
  <si>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</si>
  <si>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</si>
  <si>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</si>
  <si>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</si>
  <si>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</si>
  <si>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</si>
  <si>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</si>
  <si>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</si>
  <si>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</si>
  <si>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</si>
  <si>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</si>
  <si>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</si>
  <si>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</si>
  <si>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</si>
  <si>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</si>
  <si>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</si>
  <si>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</si>
  <si>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</si>
  <si>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</si>
  <si>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</si>
  <si>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</si>
  <si>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</si>
  <si>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</si>
  <si>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</si>
  <si>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</si>
  <si>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</si>
  <si>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</si>
  <si>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</si>
  <si>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</si>
  <si>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</si>
  <si>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</si>
  <si>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</si>
  <si>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</si>
  <si>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</si>
  <si>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</si>
  <si>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</si>
  <si>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</si>
  <si>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</si>
  <si>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</si>
  <si>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</si>
  <si>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</si>
  <si>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</si>
  <si>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</si>
  <si>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</si>
  <si>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</si>
  <si>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</si>
  <si>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</si>
  <si>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</si>
  <si>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</si>
  <si>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</si>
  <si>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</si>
  <si>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</si>
  <si>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</si>
  <si>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</si>
  <si>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</si>
  <si>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</si>
  <si>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</si>
  <si>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</si>
  <si>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</si>
  <si>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</si>
  <si>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</si>
  <si>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</si>
  <si>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</si>
  <si>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</si>
  <si>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</si>
  <si>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</si>
  <si>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</si>
  <si>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</si>
  <si>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</si>
  <si>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</si>
  <si>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</si>
  <si>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</si>
  <si>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</si>
  <si>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</si>
  <si>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</si>
  <si>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</si>
  <si>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</si>
  <si>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</si>
  <si>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</si>
  <si>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</si>
  <si>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</si>
  <si>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</si>
  <si>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</si>
  <si>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</si>
  <si>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</si>
  <si>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</si>
  <si>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</si>
  <si>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</si>
  <si>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</si>
  <si>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</si>
  <si>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</si>
  <si>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</si>
  <si>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</si>
  <si>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</si>
  <si>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</si>
  <si>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</si>
  <si>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</si>
  <si>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</si>
  <si>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</si>
  <si>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</si>
  <si>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</si>
  <si>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</si>
  <si>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</si>
  <si>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</si>
  <si>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</si>
  <si>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</si>
  <si>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</si>
  <si>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</si>
  <si>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</si>
  <si>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</si>
  <si>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</si>
  <si>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</si>
  <si>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</si>
  <si>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</si>
  <si>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</si>
  <si>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</si>
  <si>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</si>
  <si>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</si>
  <si>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</si>
  <si>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</si>
  <si>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</si>
  <si>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</si>
  <si>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</si>
  <si>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</si>
  <si>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</si>
  <si>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</si>
  <si>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</si>
  <si>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</si>
  <si>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</si>
  <si>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</si>
  <si>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</si>
  <si>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</si>
  <si>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</si>
  <si>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</si>
  <si>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</si>
  <si>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</si>
  <si>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</si>
  <si>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</si>
  <si>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</si>
  <si>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</si>
  <si>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</si>
  <si>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</si>
  <si>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</si>
  <si>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</si>
  <si>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</si>
  <si>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</si>
  <si>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</si>
  <si>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</si>
  <si>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</si>
  <si>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</si>
  <si>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</si>
  <si>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</si>
  <si>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</si>
  <si>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</si>
  <si>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</si>
  <si>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</si>
  <si>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</si>
  <si>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</si>
  <si>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</si>
  <si>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</si>
  <si>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</si>
  <si>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</si>
  <si>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</si>
  <si>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</si>
  <si>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</si>
  <si>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</si>
  <si>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</si>
  <si>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</si>
  <si>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</si>
  <si>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</si>
  <si>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</si>
  <si>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</si>
  <si>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</si>
  <si>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</si>
  <si>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</si>
  <si>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</si>
  <si>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</si>
  <si>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</si>
  <si>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</si>
  <si>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</si>
  <si>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</si>
  <si>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</si>
  <si>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</si>
  <si>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</si>
  <si>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</si>
  <si>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</si>
  <si>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</si>
  <si>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</si>
  <si>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</si>
  <si>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</si>
  <si>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</si>
  <si>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</si>
  <si>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</si>
  <si>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</si>
  <si>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</si>
  <si>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</si>
  <si>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</si>
  <si>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</si>
  <si>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</si>
  <si>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</si>
  <si>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</si>
  <si>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</si>
  <si>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</si>
  <si>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</si>
  <si>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</si>
  <si>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</si>
  <si>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</si>
  <si>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</si>
  <si>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</si>
  <si>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</si>
  <si>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</si>
  <si>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</si>
  <si>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</si>
  <si>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</si>
  <si>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</si>
  <si>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</si>
  <si>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</si>
  <si>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</si>
  <si>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</si>
  <si>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</si>
  <si>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</si>
  <si>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</si>
  <si>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</si>
  <si>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</si>
  <si>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</si>
  <si>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</si>
  <si>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</si>
  <si>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</si>
  <si>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</si>
  <si>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</si>
  <si>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</si>
  <si>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</si>
  <si>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</si>
  <si>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</si>
  <si>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</si>
  <si>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</si>
  <si>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</si>
  <si>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</si>
  <si>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</si>
  <si>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</si>
  <si>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</si>
  <si>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</si>
  <si>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</si>
  <si>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</si>
  <si>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</si>
  <si>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</si>
  <si>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</si>
  <si>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</si>
  <si>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</si>
  <si>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</si>
  <si>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</si>
  <si>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</si>
  <si>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</si>
  <si>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</si>
  <si>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</si>
  <si>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</si>
  <si>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</si>
  <si>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</si>
  <si>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</si>
  <si>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</si>
  <si>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</si>
  <si>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</si>
  <si>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</si>
  <si>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</si>
  <si>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</si>
  <si>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</si>
  <si>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</si>
  <si>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</si>
  <si>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</si>
  <si>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</si>
  <si>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</si>
  <si>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</si>
  <si>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</si>
  <si>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</si>
  <si>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</si>
  <si>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</si>
  <si>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</si>
  <si>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</si>
  <si>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</si>
  <si>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</si>
  <si>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</si>
  <si>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</si>
  <si>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</si>
  <si>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</si>
  <si>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</si>
  <si>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</si>
  <si>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</si>
  <si>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</si>
  <si>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</si>
  <si>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</si>
  <si>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</si>
  <si>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</si>
  <si>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</si>
  <si>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</si>
  <si>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</si>
  <si>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</si>
  <si>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</si>
  <si>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</si>
  <si>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</si>
  <si>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</si>
  <si>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</si>
  <si>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</si>
  <si>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</si>
  <si>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</si>
  <si>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</si>
  <si>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</si>
  <si>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</si>
  <si>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</si>
  <si>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</si>
  <si>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</si>
  <si>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</si>
  <si>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</si>
  <si>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</si>
  <si>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</si>
  <si>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</si>
  <si>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</si>
  <si>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</si>
  <si>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</si>
  <si>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</si>
  <si>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</si>
  <si>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</si>
  <si>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</si>
  <si>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</si>
  <si>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</si>
  <si>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</si>
  <si>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</si>
  <si>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</si>
  <si>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</si>
  <si>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</si>
  <si>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</si>
  <si>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</si>
  <si>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</si>
  <si>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</si>
  <si>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</si>
  <si>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</si>
  <si>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</si>
  <si>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</si>
  <si>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</si>
  <si>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</si>
  <si>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</si>
  <si>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</si>
  <si>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</si>
  <si>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</si>
  <si>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</si>
  <si>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</si>
  <si>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</si>
  <si>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</si>
  <si>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</si>
  <si>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</si>
  <si>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</si>
  <si>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</si>
  <si>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</si>
  <si>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</si>
  <si>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</si>
  <si>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</si>
  <si>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</si>
  <si>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</si>
  <si>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</si>
  <si>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</si>
  <si>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</si>
  <si>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</si>
  <si>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</si>
  <si>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</si>
  <si>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</si>
  <si>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</si>
  <si>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</si>
  <si>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</si>
  <si>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</si>
  <si>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</si>
  <si>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</si>
  <si>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</si>
  <si>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</si>
  <si>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</si>
  <si>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</si>
  <si>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</si>
  <si>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</si>
  <si>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</si>
  <si>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</si>
  <si>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</si>
  <si>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</si>
  <si>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</si>
  <si>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</si>
  <si>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</si>
  <si>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</si>
  <si>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</si>
  <si>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</si>
  <si>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</si>
  <si>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</si>
  <si>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</si>
  <si>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</si>
  <si>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</si>
  <si>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</si>
  <si>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</si>
  <si>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</si>
  <si>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</si>
  <si>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</si>
  <si>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</si>
  <si>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</si>
  <si>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</si>
  <si>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44049</t>
  </si>
  <si>
    <t>NEVELE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</si>
  <si>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</si>
  <si>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</si>
  <si>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</si>
  <si>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</si>
  <si>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</si>
  <si>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</si>
  <si>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</si>
  <si>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Tonny De Smet</t>
  </si>
  <si>
    <t>Graaf van Hoornestraat 77, 9850 Nevele</t>
  </si>
  <si>
    <t>WKK-0159 Tonny De Smet</t>
  </si>
  <si>
    <t>interne verbrandingsmotor</t>
  </si>
  <si>
    <t>WKK interne verbrandinsgmotor (gas)</t>
  </si>
  <si>
    <t>IMEWO</t>
  </si>
  <si>
    <t>Gemapa</t>
  </si>
  <si>
    <t>Veldeken 25, 9850 Nevele</t>
  </si>
  <si>
    <t>WKK-0117 Gemapa</t>
  </si>
  <si>
    <t>Vlaemynck</t>
  </si>
  <si>
    <t>Nieuwe Kerkstraat 8, 9850 Nevele</t>
  </si>
  <si>
    <t>WKK-0111 Vlaemynck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</si>
</sst>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44049</v>
      </c>
      <c r="B6" s="396"/>
      <c r="C6" s="397"/>
    </row>
    <row r="7" spans="1:7" s="394" customFormat="1" ht="15.75" customHeight="1">
      <c r="A7" s="398" t="str">
        <f>txtMunicipality</f>
        <v>NEVELE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12068.800239892673</v>
      </c>
      <c r="D10" s="687">
        <f ca="1">tertiair!C16</f>
        <v>0</v>
      </c>
      <c r="E10" s="687">
        <f ca="1">tertiair!D16</f>
        <v>12119.021646666348</v>
      </c>
      <c r="F10" s="687">
        <f>tertiair!E16</f>
        <v>224.49822769960042</v>
      </c>
      <c r="G10" s="687">
        <f ca="1">tertiair!F16</f>
        <v>2015.3205422680248</v>
      </c>
      <c r="H10" s="687">
        <f>tertiair!G16</f>
        <v>0</v>
      </c>
      <c r="I10" s="687">
        <f>tertiair!H16</f>
        <v>0</v>
      </c>
      <c r="J10" s="687">
        <f>tertiair!I16</f>
        <v>0</v>
      </c>
      <c r="K10" s="687">
        <f>tertiair!J16</f>
        <v>0</v>
      </c>
      <c r="L10" s="687">
        <f>tertiair!K16</f>
        <v>0</v>
      </c>
      <c r="M10" s="687">
        <f ca="1">tertiair!L16</f>
        <v>0</v>
      </c>
      <c r="N10" s="687">
        <f>tertiair!M16</f>
        <v>0</v>
      </c>
      <c r="O10" s="687">
        <f ca="1">tertiair!N16</f>
        <v>353.51345746202327</v>
      </c>
      <c r="P10" s="687">
        <f>tertiair!O16</f>
        <v>3.1266666666666669</v>
      </c>
      <c r="Q10" s="688">
        <f>tertiair!P16</f>
        <v>38.133333333333333</v>
      </c>
      <c r="R10" s="690">
        <f ca="1">SUM(C10:Q10)</f>
        <v>26822.414113988674</v>
      </c>
      <c r="S10" s="67"/>
    </row>
    <row r="11" spans="1:19" s="456" customFormat="1">
      <c r="A11" s="802" t="s">
        <v>225</v>
      </c>
      <c r="B11" s="807"/>
      <c r="C11" s="687">
        <f>huishoudens!B8</f>
        <v>25638.427986800969</v>
      </c>
      <c r="D11" s="687">
        <f>huishoudens!C8</f>
        <v>0</v>
      </c>
      <c r="E11" s="687">
        <f>huishoudens!D8</f>
        <v>24194.8043024611</v>
      </c>
      <c r="F11" s="687">
        <f>huishoudens!E8</f>
        <v>6812.9845049565984</v>
      </c>
      <c r="G11" s="687">
        <f>huishoudens!F8</f>
        <v>31106.632815079429</v>
      </c>
      <c r="H11" s="687">
        <f>huishoudens!G8</f>
        <v>0</v>
      </c>
      <c r="I11" s="687">
        <f>huishoudens!H8</f>
        <v>0</v>
      </c>
      <c r="J11" s="687">
        <f>huishoudens!I8</f>
        <v>0</v>
      </c>
      <c r="K11" s="687">
        <f>huishoudens!J8</f>
        <v>2862.8676260822717</v>
      </c>
      <c r="L11" s="687">
        <f>huishoudens!K8</f>
        <v>0</v>
      </c>
      <c r="M11" s="687">
        <f>huishoudens!L8</f>
        <v>0</v>
      </c>
      <c r="N11" s="687">
        <f>huishoudens!M8</f>
        <v>0</v>
      </c>
      <c r="O11" s="687">
        <f>huishoudens!N8</f>
        <v>13356.968370437156</v>
      </c>
      <c r="P11" s="687">
        <f>huishoudens!O8</f>
        <v>92.236666666666679</v>
      </c>
      <c r="Q11" s="688">
        <f>huishoudens!P8</f>
        <v>152.53333333333333</v>
      </c>
      <c r="R11" s="690">
        <f>SUM(C11:Q11)</f>
        <v>104217.45560581754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3616.353286090799</v>
      </c>
      <c r="D13" s="687">
        <f>industrie!C18</f>
        <v>0</v>
      </c>
      <c r="E13" s="687">
        <f>industrie!D18</f>
        <v>2133.9966705132501</v>
      </c>
      <c r="F13" s="687">
        <f>industrie!E18</f>
        <v>41.89987804622583</v>
      </c>
      <c r="G13" s="687">
        <f>industrie!F18</f>
        <v>1380.2915581452057</v>
      </c>
      <c r="H13" s="687">
        <f>industrie!G18</f>
        <v>0</v>
      </c>
      <c r="I13" s="687">
        <f>industrie!H18</f>
        <v>0</v>
      </c>
      <c r="J13" s="687">
        <f>industrie!I18</f>
        <v>0</v>
      </c>
      <c r="K13" s="687">
        <f>industrie!J18</f>
        <v>15.03496439557323</v>
      </c>
      <c r="L13" s="687">
        <f>industrie!K18</f>
        <v>0</v>
      </c>
      <c r="M13" s="687">
        <f>industrie!L18</f>
        <v>0</v>
      </c>
      <c r="N13" s="687">
        <f>industrie!M18</f>
        <v>0</v>
      </c>
      <c r="O13" s="687">
        <f>industrie!N18</f>
        <v>128.4231487310268</v>
      </c>
      <c r="P13" s="687">
        <f>industrie!O18</f>
        <v>0</v>
      </c>
      <c r="Q13" s="688">
        <f>industrie!P18</f>
        <v>0</v>
      </c>
      <c r="R13" s="690">
        <f>SUM(C13:Q13)</f>
        <v>7315.9995059220819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41323.58151278444</v>
      </c>
      <c r="D16" s="720">
        <f t="shared" ref="D16:R16" ca="1" si="0">SUM(D9:D15)</f>
        <v>0</v>
      </c>
      <c r="E16" s="720">
        <f t="shared" ca="1" si="0"/>
        <v>38447.822619640705</v>
      </c>
      <c r="F16" s="720">
        <f t="shared" si="0"/>
        <v>7079.3826107024252</v>
      </c>
      <c r="G16" s="720">
        <f t="shared" ca="1" si="0"/>
        <v>34502.244915492658</v>
      </c>
      <c r="H16" s="720">
        <f t="shared" si="0"/>
        <v>0</v>
      </c>
      <c r="I16" s="720">
        <f t="shared" si="0"/>
        <v>0</v>
      </c>
      <c r="J16" s="720">
        <f t="shared" si="0"/>
        <v>0</v>
      </c>
      <c r="K16" s="720">
        <f t="shared" si="0"/>
        <v>2877.902590477845</v>
      </c>
      <c r="L16" s="720">
        <f t="shared" si="0"/>
        <v>0</v>
      </c>
      <c r="M16" s="720">
        <f t="shared" ca="1" si="0"/>
        <v>0</v>
      </c>
      <c r="N16" s="720">
        <f t="shared" si="0"/>
        <v>0</v>
      </c>
      <c r="O16" s="720">
        <f t="shared" ca="1" si="0"/>
        <v>13838.904976630205</v>
      </c>
      <c r="P16" s="720">
        <f t="shared" si="0"/>
        <v>95.363333333333344</v>
      </c>
      <c r="Q16" s="720">
        <f t="shared" si="0"/>
        <v>190.66666666666666</v>
      </c>
      <c r="R16" s="720">
        <f t="shared" ca="1" si="0"/>
        <v>138355.8692257283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379.06029202792956</v>
      </c>
      <c r="I19" s="687">
        <f>transport!H54</f>
        <v>0</v>
      </c>
      <c r="J19" s="687">
        <f>transport!I54</f>
        <v>0</v>
      </c>
      <c r="K19" s="687">
        <f>transport!J54</f>
        <v>0</v>
      </c>
      <c r="L19" s="687">
        <f>transport!K54</f>
        <v>0</v>
      </c>
      <c r="M19" s="687">
        <f>transport!L54</f>
        <v>0</v>
      </c>
      <c r="N19" s="687">
        <f>transport!M54</f>
        <v>16.15769343059452</v>
      </c>
      <c r="O19" s="687">
        <f>transport!N54</f>
        <v>0</v>
      </c>
      <c r="P19" s="687">
        <f>transport!O54</f>
        <v>0</v>
      </c>
      <c r="Q19" s="688">
        <f>transport!P54</f>
        <v>0</v>
      </c>
      <c r="R19" s="690">
        <f>SUM(C19:Q19)</f>
        <v>395.21798545852408</v>
      </c>
      <c r="S19" s="67"/>
    </row>
    <row r="20" spans="1:19" s="456" customFormat="1">
      <c r="A20" s="802" t="s">
        <v>307</v>
      </c>
      <c r="B20" s="807"/>
      <c r="C20" s="687">
        <f>transport!B14</f>
        <v>1.9379620356912288</v>
      </c>
      <c r="D20" s="687">
        <f>transport!C14</f>
        <v>0</v>
      </c>
      <c r="E20" s="687">
        <f>transport!D14</f>
        <v>9.588575831246164</v>
      </c>
      <c r="F20" s="687">
        <f>transport!E14</f>
        <v>1146.8130312265075</v>
      </c>
      <c r="G20" s="687">
        <f>transport!F14</f>
        <v>0</v>
      </c>
      <c r="H20" s="687">
        <f>transport!G14</f>
        <v>222474.47418203918</v>
      </c>
      <c r="I20" s="687">
        <f>transport!H14</f>
        <v>33195.256457247575</v>
      </c>
      <c r="J20" s="687">
        <f>transport!I14</f>
        <v>0</v>
      </c>
      <c r="K20" s="687">
        <f>transport!J14</f>
        <v>0</v>
      </c>
      <c r="L20" s="687">
        <f>transport!K14</f>
        <v>0</v>
      </c>
      <c r="M20" s="687">
        <f>transport!L14</f>
        <v>0</v>
      </c>
      <c r="N20" s="687">
        <f>transport!M14</f>
        <v>11142.739283205308</v>
      </c>
      <c r="O20" s="687">
        <f>transport!N14</f>
        <v>0</v>
      </c>
      <c r="P20" s="687">
        <f>transport!O14</f>
        <v>0</v>
      </c>
      <c r="Q20" s="688">
        <f>transport!P14</f>
        <v>0</v>
      </c>
      <c r="R20" s="690">
        <f>SUM(C20:Q20)</f>
        <v>267970.80949158553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1.9379620356912288</v>
      </c>
      <c r="D22" s="805">
        <f t="shared" ref="D22:R22" si="1">SUM(D18:D21)</f>
        <v>0</v>
      </c>
      <c r="E22" s="805">
        <f t="shared" si="1"/>
        <v>9.588575831246164</v>
      </c>
      <c r="F22" s="805">
        <f t="shared" si="1"/>
        <v>1146.8130312265075</v>
      </c>
      <c r="G22" s="805">
        <f t="shared" si="1"/>
        <v>0</v>
      </c>
      <c r="H22" s="805">
        <f t="shared" si="1"/>
        <v>222853.5344740671</v>
      </c>
      <c r="I22" s="805">
        <f t="shared" si="1"/>
        <v>33195.256457247575</v>
      </c>
      <c r="J22" s="805">
        <f t="shared" si="1"/>
        <v>0</v>
      </c>
      <c r="K22" s="805">
        <f t="shared" si="1"/>
        <v>0</v>
      </c>
      <c r="L22" s="805">
        <f t="shared" si="1"/>
        <v>0</v>
      </c>
      <c r="M22" s="805">
        <f t="shared" si="1"/>
        <v>0</v>
      </c>
      <c r="N22" s="805">
        <f t="shared" si="1"/>
        <v>11158.896976635902</v>
      </c>
      <c r="O22" s="805">
        <f t="shared" si="1"/>
        <v>0</v>
      </c>
      <c r="P22" s="805">
        <f t="shared" si="1"/>
        <v>0</v>
      </c>
      <c r="Q22" s="805">
        <f t="shared" si="1"/>
        <v>0</v>
      </c>
      <c r="R22" s="805">
        <f t="shared" si="1"/>
        <v>268366.02747704403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4704.0487540498343</v>
      </c>
      <c r="D24" s="687">
        <f>+landbouw!C8</f>
        <v>30857.142857142855</v>
      </c>
      <c r="E24" s="687">
        <f>+landbouw!D8</f>
        <v>11019.705044532857</v>
      </c>
      <c r="F24" s="687">
        <f>+landbouw!E8</f>
        <v>49.261816937435611</v>
      </c>
      <c r="G24" s="687">
        <f>+landbouw!F8</f>
        <v>20136.902985275214</v>
      </c>
      <c r="H24" s="687">
        <f>+landbouw!G8</f>
        <v>0</v>
      </c>
      <c r="I24" s="687">
        <f>+landbouw!H8</f>
        <v>0</v>
      </c>
      <c r="J24" s="687">
        <f>+landbouw!I8</f>
        <v>0</v>
      </c>
      <c r="K24" s="687">
        <f>+landbouw!J8</f>
        <v>420.1137168449211</v>
      </c>
      <c r="L24" s="687">
        <f>+landbouw!K8</f>
        <v>0</v>
      </c>
      <c r="M24" s="687">
        <f>+landbouw!L8</f>
        <v>0</v>
      </c>
      <c r="N24" s="687">
        <f>+landbouw!M8</f>
        <v>0</v>
      </c>
      <c r="O24" s="687">
        <f>+landbouw!N8</f>
        <v>0</v>
      </c>
      <c r="P24" s="687">
        <f>+landbouw!O8</f>
        <v>0</v>
      </c>
      <c r="Q24" s="688">
        <f>+landbouw!P8</f>
        <v>0</v>
      </c>
      <c r="R24" s="690">
        <f>SUM(C24:Q24)</f>
        <v>67187.175174783115</v>
      </c>
      <c r="S24" s="67"/>
    </row>
    <row r="25" spans="1:19" s="456" customFormat="1" ht="15" thickBot="1">
      <c r="A25" s="824" t="s">
        <v>925</v>
      </c>
      <c r="B25" s="988"/>
      <c r="C25" s="989">
        <f>IF(Onbekend_ele_kWh="---",0,Onbekend_ele_kWh)/1000+IF(REST_rest_ele_kWh="---",0,REST_rest_ele_kWh)/1000</f>
        <v>1317.39178395913</v>
      </c>
      <c r="D25" s="989"/>
      <c r="E25" s="989">
        <f>IF(onbekend_gas_kWh="---",0,onbekend_gas_kWh)/1000+IF(REST_rest_gas_kWh="---",0,REST_rest_gas_kWh)/1000</f>
        <v>992.73112331308403</v>
      </c>
      <c r="F25" s="989"/>
      <c r="G25" s="989"/>
      <c r="H25" s="989"/>
      <c r="I25" s="989"/>
      <c r="J25" s="989"/>
      <c r="K25" s="989"/>
      <c r="L25" s="989"/>
      <c r="M25" s="989"/>
      <c r="N25" s="989"/>
      <c r="O25" s="989"/>
      <c r="P25" s="989"/>
      <c r="Q25" s="990"/>
      <c r="R25" s="690">
        <f>SUM(C25:Q25)</f>
        <v>2310.122907272214</v>
      </c>
      <c r="S25" s="67"/>
    </row>
    <row r="26" spans="1:19" s="456" customFormat="1" ht="15.75" thickBot="1">
      <c r="A26" s="693" t="s">
        <v>926</v>
      </c>
      <c r="B26" s="810"/>
      <c r="C26" s="805">
        <f>SUM(C24:C25)</f>
        <v>6021.4405380089647</v>
      </c>
      <c r="D26" s="805">
        <f t="shared" ref="D26:R26" si="2">SUM(D24:D25)</f>
        <v>30857.142857142855</v>
      </c>
      <c r="E26" s="805">
        <f t="shared" si="2"/>
        <v>12012.436167845941</v>
      </c>
      <c r="F26" s="805">
        <f t="shared" si="2"/>
        <v>49.261816937435611</v>
      </c>
      <c r="G26" s="805">
        <f t="shared" si="2"/>
        <v>20136.902985275214</v>
      </c>
      <c r="H26" s="805">
        <f t="shared" si="2"/>
        <v>0</v>
      </c>
      <c r="I26" s="805">
        <f t="shared" si="2"/>
        <v>0</v>
      </c>
      <c r="J26" s="805">
        <f t="shared" si="2"/>
        <v>0</v>
      </c>
      <c r="K26" s="805">
        <f t="shared" si="2"/>
        <v>420.1137168449211</v>
      </c>
      <c r="L26" s="805">
        <f t="shared" si="2"/>
        <v>0</v>
      </c>
      <c r="M26" s="805">
        <f t="shared" si="2"/>
        <v>0</v>
      </c>
      <c r="N26" s="805">
        <f t="shared" si="2"/>
        <v>0</v>
      </c>
      <c r="O26" s="805">
        <f t="shared" si="2"/>
        <v>0</v>
      </c>
      <c r="P26" s="805">
        <f t="shared" si="2"/>
        <v>0</v>
      </c>
      <c r="Q26" s="805">
        <f t="shared" si="2"/>
        <v>0</v>
      </c>
      <c r="R26" s="805">
        <f t="shared" si="2"/>
        <v>69497.298082055335</v>
      </c>
      <c r="S26" s="67"/>
    </row>
    <row r="27" spans="1:19" s="456" customFormat="1" ht="17.25" thickTop="1" thickBot="1">
      <c r="A27" s="694" t="s">
        <v>116</v>
      </c>
      <c r="B27" s="797"/>
      <c r="C27" s="695">
        <f ca="1">C22+C16+C26</f>
        <v>47346.960012829099</v>
      </c>
      <c r="D27" s="695">
        <f t="shared" ref="D27:R27" ca="1" si="3">D22+D16+D26</f>
        <v>30857.142857142855</v>
      </c>
      <c r="E27" s="695">
        <f t="shared" ca="1" si="3"/>
        <v>50469.847363317887</v>
      </c>
      <c r="F27" s="695">
        <f t="shared" si="3"/>
        <v>8275.4574588663691</v>
      </c>
      <c r="G27" s="695">
        <f t="shared" ca="1" si="3"/>
        <v>54639.147900767872</v>
      </c>
      <c r="H27" s="695">
        <f t="shared" si="3"/>
        <v>222853.5344740671</v>
      </c>
      <c r="I27" s="695">
        <f t="shared" si="3"/>
        <v>33195.256457247575</v>
      </c>
      <c r="J27" s="695">
        <f t="shared" si="3"/>
        <v>0</v>
      </c>
      <c r="K27" s="695">
        <f t="shared" si="3"/>
        <v>3298.0163073227659</v>
      </c>
      <c r="L27" s="695">
        <f t="shared" si="3"/>
        <v>0</v>
      </c>
      <c r="M27" s="695">
        <f t="shared" ca="1" si="3"/>
        <v>0</v>
      </c>
      <c r="N27" s="695">
        <f t="shared" si="3"/>
        <v>11158.896976635902</v>
      </c>
      <c r="O27" s="695">
        <f t="shared" ca="1" si="3"/>
        <v>13838.904976630205</v>
      </c>
      <c r="P27" s="695">
        <f t="shared" si="3"/>
        <v>95.363333333333344</v>
      </c>
      <c r="Q27" s="695">
        <f t="shared" si="3"/>
        <v>190.66666666666666</v>
      </c>
      <c r="R27" s="695">
        <f t="shared" ca="1" si="3"/>
        <v>476219.19478482771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2673.3603379979245</v>
      </c>
      <c r="D40" s="687">
        <f ca="1">tertiair!C20</f>
        <v>0</v>
      </c>
      <c r="E40" s="687">
        <f ca="1">tertiair!D20</f>
        <v>2448.0423726266026</v>
      </c>
      <c r="F40" s="687">
        <f>tertiair!E20</f>
        <v>50.9610976878093</v>
      </c>
      <c r="G40" s="687">
        <f ca="1">tertiair!F20</f>
        <v>538.09058478556267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5710.4543930978989</v>
      </c>
    </row>
    <row r="41" spans="1:18">
      <c r="A41" s="815" t="s">
        <v>225</v>
      </c>
      <c r="B41" s="822"/>
      <c r="C41" s="687">
        <f ca="1">huishoudens!B12</f>
        <v>5679.1690264267072</v>
      </c>
      <c r="D41" s="687">
        <f ca="1">huishoudens!C12</f>
        <v>0</v>
      </c>
      <c r="E41" s="687">
        <f>huishoudens!D12</f>
        <v>4887.3504690971422</v>
      </c>
      <c r="F41" s="687">
        <f>huishoudens!E12</f>
        <v>1546.5474826251479</v>
      </c>
      <c r="G41" s="687">
        <f>huishoudens!F12</f>
        <v>8305.470961626208</v>
      </c>
      <c r="H41" s="687">
        <f>huishoudens!G12</f>
        <v>0</v>
      </c>
      <c r="I41" s="687">
        <f>huishoudens!H12</f>
        <v>0</v>
      </c>
      <c r="J41" s="687">
        <f>huishoudens!I12</f>
        <v>0</v>
      </c>
      <c r="K41" s="687">
        <f>huishoudens!J12</f>
        <v>1013.4551396331242</v>
      </c>
      <c r="L41" s="687">
        <f>huishoudens!K12</f>
        <v>0</v>
      </c>
      <c r="M41" s="687">
        <f>huishoudens!L12</f>
        <v>0</v>
      </c>
      <c r="N41" s="687">
        <f>huishoudens!M12</f>
        <v>0</v>
      </c>
      <c r="O41" s="687">
        <f>huishoudens!N12</f>
        <v>0</v>
      </c>
      <c r="P41" s="687">
        <f>huishoudens!O12</f>
        <v>0</v>
      </c>
      <c r="Q41" s="762">
        <f>huishoudens!P12</f>
        <v>0</v>
      </c>
      <c r="R41" s="843">
        <f t="shared" ca="1" si="4"/>
        <v>21431.993079408327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801.05853531879973</v>
      </c>
      <c r="D43" s="687">
        <f ca="1">industrie!C22</f>
        <v>0</v>
      </c>
      <c r="E43" s="687">
        <f>industrie!D22</f>
        <v>431.06732744367656</v>
      </c>
      <c r="F43" s="687">
        <f>industrie!E22</f>
        <v>9.5112723164932635</v>
      </c>
      <c r="G43" s="687">
        <f>industrie!F22</f>
        <v>368.53784602476998</v>
      </c>
      <c r="H43" s="687">
        <f>industrie!G22</f>
        <v>0</v>
      </c>
      <c r="I43" s="687">
        <f>industrie!H22</f>
        <v>0</v>
      </c>
      <c r="J43" s="687">
        <f>industrie!I22</f>
        <v>0</v>
      </c>
      <c r="K43" s="687">
        <f>industrie!J22</f>
        <v>5.3223773960329233</v>
      </c>
      <c r="L43" s="687">
        <f>industrie!K22</f>
        <v>0</v>
      </c>
      <c r="M43" s="687">
        <f>industrie!L22</f>
        <v>0</v>
      </c>
      <c r="N43" s="687">
        <f>industrie!M22</f>
        <v>0</v>
      </c>
      <c r="O43" s="687">
        <f>industrie!N22</f>
        <v>0</v>
      </c>
      <c r="P43" s="687">
        <f>industrie!O22</f>
        <v>0</v>
      </c>
      <c r="Q43" s="762">
        <f>industrie!P22</f>
        <v>0</v>
      </c>
      <c r="R43" s="842">
        <f t="shared" ca="1" si="4"/>
        <v>1615.4973584997724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9153.587899743432</v>
      </c>
      <c r="D46" s="720">
        <f t="shared" ref="D46:Q46" ca="1" si="5">SUM(D39:D45)</f>
        <v>0</v>
      </c>
      <c r="E46" s="720">
        <f t="shared" ca="1" si="5"/>
        <v>7766.4601691674216</v>
      </c>
      <c r="F46" s="720">
        <f t="shared" si="5"/>
        <v>1607.0198526294505</v>
      </c>
      <c r="G46" s="720">
        <f t="shared" ca="1" si="5"/>
        <v>9212.0993924365412</v>
      </c>
      <c r="H46" s="720">
        <f t="shared" si="5"/>
        <v>0</v>
      </c>
      <c r="I46" s="720">
        <f t="shared" si="5"/>
        <v>0</v>
      </c>
      <c r="J46" s="720">
        <f t="shared" si="5"/>
        <v>0</v>
      </c>
      <c r="K46" s="720">
        <f t="shared" si="5"/>
        <v>1018.7775170291571</v>
      </c>
      <c r="L46" s="720">
        <f t="shared" si="5"/>
        <v>0</v>
      </c>
      <c r="M46" s="720">
        <f t="shared" ca="1" si="5"/>
        <v>0</v>
      </c>
      <c r="N46" s="720">
        <f t="shared" si="5"/>
        <v>0</v>
      </c>
      <c r="O46" s="720">
        <f t="shared" ca="1" si="5"/>
        <v>0</v>
      </c>
      <c r="P46" s="720">
        <f t="shared" si="5"/>
        <v>0</v>
      </c>
      <c r="Q46" s="720">
        <f t="shared" si="5"/>
        <v>0</v>
      </c>
      <c r="R46" s="720">
        <f ca="1">SUM(R39:R45)</f>
        <v>28757.944831005996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101.2090979714572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101.2090979714572</v>
      </c>
    </row>
    <row r="50" spans="1:18">
      <c r="A50" s="818" t="s">
        <v>307</v>
      </c>
      <c r="B50" s="828"/>
      <c r="C50" s="995">
        <f ca="1">transport!B18</f>
        <v>0.42927803425212069</v>
      </c>
      <c r="D50" s="995">
        <f>transport!C18</f>
        <v>0</v>
      </c>
      <c r="E50" s="995">
        <f>transport!D18</f>
        <v>1.9368923179117252</v>
      </c>
      <c r="F50" s="995">
        <f>transport!E18</f>
        <v>260.32655808841719</v>
      </c>
      <c r="G50" s="995">
        <f>transport!F18</f>
        <v>0</v>
      </c>
      <c r="H50" s="995">
        <f>transport!G18</f>
        <v>59400.684606604467</v>
      </c>
      <c r="I50" s="995">
        <f>transport!H18</f>
        <v>8265.6188578546462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67928.996192899693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0.42927803425212069</v>
      </c>
      <c r="D52" s="720">
        <f t="shared" ref="D52:Q52" ca="1" si="6">SUM(D48:D51)</f>
        <v>0</v>
      </c>
      <c r="E52" s="720">
        <f t="shared" si="6"/>
        <v>1.9368923179117252</v>
      </c>
      <c r="F52" s="720">
        <f t="shared" si="6"/>
        <v>260.32655808841719</v>
      </c>
      <c r="G52" s="720">
        <f t="shared" si="6"/>
        <v>0</v>
      </c>
      <c r="H52" s="720">
        <f t="shared" si="6"/>
        <v>59501.893704575923</v>
      </c>
      <c r="I52" s="720">
        <f t="shared" si="6"/>
        <v>8265.6188578546462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68030.205290871148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1041.9939941931805</v>
      </c>
      <c r="D54" s="995">
        <f ca="1">+landbouw!C12</f>
        <v>7333.1092436974805</v>
      </c>
      <c r="E54" s="995">
        <f>+landbouw!D12</f>
        <v>2225.9804189956371</v>
      </c>
      <c r="F54" s="995">
        <f>+landbouw!E12</f>
        <v>11.182432444797884</v>
      </c>
      <c r="G54" s="995">
        <f>+landbouw!F12</f>
        <v>5376.5530970684822</v>
      </c>
      <c r="H54" s="995">
        <f>+landbouw!G12</f>
        <v>0</v>
      </c>
      <c r="I54" s="995">
        <f>+landbouw!H12</f>
        <v>0</v>
      </c>
      <c r="J54" s="995">
        <f>+landbouw!I12</f>
        <v>0</v>
      </c>
      <c r="K54" s="995">
        <f>+landbouw!J12</f>
        <v>148.72025576310207</v>
      </c>
      <c r="L54" s="995">
        <f>+landbouw!K12</f>
        <v>0</v>
      </c>
      <c r="M54" s="995">
        <f>+landbouw!L12</f>
        <v>0</v>
      </c>
      <c r="N54" s="995">
        <f>+landbouw!M12</f>
        <v>0</v>
      </c>
      <c r="O54" s="995">
        <f>+landbouw!N12</f>
        <v>0</v>
      </c>
      <c r="P54" s="995">
        <f>+landbouw!O12</f>
        <v>0</v>
      </c>
      <c r="Q54" s="996">
        <f>+landbouw!P12</f>
        <v>0</v>
      </c>
      <c r="R54" s="719">
        <f ca="1">SUM(C54:Q54)</f>
        <v>16137.539442162681</v>
      </c>
    </row>
    <row r="55" spans="1:18" ht="15" thickBot="1">
      <c r="A55" s="818" t="s">
        <v>925</v>
      </c>
      <c r="B55" s="828"/>
      <c r="C55" s="995">
        <f ca="1">C25*'EF ele_warmte'!B12</f>
        <v>291.81549738468357</v>
      </c>
      <c r="D55" s="995"/>
      <c r="E55" s="995">
        <f>E25*EF_CO2_aardgas</f>
        <v>200.53168690924298</v>
      </c>
      <c r="F55" s="995"/>
      <c r="G55" s="995"/>
      <c r="H55" s="995"/>
      <c r="I55" s="995"/>
      <c r="J55" s="995"/>
      <c r="K55" s="995"/>
      <c r="L55" s="995"/>
      <c r="M55" s="995"/>
      <c r="N55" s="995"/>
      <c r="O55" s="995"/>
      <c r="P55" s="995"/>
      <c r="Q55" s="996"/>
      <c r="R55" s="719">
        <f ca="1">SUM(C55:Q55)</f>
        <v>492.34718429392655</v>
      </c>
    </row>
    <row r="56" spans="1:18" ht="15.75" thickBot="1">
      <c r="A56" s="816" t="s">
        <v>926</v>
      </c>
      <c r="B56" s="829"/>
      <c r="C56" s="720">
        <f ca="1">SUM(C54:C55)</f>
        <v>1333.809491577864</v>
      </c>
      <c r="D56" s="720">
        <f t="shared" ref="D56:Q56" ca="1" si="7">SUM(D54:D55)</f>
        <v>7333.1092436974805</v>
      </c>
      <c r="E56" s="720">
        <f t="shared" si="7"/>
        <v>2426.5121059048802</v>
      </c>
      <c r="F56" s="720">
        <f t="shared" si="7"/>
        <v>11.182432444797884</v>
      </c>
      <c r="G56" s="720">
        <f t="shared" si="7"/>
        <v>5376.5530970684822</v>
      </c>
      <c r="H56" s="720">
        <f t="shared" si="7"/>
        <v>0</v>
      </c>
      <c r="I56" s="720">
        <f t="shared" si="7"/>
        <v>0</v>
      </c>
      <c r="J56" s="720">
        <f t="shared" si="7"/>
        <v>0</v>
      </c>
      <c r="K56" s="720">
        <f t="shared" si="7"/>
        <v>148.72025576310207</v>
      </c>
      <c r="L56" s="720">
        <f t="shared" si="7"/>
        <v>0</v>
      </c>
      <c r="M56" s="720">
        <f t="shared" si="7"/>
        <v>0</v>
      </c>
      <c r="N56" s="720">
        <f t="shared" si="7"/>
        <v>0</v>
      </c>
      <c r="O56" s="720">
        <f t="shared" si="7"/>
        <v>0</v>
      </c>
      <c r="P56" s="720">
        <f t="shared" si="7"/>
        <v>0</v>
      </c>
      <c r="Q56" s="721">
        <f t="shared" si="7"/>
        <v>0</v>
      </c>
      <c r="R56" s="722">
        <f ca="1">SUM(R54:R55)</f>
        <v>16629.886626456606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10487.826669355549</v>
      </c>
      <c r="D61" s="728">
        <f t="shared" ref="D61:Q61" ca="1" si="8">D46+D52+D56</f>
        <v>7333.1092436974805</v>
      </c>
      <c r="E61" s="728">
        <f t="shared" ca="1" si="8"/>
        <v>10194.909167390213</v>
      </c>
      <c r="F61" s="728">
        <f t="shared" si="8"/>
        <v>1878.5288431626657</v>
      </c>
      <c r="G61" s="728">
        <f t="shared" ca="1" si="8"/>
        <v>14588.652489505024</v>
      </c>
      <c r="H61" s="728">
        <f t="shared" si="8"/>
        <v>59501.893704575923</v>
      </c>
      <c r="I61" s="728">
        <f t="shared" si="8"/>
        <v>8265.6188578546462</v>
      </c>
      <c r="J61" s="728">
        <f t="shared" si="8"/>
        <v>0</v>
      </c>
      <c r="K61" s="728">
        <f t="shared" si="8"/>
        <v>1167.4977727922592</v>
      </c>
      <c r="L61" s="728">
        <f t="shared" si="8"/>
        <v>0</v>
      </c>
      <c r="M61" s="728">
        <f t="shared" ca="1" si="8"/>
        <v>0</v>
      </c>
      <c r="N61" s="728">
        <f t="shared" si="8"/>
        <v>0</v>
      </c>
      <c r="O61" s="728">
        <f t="shared" ca="1" si="8"/>
        <v>0</v>
      </c>
      <c r="P61" s="728">
        <f t="shared" si="8"/>
        <v>0</v>
      </c>
      <c r="Q61" s="728">
        <f t="shared" si="8"/>
        <v>0</v>
      </c>
      <c r="R61" s="728">
        <f ca="1">R46+R52+R56</f>
        <v>113418.03674833375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0.22151003288307791</v>
      </c>
      <c r="D63" s="772">
        <f t="shared" ca="1" si="9"/>
        <v>0.23764705882352949</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1517.7735930675019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21600</v>
      </c>
      <c r="D76" s="1007">
        <f>'lokale energieproductie'!C8</f>
        <v>25411.764705882357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5133.176470588236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1517.7735930675019</v>
      </c>
      <c r="C78" s="743">
        <f>SUM(C72:C77)</f>
        <v>21600</v>
      </c>
      <c r="D78" s="744">
        <f t="shared" ref="D78:H78" si="10">SUM(D76:D77)</f>
        <v>25411.764705882357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5133.176470588236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30857.142857142855</v>
      </c>
      <c r="D87" s="765">
        <f>'lokale energieproductie'!C17</f>
        <v>36302.521008403368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7333.1092436974805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30857.142857142855</v>
      </c>
      <c r="D90" s="743">
        <f t="shared" ref="D90:H90" si="12">SUM(D87:D89)</f>
        <v>36302.521008403368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7333.1092436974805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25638.427986800969</v>
      </c>
      <c r="C4" s="460">
        <f>huishoudens!C8</f>
        <v>0</v>
      </c>
      <c r="D4" s="460">
        <f>huishoudens!D8</f>
        <v>24194.8043024611</v>
      </c>
      <c r="E4" s="460">
        <f>huishoudens!E8</f>
        <v>6812.9845049565984</v>
      </c>
      <c r="F4" s="460">
        <f>huishoudens!F8</f>
        <v>31106.632815079429</v>
      </c>
      <c r="G4" s="460">
        <f>huishoudens!G8</f>
        <v>0</v>
      </c>
      <c r="H4" s="460">
        <f>huishoudens!H8</f>
        <v>0</v>
      </c>
      <c r="I4" s="460">
        <f>huishoudens!I8</f>
        <v>0</v>
      </c>
      <c r="J4" s="460">
        <f>huishoudens!J8</f>
        <v>2862.8676260822717</v>
      </c>
      <c r="K4" s="460">
        <f>huishoudens!K8</f>
        <v>0</v>
      </c>
      <c r="L4" s="460">
        <f>huishoudens!L8</f>
        <v>0</v>
      </c>
      <c r="M4" s="460">
        <f>huishoudens!M8</f>
        <v>0</v>
      </c>
      <c r="N4" s="460">
        <f>huishoudens!N8</f>
        <v>13356.968370437156</v>
      </c>
      <c r="O4" s="460">
        <f>huishoudens!O8</f>
        <v>92.236666666666679</v>
      </c>
      <c r="P4" s="461">
        <f>huishoudens!P8</f>
        <v>152.53333333333333</v>
      </c>
      <c r="Q4" s="462">
        <f>SUM(B4:P4)</f>
        <v>104217.45560581754</v>
      </c>
    </row>
    <row r="5" spans="1:17">
      <c r="A5" s="459" t="s">
        <v>156</v>
      </c>
      <c r="B5" s="460">
        <f ca="1">tertiair!B16</f>
        <v>10909.250239892674</v>
      </c>
      <c r="C5" s="460">
        <f ca="1">tertiair!C16</f>
        <v>0</v>
      </c>
      <c r="D5" s="460">
        <f ca="1">tertiair!D16</f>
        <v>12119.021646666348</v>
      </c>
      <c r="E5" s="460">
        <f>tertiair!E16</f>
        <v>224.49822769960042</v>
      </c>
      <c r="F5" s="460">
        <f ca="1">tertiair!F16</f>
        <v>2015.3205422680248</v>
      </c>
      <c r="G5" s="460">
        <f>tertiair!G16</f>
        <v>0</v>
      </c>
      <c r="H5" s="460">
        <f>tertiair!H16</f>
        <v>0</v>
      </c>
      <c r="I5" s="460">
        <f>tertiair!I16</f>
        <v>0</v>
      </c>
      <c r="J5" s="460">
        <f>tertiair!J16</f>
        <v>0</v>
      </c>
      <c r="K5" s="460">
        <f>tertiair!K16</f>
        <v>0</v>
      </c>
      <c r="L5" s="460">
        <f ca="1">tertiair!L16</f>
        <v>0</v>
      </c>
      <c r="M5" s="460">
        <f>tertiair!M16</f>
        <v>0</v>
      </c>
      <c r="N5" s="460">
        <f ca="1">tertiair!N16</f>
        <v>353.51345746202327</v>
      </c>
      <c r="O5" s="460">
        <f>tertiair!O16</f>
        <v>3.1266666666666669</v>
      </c>
      <c r="P5" s="461">
        <f>tertiair!P16</f>
        <v>38.133333333333333</v>
      </c>
      <c r="Q5" s="459">
        <f t="shared" ref="Q5:Q14" ca="1" si="0">SUM(B5:P5)</f>
        <v>25662.864113988675</v>
      </c>
    </row>
    <row r="6" spans="1:17">
      <c r="A6" s="459" t="s">
        <v>194</v>
      </c>
      <c r="B6" s="460">
        <f>'openbare verlichting'!B8</f>
        <v>1159.55</v>
      </c>
      <c r="C6" s="460"/>
      <c r="D6" s="460"/>
      <c r="E6" s="460"/>
      <c r="F6" s="460"/>
      <c r="G6" s="460"/>
      <c r="H6" s="460"/>
      <c r="I6" s="460"/>
      <c r="J6" s="460"/>
      <c r="K6" s="460"/>
      <c r="L6" s="460"/>
      <c r="M6" s="460"/>
      <c r="N6" s="460"/>
      <c r="O6" s="460"/>
      <c r="P6" s="461"/>
      <c r="Q6" s="459">
        <f t="shared" si="0"/>
        <v>1159.55</v>
      </c>
    </row>
    <row r="7" spans="1:17">
      <c r="A7" s="459" t="s">
        <v>112</v>
      </c>
      <c r="B7" s="460">
        <f>landbouw!B8</f>
        <v>4704.0487540498343</v>
      </c>
      <c r="C7" s="460">
        <f>landbouw!C8</f>
        <v>30857.142857142855</v>
      </c>
      <c r="D7" s="460">
        <f>landbouw!D8</f>
        <v>11019.705044532857</v>
      </c>
      <c r="E7" s="460">
        <f>landbouw!E8</f>
        <v>49.261816937435611</v>
      </c>
      <c r="F7" s="460">
        <f>landbouw!F8</f>
        <v>20136.902985275214</v>
      </c>
      <c r="G7" s="460">
        <f>landbouw!G8</f>
        <v>0</v>
      </c>
      <c r="H7" s="460">
        <f>landbouw!H8</f>
        <v>0</v>
      </c>
      <c r="I7" s="460">
        <f>landbouw!I8</f>
        <v>0</v>
      </c>
      <c r="J7" s="460">
        <f>landbouw!J8</f>
        <v>420.1137168449211</v>
      </c>
      <c r="K7" s="460">
        <f>landbouw!K8</f>
        <v>0</v>
      </c>
      <c r="L7" s="460">
        <f>landbouw!L8</f>
        <v>0</v>
      </c>
      <c r="M7" s="460">
        <f>landbouw!M8</f>
        <v>0</v>
      </c>
      <c r="N7" s="460">
        <f>landbouw!N8</f>
        <v>0</v>
      </c>
      <c r="O7" s="460">
        <f>landbouw!O8</f>
        <v>0</v>
      </c>
      <c r="P7" s="461">
        <f>landbouw!P8</f>
        <v>0</v>
      </c>
      <c r="Q7" s="459">
        <f t="shared" si="0"/>
        <v>67187.175174783115</v>
      </c>
    </row>
    <row r="8" spans="1:17">
      <c r="A8" s="459" t="s">
        <v>655</v>
      </c>
      <c r="B8" s="460">
        <f>industrie!B18</f>
        <v>3616.353286090799</v>
      </c>
      <c r="C8" s="460">
        <f>industrie!C18</f>
        <v>0</v>
      </c>
      <c r="D8" s="460">
        <f>industrie!D18</f>
        <v>2133.9966705132501</v>
      </c>
      <c r="E8" s="460">
        <f>industrie!E18</f>
        <v>41.89987804622583</v>
      </c>
      <c r="F8" s="460">
        <f>industrie!F18</f>
        <v>1380.2915581452057</v>
      </c>
      <c r="G8" s="460">
        <f>industrie!G18</f>
        <v>0</v>
      </c>
      <c r="H8" s="460">
        <f>industrie!H18</f>
        <v>0</v>
      </c>
      <c r="I8" s="460">
        <f>industrie!I18</f>
        <v>0</v>
      </c>
      <c r="J8" s="460">
        <f>industrie!J18</f>
        <v>15.03496439557323</v>
      </c>
      <c r="K8" s="460">
        <f>industrie!K18</f>
        <v>0</v>
      </c>
      <c r="L8" s="460">
        <f>industrie!L18</f>
        <v>0</v>
      </c>
      <c r="M8" s="460">
        <f>industrie!M18</f>
        <v>0</v>
      </c>
      <c r="N8" s="460">
        <f>industrie!N18</f>
        <v>128.4231487310268</v>
      </c>
      <c r="O8" s="460">
        <f>industrie!O18</f>
        <v>0</v>
      </c>
      <c r="P8" s="461">
        <f>industrie!P18</f>
        <v>0</v>
      </c>
      <c r="Q8" s="459">
        <f t="shared" si="0"/>
        <v>7315.9995059220819</v>
      </c>
    </row>
    <row r="9" spans="1:17" s="465" customFormat="1">
      <c r="A9" s="463" t="s">
        <v>573</v>
      </c>
      <c r="B9" s="464">
        <f>transport!B14</f>
        <v>1.9379620356912288</v>
      </c>
      <c r="C9" s="464">
        <f>transport!C14</f>
        <v>0</v>
      </c>
      <c r="D9" s="464">
        <f>transport!D14</f>
        <v>9.588575831246164</v>
      </c>
      <c r="E9" s="464">
        <f>transport!E14</f>
        <v>1146.8130312265075</v>
      </c>
      <c r="F9" s="464">
        <f>transport!F14</f>
        <v>0</v>
      </c>
      <c r="G9" s="464">
        <f>transport!G14</f>
        <v>222474.47418203918</v>
      </c>
      <c r="H9" s="464">
        <f>transport!H14</f>
        <v>33195.256457247575</v>
      </c>
      <c r="I9" s="464">
        <f>transport!I14</f>
        <v>0</v>
      </c>
      <c r="J9" s="464">
        <f>transport!J14</f>
        <v>0</v>
      </c>
      <c r="K9" s="464">
        <f>transport!K14</f>
        <v>0</v>
      </c>
      <c r="L9" s="464">
        <f>transport!L14</f>
        <v>0</v>
      </c>
      <c r="M9" s="464">
        <f>transport!M14</f>
        <v>11142.739283205308</v>
      </c>
      <c r="N9" s="464">
        <f>transport!N14</f>
        <v>0</v>
      </c>
      <c r="O9" s="464">
        <f>transport!O14</f>
        <v>0</v>
      </c>
      <c r="P9" s="464">
        <f>transport!P14</f>
        <v>0</v>
      </c>
      <c r="Q9" s="463">
        <f>SUM(B9:P9)</f>
        <v>267970.80949158553</v>
      </c>
    </row>
    <row r="10" spans="1:17">
      <c r="A10" s="459" t="s">
        <v>563</v>
      </c>
      <c r="B10" s="460">
        <f>transport!B54</f>
        <v>0</v>
      </c>
      <c r="C10" s="460">
        <f>transport!C54</f>
        <v>0</v>
      </c>
      <c r="D10" s="460">
        <f>transport!D54</f>
        <v>0</v>
      </c>
      <c r="E10" s="460">
        <f>transport!E54</f>
        <v>0</v>
      </c>
      <c r="F10" s="460">
        <f>transport!F54</f>
        <v>0</v>
      </c>
      <c r="G10" s="460">
        <f>transport!G54</f>
        <v>379.06029202792956</v>
      </c>
      <c r="H10" s="460">
        <f>transport!H54</f>
        <v>0</v>
      </c>
      <c r="I10" s="460">
        <f>transport!I54</f>
        <v>0</v>
      </c>
      <c r="J10" s="460">
        <f>transport!J54</f>
        <v>0</v>
      </c>
      <c r="K10" s="460">
        <f>transport!K54</f>
        <v>0</v>
      </c>
      <c r="L10" s="460">
        <f>transport!L54</f>
        <v>0</v>
      </c>
      <c r="M10" s="460">
        <f>transport!M54</f>
        <v>16.15769343059452</v>
      </c>
      <c r="N10" s="460">
        <f>transport!N54</f>
        <v>0</v>
      </c>
      <c r="O10" s="460">
        <f>transport!O54</f>
        <v>0</v>
      </c>
      <c r="P10" s="461">
        <f>transport!P54</f>
        <v>0</v>
      </c>
      <c r="Q10" s="459">
        <f t="shared" si="0"/>
        <v>395.21798545852408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1317.39178395913</v>
      </c>
      <c r="C14" s="467"/>
      <c r="D14" s="467">
        <f>'SEAP template'!E25</f>
        <v>992.73112331308403</v>
      </c>
      <c r="E14" s="467"/>
      <c r="F14" s="467"/>
      <c r="G14" s="467"/>
      <c r="H14" s="467"/>
      <c r="I14" s="467"/>
      <c r="J14" s="467"/>
      <c r="K14" s="467"/>
      <c r="L14" s="467"/>
      <c r="M14" s="467"/>
      <c r="N14" s="467"/>
      <c r="O14" s="467"/>
      <c r="P14" s="468"/>
      <c r="Q14" s="459">
        <f t="shared" si="0"/>
        <v>2310.122907272214</v>
      </c>
    </row>
    <row r="15" spans="1:17" s="472" customFormat="1">
      <c r="A15" s="469" t="s">
        <v>567</v>
      </c>
      <c r="B15" s="470">
        <f ca="1">SUM(B4:B14)</f>
        <v>47346.960012829106</v>
      </c>
      <c r="C15" s="470">
        <f t="shared" ref="C15:Q15" ca="1" si="1">SUM(C4:C14)</f>
        <v>30857.142857142855</v>
      </c>
      <c r="D15" s="470">
        <f t="shared" ca="1" si="1"/>
        <v>50469.84736331788</v>
      </c>
      <c r="E15" s="470">
        <f t="shared" si="1"/>
        <v>8275.4574588663672</v>
      </c>
      <c r="F15" s="470">
        <f t="shared" ca="1" si="1"/>
        <v>54639.147900767872</v>
      </c>
      <c r="G15" s="470">
        <f t="shared" si="1"/>
        <v>222853.5344740671</v>
      </c>
      <c r="H15" s="470">
        <f t="shared" si="1"/>
        <v>33195.256457247575</v>
      </c>
      <c r="I15" s="470">
        <f t="shared" si="1"/>
        <v>0</v>
      </c>
      <c r="J15" s="470">
        <f t="shared" si="1"/>
        <v>3298.0163073227659</v>
      </c>
      <c r="K15" s="470">
        <f t="shared" si="1"/>
        <v>0</v>
      </c>
      <c r="L15" s="470">
        <f t="shared" ca="1" si="1"/>
        <v>0</v>
      </c>
      <c r="M15" s="470">
        <f t="shared" si="1"/>
        <v>11158.896976635902</v>
      </c>
      <c r="N15" s="470">
        <f t="shared" ca="1" si="1"/>
        <v>13838.904976630205</v>
      </c>
      <c r="O15" s="470">
        <f t="shared" si="1"/>
        <v>95.363333333333344</v>
      </c>
      <c r="P15" s="470">
        <f t="shared" si="1"/>
        <v>190.66666666666666</v>
      </c>
      <c r="Q15" s="470">
        <f t="shared" ca="1" si="1"/>
        <v>476219.19478482765</v>
      </c>
    </row>
    <row r="17" spans="1:17">
      <c r="A17" s="473" t="s">
        <v>568</v>
      </c>
      <c r="B17" s="777">
        <f ca="1">huishoudens!B10</f>
        <v>0.22151003288307791</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5679.1690264267072</v>
      </c>
      <c r="C22" s="460">
        <f t="shared" ref="C22:C32" ca="1" si="3">C4*$C$17</f>
        <v>0</v>
      </c>
      <c r="D22" s="460">
        <f t="shared" ref="D22:D32" si="4">D4*$D$17</f>
        <v>4887.3504690971422</v>
      </c>
      <c r="E22" s="460">
        <f t="shared" ref="E22:E32" si="5">E4*$E$17</f>
        <v>1546.5474826251479</v>
      </c>
      <c r="F22" s="460">
        <f t="shared" ref="F22:F32" si="6">F4*$F$17</f>
        <v>8305.470961626208</v>
      </c>
      <c r="G22" s="460">
        <f t="shared" ref="G22:G32" si="7">G4*$G$17</f>
        <v>0</v>
      </c>
      <c r="H22" s="460">
        <f t="shared" ref="H22:H32" si="8">H4*$H$17</f>
        <v>0</v>
      </c>
      <c r="I22" s="460">
        <f t="shared" ref="I22:I32" si="9">I4*$I$17</f>
        <v>0</v>
      </c>
      <c r="J22" s="460">
        <f t="shared" ref="J22:J32" si="10">J4*$J$17</f>
        <v>1013.4551396331242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21431.993079408327</v>
      </c>
    </row>
    <row r="23" spans="1:17">
      <c r="A23" s="459" t="s">
        <v>156</v>
      </c>
      <c r="B23" s="460">
        <f t="shared" ca="1" si="2"/>
        <v>2416.5083793683516</v>
      </c>
      <c r="C23" s="460">
        <f t="shared" ca="1" si="3"/>
        <v>0</v>
      </c>
      <c r="D23" s="460">
        <f t="shared" ca="1" si="4"/>
        <v>2448.0423726266026</v>
      </c>
      <c r="E23" s="460">
        <f t="shared" si="5"/>
        <v>50.9610976878093</v>
      </c>
      <c r="F23" s="460">
        <f t="shared" ca="1" si="6"/>
        <v>538.09058478556267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5453.6024344683265</v>
      </c>
    </row>
    <row r="24" spans="1:17">
      <c r="A24" s="459" t="s">
        <v>194</v>
      </c>
      <c r="B24" s="460">
        <f t="shared" ca="1" si="2"/>
        <v>256.85195862957301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256.85195862957301</v>
      </c>
    </row>
    <row r="25" spans="1:17">
      <c r="A25" s="459" t="s">
        <v>112</v>
      </c>
      <c r="B25" s="460">
        <f t="shared" ca="1" si="2"/>
        <v>1041.9939941931805</v>
      </c>
      <c r="C25" s="460">
        <f t="shared" ca="1" si="3"/>
        <v>7333.1092436974805</v>
      </c>
      <c r="D25" s="460">
        <f t="shared" si="4"/>
        <v>2225.9804189956371</v>
      </c>
      <c r="E25" s="460">
        <f t="shared" si="5"/>
        <v>11.182432444797884</v>
      </c>
      <c r="F25" s="460">
        <f t="shared" si="6"/>
        <v>5376.5530970684822</v>
      </c>
      <c r="G25" s="460">
        <f t="shared" si="7"/>
        <v>0</v>
      </c>
      <c r="H25" s="460">
        <f t="shared" si="8"/>
        <v>0</v>
      </c>
      <c r="I25" s="460">
        <f t="shared" si="9"/>
        <v>0</v>
      </c>
      <c r="J25" s="460">
        <f t="shared" si="10"/>
        <v>148.72025576310207</v>
      </c>
      <c r="K25" s="460">
        <f t="shared" si="11"/>
        <v>0</v>
      </c>
      <c r="L25" s="460">
        <f t="shared" si="12"/>
        <v>0</v>
      </c>
      <c r="M25" s="460">
        <f t="shared" si="13"/>
        <v>0</v>
      </c>
      <c r="N25" s="460">
        <f t="shared" si="14"/>
        <v>0</v>
      </c>
      <c r="O25" s="460">
        <f t="shared" si="15"/>
        <v>0</v>
      </c>
      <c r="P25" s="461">
        <f t="shared" si="16"/>
        <v>0</v>
      </c>
      <c r="Q25" s="459">
        <f t="shared" ca="1" si="17"/>
        <v>16137.539442162681</v>
      </c>
    </row>
    <row r="26" spans="1:17">
      <c r="A26" s="459" t="s">
        <v>655</v>
      </c>
      <c r="B26" s="460">
        <f t="shared" ca="1" si="2"/>
        <v>801.05853531879973</v>
      </c>
      <c r="C26" s="460">
        <f t="shared" ca="1" si="3"/>
        <v>0</v>
      </c>
      <c r="D26" s="460">
        <f t="shared" si="4"/>
        <v>431.06732744367656</v>
      </c>
      <c r="E26" s="460">
        <f t="shared" si="5"/>
        <v>9.5112723164932635</v>
      </c>
      <c r="F26" s="460">
        <f t="shared" si="6"/>
        <v>368.53784602476998</v>
      </c>
      <c r="G26" s="460">
        <f t="shared" si="7"/>
        <v>0</v>
      </c>
      <c r="H26" s="460">
        <f t="shared" si="8"/>
        <v>0</v>
      </c>
      <c r="I26" s="460">
        <f t="shared" si="9"/>
        <v>0</v>
      </c>
      <c r="J26" s="460">
        <f t="shared" si="10"/>
        <v>5.3223773960329233</v>
      </c>
      <c r="K26" s="460">
        <f t="shared" si="11"/>
        <v>0</v>
      </c>
      <c r="L26" s="460">
        <f t="shared" si="12"/>
        <v>0</v>
      </c>
      <c r="M26" s="460">
        <f t="shared" si="13"/>
        <v>0</v>
      </c>
      <c r="N26" s="460">
        <f t="shared" si="14"/>
        <v>0</v>
      </c>
      <c r="O26" s="460">
        <f t="shared" si="15"/>
        <v>0</v>
      </c>
      <c r="P26" s="461">
        <f t="shared" si="16"/>
        <v>0</v>
      </c>
      <c r="Q26" s="459">
        <f t="shared" ca="1" si="17"/>
        <v>1615.4973584997724</v>
      </c>
    </row>
    <row r="27" spans="1:17" s="465" customFormat="1">
      <c r="A27" s="463" t="s">
        <v>573</v>
      </c>
      <c r="B27" s="771">
        <f t="shared" ca="1" si="2"/>
        <v>0.42927803425212069</v>
      </c>
      <c r="C27" s="464">
        <f t="shared" ca="1" si="3"/>
        <v>0</v>
      </c>
      <c r="D27" s="464">
        <f t="shared" si="4"/>
        <v>1.9368923179117252</v>
      </c>
      <c r="E27" s="464">
        <f t="shared" si="5"/>
        <v>260.32655808841719</v>
      </c>
      <c r="F27" s="464">
        <f t="shared" si="6"/>
        <v>0</v>
      </c>
      <c r="G27" s="464">
        <f t="shared" si="7"/>
        <v>59400.684606604467</v>
      </c>
      <c r="H27" s="464">
        <f t="shared" si="8"/>
        <v>8265.6188578546462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67928.996192899693</v>
      </c>
    </row>
    <row r="28" spans="1:17">
      <c r="A28" s="459" t="s">
        <v>563</v>
      </c>
      <c r="B28" s="460">
        <f t="shared" ca="1" si="2"/>
        <v>0</v>
      </c>
      <c r="C28" s="460">
        <f t="shared" ca="1" si="3"/>
        <v>0</v>
      </c>
      <c r="D28" s="460">
        <f t="shared" si="4"/>
        <v>0</v>
      </c>
      <c r="E28" s="460">
        <f t="shared" si="5"/>
        <v>0</v>
      </c>
      <c r="F28" s="460">
        <f t="shared" si="6"/>
        <v>0</v>
      </c>
      <c r="G28" s="460">
        <f t="shared" si="7"/>
        <v>101.2090979714572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101.2090979714572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291.81549738468357</v>
      </c>
      <c r="C32" s="460">
        <f t="shared" ca="1" si="3"/>
        <v>0</v>
      </c>
      <c r="D32" s="460">
        <f t="shared" si="4"/>
        <v>200.53168690924298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492.34718429392655</v>
      </c>
    </row>
    <row r="33" spans="1:17" s="472" customFormat="1">
      <c r="A33" s="469" t="s">
        <v>567</v>
      </c>
      <c r="B33" s="470">
        <f ca="1">SUM(B22:B32)</f>
        <v>10487.826669355549</v>
      </c>
      <c r="C33" s="470">
        <f t="shared" ref="C33:Q33" ca="1" si="19">SUM(C22:C32)</f>
        <v>7333.1092436974805</v>
      </c>
      <c r="D33" s="470">
        <f t="shared" ca="1" si="19"/>
        <v>10194.909167390211</v>
      </c>
      <c r="E33" s="470">
        <f t="shared" si="19"/>
        <v>1878.5288431626657</v>
      </c>
      <c r="F33" s="470">
        <f t="shared" ca="1" si="19"/>
        <v>14588.652489505024</v>
      </c>
      <c r="G33" s="470">
        <f t="shared" si="19"/>
        <v>59501.893704575923</v>
      </c>
      <c r="H33" s="470">
        <f t="shared" si="19"/>
        <v>8265.6188578546462</v>
      </c>
      <c r="I33" s="470">
        <f t="shared" si="19"/>
        <v>0</v>
      </c>
      <c r="J33" s="470">
        <f t="shared" si="19"/>
        <v>1167.4977727922592</v>
      </c>
      <c r="K33" s="470">
        <f t="shared" si="19"/>
        <v>0</v>
      </c>
      <c r="L33" s="470">
        <f t="shared" ca="1" si="19"/>
        <v>0</v>
      </c>
      <c r="M33" s="470">
        <f t="shared" si="19"/>
        <v>0</v>
      </c>
      <c r="N33" s="470">
        <f t="shared" ca="1" si="19"/>
        <v>0</v>
      </c>
      <c r="O33" s="470">
        <f t="shared" si="19"/>
        <v>0</v>
      </c>
      <c r="P33" s="470">
        <f t="shared" si="19"/>
        <v>0</v>
      </c>
      <c r="Q33" s="470">
        <f t="shared" ca="1" si="19"/>
        <v>113418.03674833376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1517.7735930675019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21600</v>
      </c>
      <c r="D8" s="1028">
        <f>'SEAP template'!D76</f>
        <v>25411.764705882357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5133.176470588236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1517.7735930675019</v>
      </c>
      <c r="C10" s="1032">
        <f>SUM(C4:C9)</f>
        <v>21600</v>
      </c>
      <c r="D10" s="1032">
        <f t="shared" ref="D10:H10" si="0">SUM(D8:D9)</f>
        <v>25411.764705882357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5133.176470588236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0.22151003288307791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30857.142857142855</v>
      </c>
      <c r="D17" s="1029">
        <f>'SEAP template'!D87</f>
        <v>36302.521008403368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7333.1092436974805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30857.142857142855</v>
      </c>
      <c r="D20" s="1032">
        <f t="shared" ref="D20:H20" si="2">SUM(D17:D19)</f>
        <v>36302.521008403368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7333.1092436974805</v>
      </c>
    </row>
    <row r="22" spans="1:16">
      <c r="A22" s="473" t="s">
        <v>946</v>
      </c>
      <c r="B22" s="777" t="s">
        <v>940</v>
      </c>
      <c r="C22" s="777">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0.22151003288307791</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0.22151003288307791</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0.22151003288307791</v>
      </c>
      <c r="C29" s="510">
        <f ca="1">'EF ele_warmte'!B22</f>
        <v>0.23764705882352949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4705</v>
      </c>
      <c r="C9" s="336">
        <v>4994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3468</v>
      </c>
    </row>
    <row r="15" spans="1:6">
      <c r="A15" s="1277" t="s">
        <v>184</v>
      </c>
      <c r="B15" s="333">
        <v>650</v>
      </c>
    </row>
    <row r="16" spans="1:6">
      <c r="A16" s="1277" t="s">
        <v>6</v>
      </c>
      <c r="B16" s="333">
        <v>1426</v>
      </c>
    </row>
    <row r="17" spans="1:6">
      <c r="A17" s="1277" t="s">
        <v>7</v>
      </c>
      <c r="B17" s="333">
        <v>1144</v>
      </c>
    </row>
    <row r="18" spans="1:6">
      <c r="A18" s="1277" t="s">
        <v>8</v>
      </c>
      <c r="B18" s="333">
        <v>1706</v>
      </c>
    </row>
    <row r="19" spans="1:6">
      <c r="A19" s="1277" t="s">
        <v>9</v>
      </c>
      <c r="B19" s="333">
        <v>1601</v>
      </c>
    </row>
    <row r="20" spans="1:6">
      <c r="A20" s="1277" t="s">
        <v>10</v>
      </c>
      <c r="B20" s="333">
        <v>1004</v>
      </c>
    </row>
    <row r="21" spans="1:6">
      <c r="A21" s="1277" t="s">
        <v>11</v>
      </c>
      <c r="B21" s="333">
        <v>12280</v>
      </c>
    </row>
    <row r="22" spans="1:6">
      <c r="A22" s="1277" t="s">
        <v>12</v>
      </c>
      <c r="B22" s="333">
        <v>36839</v>
      </c>
    </row>
    <row r="23" spans="1:6">
      <c r="A23" s="1277" t="s">
        <v>13</v>
      </c>
      <c r="B23" s="333">
        <v>428</v>
      </c>
    </row>
    <row r="24" spans="1:6">
      <c r="A24" s="1277" t="s">
        <v>14</v>
      </c>
      <c r="B24" s="333">
        <v>44</v>
      </c>
    </row>
    <row r="25" spans="1:6">
      <c r="A25" s="1277" t="s">
        <v>15</v>
      </c>
      <c r="B25" s="333">
        <v>3429</v>
      </c>
    </row>
    <row r="26" spans="1:6">
      <c r="A26" s="1277" t="s">
        <v>16</v>
      </c>
      <c r="B26" s="333">
        <v>258</v>
      </c>
    </row>
    <row r="27" spans="1:6">
      <c r="A27" s="1277" t="s">
        <v>17</v>
      </c>
      <c r="B27" s="333">
        <v>0</v>
      </c>
    </row>
    <row r="28" spans="1:6">
      <c r="A28" s="1277" t="s">
        <v>18</v>
      </c>
      <c r="B28" s="333">
        <v>193612</v>
      </c>
    </row>
    <row r="29" spans="1:6">
      <c r="A29" s="1277" t="s">
        <v>959</v>
      </c>
      <c r="B29" s="333">
        <v>288</v>
      </c>
    </row>
    <row r="30" spans="1:6">
      <c r="A30" s="1273" t="s">
        <v>960</v>
      </c>
      <c r="B30" s="1273">
        <v>73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15433.952643841199</v>
      </c>
      <c r="E38" s="333">
        <v>3</v>
      </c>
      <c r="F38" s="333">
        <v>8910.3664057840997</v>
      </c>
    </row>
    <row r="39" spans="1:6">
      <c r="A39" s="1277" t="s">
        <v>30</v>
      </c>
      <c r="B39" s="1277" t="s">
        <v>31</v>
      </c>
      <c r="C39" s="333">
        <v>1699</v>
      </c>
      <c r="D39" s="333">
        <v>26815501.8384667</v>
      </c>
      <c r="E39" s="333">
        <v>4366</v>
      </c>
      <c r="F39" s="333">
        <v>24418276.686161701</v>
      </c>
    </row>
    <row r="40" spans="1:6">
      <c r="A40" s="1277" t="s">
        <v>30</v>
      </c>
      <c r="B40" s="1277" t="s">
        <v>29</v>
      </c>
      <c r="C40" s="333">
        <v>1</v>
      </c>
      <c r="D40" s="333">
        <v>8006.2573881749004</v>
      </c>
      <c r="E40" s="333">
        <v>1</v>
      </c>
      <c r="F40" s="333">
        <v>2321.8912969401999</v>
      </c>
    </row>
    <row r="41" spans="1:6">
      <c r="A41" s="1277" t="s">
        <v>32</v>
      </c>
      <c r="B41" s="1277" t="s">
        <v>33</v>
      </c>
      <c r="C41" s="333">
        <v>16</v>
      </c>
      <c r="D41" s="333">
        <v>468708.58460417099</v>
      </c>
      <c r="E41" s="333">
        <v>121</v>
      </c>
      <c r="F41" s="333">
        <v>1197948.3645923601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66513.622868684703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1493515.8939664599</v>
      </c>
      <c r="E48" s="333">
        <v>27</v>
      </c>
      <c r="F48" s="333">
        <v>1479318.97562665</v>
      </c>
    </row>
    <row r="49" spans="1:6">
      <c r="A49" s="1277" t="s">
        <v>32</v>
      </c>
      <c r="B49" s="1277" t="s">
        <v>40</v>
      </c>
      <c r="C49" s="333">
        <v>0</v>
      </c>
      <c r="D49" s="333">
        <v>0</v>
      </c>
      <c r="E49" s="333">
        <v>0</v>
      </c>
      <c r="F49" s="333">
        <v>0</v>
      </c>
    </row>
    <row r="50" spans="1:6">
      <c r="A50" s="1277" t="s">
        <v>32</v>
      </c>
      <c r="B50" s="1277" t="s">
        <v>41</v>
      </c>
      <c r="C50" s="333">
        <v>7</v>
      </c>
      <c r="D50" s="333">
        <v>403625.48873895901</v>
      </c>
      <c r="E50" s="333">
        <v>16</v>
      </c>
      <c r="F50" s="333">
        <v>872572.32300310396</v>
      </c>
    </row>
    <row r="51" spans="1:6">
      <c r="A51" s="1277" t="s">
        <v>42</v>
      </c>
      <c r="B51" s="1277" t="s">
        <v>43</v>
      </c>
      <c r="C51" s="333">
        <v>25</v>
      </c>
      <c r="D51" s="333">
        <v>79762668.638489604</v>
      </c>
      <c r="E51" s="333">
        <v>212</v>
      </c>
      <c r="F51" s="333">
        <v>4626298.8532248903</v>
      </c>
    </row>
    <row r="52" spans="1:6">
      <c r="A52" s="1277" t="s">
        <v>42</v>
      </c>
      <c r="B52" s="1277" t="s">
        <v>29</v>
      </c>
      <c r="C52" s="333">
        <v>4</v>
      </c>
      <c r="D52" s="333">
        <v>873684.75266181596</v>
      </c>
      <c r="E52" s="333">
        <v>3</v>
      </c>
      <c r="F52" s="333">
        <v>77749.900824943397</v>
      </c>
    </row>
    <row r="53" spans="1:6">
      <c r="A53" s="1277" t="s">
        <v>44</v>
      </c>
      <c r="B53" s="1277" t="s">
        <v>45</v>
      </c>
      <c r="C53" s="333">
        <v>52</v>
      </c>
      <c r="D53" s="333">
        <v>992731.12331308401</v>
      </c>
      <c r="E53" s="333">
        <v>190</v>
      </c>
      <c r="F53" s="333">
        <v>1317391.7839591301</v>
      </c>
    </row>
    <row r="54" spans="1:6">
      <c r="A54" s="1277" t="s">
        <v>46</v>
      </c>
      <c r="B54" s="1277" t="s">
        <v>47</v>
      </c>
      <c r="C54" s="333">
        <v>0</v>
      </c>
      <c r="D54" s="333">
        <v>0</v>
      </c>
      <c r="E54" s="333">
        <v>6</v>
      </c>
      <c r="F54" s="333">
        <v>1159550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344523.21810846898</v>
      </c>
      <c r="E57" s="333">
        <v>74</v>
      </c>
      <c r="F57" s="333">
        <v>1188318.8567290399</v>
      </c>
    </row>
    <row r="58" spans="1:6">
      <c r="A58" s="1277" t="s">
        <v>49</v>
      </c>
      <c r="B58" s="1277" t="s">
        <v>51</v>
      </c>
      <c r="C58" s="333">
        <v>5</v>
      </c>
      <c r="D58" s="333">
        <v>804784.32306412898</v>
      </c>
      <c r="E58" s="333">
        <v>21</v>
      </c>
      <c r="F58" s="333">
        <v>691301.58124783903</v>
      </c>
    </row>
    <row r="59" spans="1:6">
      <c r="A59" s="1277" t="s">
        <v>49</v>
      </c>
      <c r="B59" s="1277" t="s">
        <v>52</v>
      </c>
      <c r="C59" s="333">
        <v>18</v>
      </c>
      <c r="D59" s="333">
        <v>563225.33515716996</v>
      </c>
      <c r="E59" s="333">
        <v>124</v>
      </c>
      <c r="F59" s="333">
        <v>3017069.2803760301</v>
      </c>
    </row>
    <row r="60" spans="1:6">
      <c r="A60" s="1277" t="s">
        <v>49</v>
      </c>
      <c r="B60" s="1277" t="s">
        <v>53</v>
      </c>
      <c r="C60" s="333">
        <v>18</v>
      </c>
      <c r="D60" s="333">
        <v>633840.26640625298</v>
      </c>
      <c r="E60" s="333">
        <v>37</v>
      </c>
      <c r="F60" s="333">
        <v>747734.31292566506</v>
      </c>
    </row>
    <row r="61" spans="1:6">
      <c r="A61" s="1277" t="s">
        <v>49</v>
      </c>
      <c r="B61" s="1277" t="s">
        <v>54</v>
      </c>
      <c r="C61" s="333">
        <v>45</v>
      </c>
      <c r="D61" s="333">
        <v>2056204.64394883</v>
      </c>
      <c r="E61" s="333">
        <v>168</v>
      </c>
      <c r="F61" s="333">
        <v>3595228.4139381298</v>
      </c>
    </row>
    <row r="62" spans="1:6">
      <c r="A62" s="1277" t="s">
        <v>49</v>
      </c>
      <c r="B62" s="1277" t="s">
        <v>55</v>
      </c>
      <c r="C62" s="333">
        <v>0</v>
      </c>
      <c r="D62" s="333">
        <v>0</v>
      </c>
      <c r="E62" s="333">
        <v>9</v>
      </c>
      <c r="F62" s="333">
        <v>114039.562478999</v>
      </c>
    </row>
    <row r="63" spans="1:6">
      <c r="A63" s="1277" t="s">
        <v>49</v>
      </c>
      <c r="B63" s="1277" t="s">
        <v>29</v>
      </c>
      <c r="C63" s="333">
        <v>64</v>
      </c>
      <c r="D63" s="333">
        <v>9033144.6597301699</v>
      </c>
      <c r="E63" s="333">
        <v>93</v>
      </c>
      <c r="F63" s="333">
        <v>1555558.2321969699</v>
      </c>
    </row>
    <row r="64" spans="1:6">
      <c r="A64" s="1277" t="s">
        <v>56</v>
      </c>
      <c r="B64" s="1277" t="s">
        <v>57</v>
      </c>
      <c r="C64" s="333">
        <v>0</v>
      </c>
      <c r="D64" s="333">
        <v>0</v>
      </c>
      <c r="E64" s="333">
        <v>0</v>
      </c>
      <c r="F64" s="333">
        <v>0</v>
      </c>
    </row>
    <row r="65" spans="1:6">
      <c r="A65" s="1277" t="s">
        <v>56</v>
      </c>
      <c r="B65" s="1277" t="s">
        <v>29</v>
      </c>
      <c r="C65" s="333">
        <v>0</v>
      </c>
      <c r="D65" s="333">
        <v>0</v>
      </c>
      <c r="E65" s="333">
        <v>3</v>
      </c>
      <c r="F65" s="333">
        <v>35992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89110.273511148698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24170952</v>
      </c>
      <c r="E73" s="333">
        <v>27168693.147626031</v>
      </c>
      <c r="F73" s="333">
        <v>25387151</v>
      </c>
    </row>
    <row r="74" spans="1:6">
      <c r="A74" s="1277" t="s">
        <v>64</v>
      </c>
      <c r="B74" s="1277" t="s">
        <v>774</v>
      </c>
      <c r="C74" s="1288" t="s">
        <v>775</v>
      </c>
      <c r="D74" s="333">
        <v>2298793.9080961267</v>
      </c>
      <c r="E74" s="333">
        <v>2470917.8494675634</v>
      </c>
      <c r="F74" s="333">
        <v>2397287.0640310962</v>
      </c>
    </row>
    <row r="75" spans="1:6">
      <c r="A75" s="1277" t="s">
        <v>65</v>
      </c>
      <c r="B75" s="1277" t="s">
        <v>772</v>
      </c>
      <c r="C75" s="1288" t="s">
        <v>776</v>
      </c>
      <c r="D75" s="333">
        <v>36910174</v>
      </c>
      <c r="E75" s="333">
        <v>37459307.701985493</v>
      </c>
      <c r="F75" s="333">
        <v>36533878</v>
      </c>
    </row>
    <row r="76" spans="1:6">
      <c r="A76" s="1277" t="s">
        <v>65</v>
      </c>
      <c r="B76" s="1277" t="s">
        <v>774</v>
      </c>
      <c r="C76" s="1288" t="s">
        <v>777</v>
      </c>
      <c r="D76" s="333">
        <v>2724028.9080961267</v>
      </c>
      <c r="E76" s="333">
        <v>2723193.6926225428</v>
      </c>
      <c r="F76" s="333">
        <v>2679297.0640310962</v>
      </c>
    </row>
    <row r="77" spans="1:6">
      <c r="A77" s="1277" t="s">
        <v>66</v>
      </c>
      <c r="B77" s="1277" t="s">
        <v>772</v>
      </c>
      <c r="C77" s="1288" t="s">
        <v>778</v>
      </c>
      <c r="D77" s="333">
        <v>181648729</v>
      </c>
      <c r="E77" s="333">
        <v>193064775.34342694</v>
      </c>
      <c r="F77" s="333">
        <v>180818034</v>
      </c>
    </row>
    <row r="78" spans="1:6">
      <c r="A78" s="1273" t="s">
        <v>66</v>
      </c>
      <c r="B78" s="1273" t="s">
        <v>774</v>
      </c>
      <c r="C78" s="1273" t="s">
        <v>779</v>
      </c>
      <c r="D78" s="1273">
        <v>30072105</v>
      </c>
      <c r="E78" s="1273">
        <v>32578738.177524697</v>
      </c>
      <c r="F78" s="336">
        <v>31283242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103928.18380774641</v>
      </c>
      <c r="C83" s="333">
        <v>94951.672125617464</v>
      </c>
      <c r="D83" s="333">
        <v>93583.871937807504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1217.8294093423285</v>
      </c>
    </row>
    <row r="92" spans="1:6">
      <c r="A92" s="1273" t="s">
        <v>69</v>
      </c>
      <c r="B92" s="336">
        <v>299.94418372517339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418</v>
      </c>
    </row>
    <row r="98" spans="1:6">
      <c r="A98" s="1277" t="s">
        <v>72</v>
      </c>
      <c r="B98" s="333">
        <v>0</v>
      </c>
    </row>
    <row r="99" spans="1:6">
      <c r="A99" s="1277" t="s">
        <v>73</v>
      </c>
      <c r="B99" s="333">
        <v>183</v>
      </c>
    </row>
    <row r="100" spans="1:6">
      <c r="A100" s="1277" t="s">
        <v>74</v>
      </c>
      <c r="B100" s="333">
        <v>540</v>
      </c>
    </row>
    <row r="101" spans="1:6">
      <c r="A101" s="1277" t="s">
        <v>75</v>
      </c>
      <c r="B101" s="333">
        <v>124</v>
      </c>
    </row>
    <row r="102" spans="1:6">
      <c r="A102" s="1277" t="s">
        <v>76</v>
      </c>
      <c r="B102" s="333">
        <v>87</v>
      </c>
    </row>
    <row r="103" spans="1:6">
      <c r="A103" s="1277" t="s">
        <v>77</v>
      </c>
      <c r="B103" s="333">
        <v>228</v>
      </c>
    </row>
    <row r="104" spans="1:6">
      <c r="A104" s="1277" t="s">
        <v>78</v>
      </c>
      <c r="B104" s="333">
        <v>2518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2</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47346.960012829099</v>
      </c>
      <c r="C3" s="43" t="s">
        <v>170</v>
      </c>
      <c r="D3" s="43"/>
      <c r="E3" s="156"/>
      <c r="F3" s="43"/>
      <c r="G3" s="43"/>
      <c r="H3" s="43"/>
      <c r="I3" s="43"/>
      <c r="J3" s="43"/>
      <c r="K3" s="96"/>
    </row>
    <row r="4" spans="1:11">
      <c r="A4" s="364" t="s">
        <v>171</v>
      </c>
      <c r="B4" s="49">
        <f>IF(ISERROR('SEAP template'!B78+'SEAP template'!C78),0,'SEAP template'!B78+'SEAP template'!C78)</f>
        <v>23117.773593067501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5133.176470588236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0.22151003288307791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7333.1092436974805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30857.142857142855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1159.55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1159.55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0.22151003288307791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256.85195862957301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24420.598577458641</v>
      </c>
      <c r="C5" s="17">
        <f>IF(ISERROR('Eigen informatie GS &amp; warmtenet'!B57),0,'Eigen informatie GS &amp; warmtenet'!B57)</f>
        <v>0</v>
      </c>
      <c r="D5" s="30">
        <f>(SUM(HH_hh_gas_kWh,HH_rest_gas_kWh)/1000)*0.902</f>
        <v>24194.8043024611</v>
      </c>
      <c r="E5" s="17">
        <f>B46*B57</f>
        <v>6812.9845049565984</v>
      </c>
      <c r="F5" s="17">
        <f>B51*B62</f>
        <v>31106.632815079429</v>
      </c>
      <c r="G5" s="18"/>
      <c r="H5" s="17"/>
      <c r="I5" s="17"/>
      <c r="J5" s="17">
        <f>B50*B61+C50*C61</f>
        <v>2862.8676260822717</v>
      </c>
      <c r="K5" s="17"/>
      <c r="L5" s="17"/>
      <c r="M5" s="17"/>
      <c r="N5" s="17">
        <f>B48*B59+C48*C59</f>
        <v>13356.968370437156</v>
      </c>
      <c r="O5" s="17">
        <f>B69*B70*B71</f>
        <v>92.236666666666679</v>
      </c>
      <c r="P5" s="17">
        <f>B77*B78*B79/1000-B77*B78*B79/1000/B80</f>
        <v>152.53333333333333</v>
      </c>
    </row>
    <row r="6" spans="1:16">
      <c r="A6" s="16" t="s">
        <v>632</v>
      </c>
      <c r="B6" s="779">
        <f>kWh_PV_kleiner_dan_10kW</f>
        <v>1217.8294093423285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25638.427986800969</v>
      </c>
      <c r="C8" s="21">
        <f>C5</f>
        <v>0</v>
      </c>
      <c r="D8" s="21">
        <f>D5</f>
        <v>24194.8043024611</v>
      </c>
      <c r="E8" s="21">
        <f>E5</f>
        <v>6812.9845049565984</v>
      </c>
      <c r="F8" s="21">
        <f>F5</f>
        <v>31106.632815079429</v>
      </c>
      <c r="G8" s="21"/>
      <c r="H8" s="21"/>
      <c r="I8" s="21"/>
      <c r="J8" s="21">
        <f>J5</f>
        <v>2862.8676260822717</v>
      </c>
      <c r="K8" s="21"/>
      <c r="L8" s="21">
        <f>L5</f>
        <v>0</v>
      </c>
      <c r="M8" s="21">
        <f>M5</f>
        <v>0</v>
      </c>
      <c r="N8" s="21">
        <f>N5</f>
        <v>13356.968370437156</v>
      </c>
      <c r="O8" s="21">
        <f>O5</f>
        <v>92.236666666666679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0.22151003288307791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5679.1690264267072</v>
      </c>
      <c r="C12" s="23">
        <f ca="1">C10*C8</f>
        <v>0</v>
      </c>
      <c r="D12" s="23">
        <f>D8*D10</f>
        <v>4887.3504690971422</v>
      </c>
      <c r="E12" s="23">
        <f>E10*E8</f>
        <v>1546.5474826251479</v>
      </c>
      <c r="F12" s="23">
        <f>F10*F8</f>
        <v>8305.470961626208</v>
      </c>
      <c r="G12" s="23"/>
      <c r="H12" s="23"/>
      <c r="I12" s="23"/>
      <c r="J12" s="23">
        <f>J10*J8</f>
        <v>1013.4551396331242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418</v>
      </c>
      <c r="C18" s="167" t="s">
        <v>111</v>
      </c>
      <c r="D18" s="229"/>
      <c r="E18" s="15"/>
    </row>
    <row r="19" spans="1:7">
      <c r="A19" s="172" t="s">
        <v>72</v>
      </c>
      <c r="B19" s="37">
        <f>aantalw2001_ander</f>
        <v>0</v>
      </c>
      <c r="C19" s="167" t="s">
        <v>111</v>
      </c>
      <c r="D19" s="230"/>
      <c r="E19" s="15"/>
    </row>
    <row r="20" spans="1:7">
      <c r="A20" s="172" t="s">
        <v>73</v>
      </c>
      <c r="B20" s="37">
        <f>aantalw2001_propaan</f>
        <v>183</v>
      </c>
      <c r="C20" s="168">
        <f>IF(ISERROR(B20/SUM($B$20,$B$21,$B$22)*100),0,B20/SUM($B$20,$B$21,$B$22)*100)</f>
        <v>21.605667060212514</v>
      </c>
      <c r="D20" s="230"/>
      <c r="E20" s="15"/>
    </row>
    <row r="21" spans="1:7">
      <c r="A21" s="172" t="s">
        <v>74</v>
      </c>
      <c r="B21" s="37">
        <f>aantalw2001_elektriciteit</f>
        <v>540</v>
      </c>
      <c r="C21" s="168">
        <f>IF(ISERROR(B21/SUM($B$20,$B$21,$B$22)*100),0,B21/SUM($B$20,$B$21,$B$22)*100)</f>
        <v>63.754427390791022</v>
      </c>
      <c r="D21" s="230"/>
      <c r="E21" s="15"/>
    </row>
    <row r="22" spans="1:7">
      <c r="A22" s="172" t="s">
        <v>75</v>
      </c>
      <c r="B22" s="37">
        <f>aantalw2001_hout</f>
        <v>124</v>
      </c>
      <c r="C22" s="168">
        <f>IF(ISERROR(B22/SUM($B$20,$B$21,$B$22)*100),0,B22/SUM($B$20,$B$21,$B$22)*100)</f>
        <v>14.639905548996456</v>
      </c>
      <c r="D22" s="230"/>
      <c r="E22" s="15"/>
    </row>
    <row r="23" spans="1:7">
      <c r="A23" s="172" t="s">
        <v>76</v>
      </c>
      <c r="B23" s="37">
        <f>aantalw2001_niet_gespec</f>
        <v>87</v>
      </c>
      <c r="C23" s="167" t="s">
        <v>111</v>
      </c>
      <c r="D23" s="229"/>
      <c r="E23" s="15"/>
    </row>
    <row r="24" spans="1:7">
      <c r="A24" s="172" t="s">
        <v>77</v>
      </c>
      <c r="B24" s="37">
        <f>aantalw2001_steenkool</f>
        <v>228</v>
      </c>
      <c r="C24" s="167" t="s">
        <v>111</v>
      </c>
      <c r="D24" s="230"/>
      <c r="E24" s="15"/>
    </row>
    <row r="25" spans="1:7">
      <c r="A25" s="172" t="s">
        <v>78</v>
      </c>
      <c r="B25" s="37">
        <f>aantalw2001_stookolie</f>
        <v>2518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4705</v>
      </c>
      <c r="C28" s="36"/>
      <c r="D28" s="229"/>
    </row>
    <row r="29" spans="1:7" s="15" customFormat="1">
      <c r="A29" s="231" t="s">
        <v>713</v>
      </c>
      <c r="B29" s="37">
        <f>SUM(HH_hh_gas_aantal,HH_rest_gas_aantal)</f>
        <v>1700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1700</v>
      </c>
      <c r="C32" s="168">
        <f>IF(ISERROR(B32/SUM($B$32,$B$34,$B$35,$B$36,$B$38,$B$39)*100),0,B32/SUM($B$32,$B$34,$B$35,$B$36,$B$38,$B$39)*100)</f>
        <v>36.19331488183947</v>
      </c>
      <c r="D32" s="234"/>
      <c r="G32" s="15"/>
    </row>
    <row r="33" spans="1:7">
      <c r="A33" s="172" t="s">
        <v>72</v>
      </c>
      <c r="B33" s="34" t="s">
        <v>111</v>
      </c>
      <c r="C33" s="168"/>
      <c r="D33" s="234"/>
      <c r="G33" s="15"/>
    </row>
    <row r="34" spans="1:7">
      <c r="A34" s="172" t="s">
        <v>73</v>
      </c>
      <c r="B34" s="33">
        <f>IF((($B$28-$B$32-$B$39-$B$77-$B$38)*C20/100)&lt;0,0,($B$28-$B$32-$B$39-$B$77-$B$38)*C20/100)</f>
        <v>331.21487603305786</v>
      </c>
      <c r="C34" s="168">
        <f>IF(ISERROR(B34/SUM($B$32,$B$34,$B$35,$B$36,$B$38,$B$39)*100),0,B34/SUM($B$32,$B$34,$B$35,$B$36,$B$38,$B$39)*100)</f>
        <v>7.0516260598905225</v>
      </c>
      <c r="D34" s="234"/>
      <c r="G34" s="15"/>
    </row>
    <row r="35" spans="1:7">
      <c r="A35" s="172" t="s">
        <v>74</v>
      </c>
      <c r="B35" s="33">
        <f>IF((($B$28-$B$32-$B$39-$B$77-$B$38)*C21/100)&lt;0,0,($B$28-$B$32-$B$39-$B$77-$B$38)*C21/100)</f>
        <v>977.35537190082641</v>
      </c>
      <c r="C35" s="168">
        <f>IF(ISERROR(B35/SUM($B$32,$B$34,$B$35,$B$36,$B$38,$B$39)*100),0,B35/SUM($B$32,$B$34,$B$35,$B$36,$B$38,$B$39)*100)</f>
        <v>20.808076898037609</v>
      </c>
      <c r="D35" s="234"/>
      <c r="G35" s="15"/>
    </row>
    <row r="36" spans="1:7">
      <c r="A36" s="172" t="s">
        <v>75</v>
      </c>
      <c r="B36" s="33">
        <f>IF((($B$28-$B$32-$B$39-$B$77-$B$38)*C22/100)&lt;0,0,($B$28-$B$32-$B$39-$B$77-$B$38)*C22/100)</f>
        <v>224.4297520661157</v>
      </c>
      <c r="C36" s="168">
        <f>IF(ISERROR(B36/SUM($B$32,$B$34,$B$35,$B$36,$B$38,$B$39)*100),0,B36/SUM($B$32,$B$34,$B$35,$B$36,$B$38,$B$39)*100)</f>
        <v>4.7781509914012279</v>
      </c>
      <c r="D36" s="234"/>
      <c r="G36" s="15"/>
    </row>
    <row r="37" spans="1:7">
      <c r="A37" s="172" t="s">
        <v>76</v>
      </c>
      <c r="B37" s="34" t="s">
        <v>111</v>
      </c>
      <c r="C37" s="168"/>
      <c r="D37" s="174"/>
      <c r="G37" s="15"/>
    </row>
    <row r="38" spans="1:7">
      <c r="A38" s="172" t="s">
        <v>77</v>
      </c>
      <c r="B38" s="33">
        <f>IF((B24-(B29-B18)*0.1)&lt;0,0,B24-(B29-B18)*0.1)</f>
        <v>99.799999999999983</v>
      </c>
      <c r="C38" s="168">
        <f>IF(ISERROR(B38/SUM($B$32,$B$34,$B$35,$B$36,$B$38,$B$39)*100),0,B38/SUM($B$32,$B$34,$B$35,$B$36,$B$38,$B$39)*100)</f>
        <v>2.1247604854162225</v>
      </c>
      <c r="D38" s="235"/>
      <c r="G38" s="15"/>
    </row>
    <row r="39" spans="1:7">
      <c r="A39" s="172" t="s">
        <v>78</v>
      </c>
      <c r="B39" s="33">
        <f>IF((B25-(B29-B18))&lt;0,0,B25-(B29-B18)*0.9)</f>
        <v>1364.2</v>
      </c>
      <c r="C39" s="168">
        <f>IF(ISERROR(B39/SUM($B$32,$B$34,$B$35,$B$36,$B$38,$B$39)*100),0,B39/SUM($B$32,$B$34,$B$35,$B$36,$B$38,$B$39)*100)</f>
        <v>29.044070683414947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331.21487603305786</v>
      </c>
      <c r="C46" s="34" t="s">
        <v>111</v>
      </c>
      <c r="D46" s="175"/>
    </row>
    <row r="47" spans="1:7">
      <c r="A47" s="172" t="s">
        <v>74</v>
      </c>
      <c r="B47" s="33">
        <f t="shared" si="0"/>
        <v>977.35537190082641</v>
      </c>
      <c r="C47" s="34" t="s">
        <v>111</v>
      </c>
      <c r="D47" s="175"/>
    </row>
    <row r="48" spans="1:7">
      <c r="A48" s="172" t="s">
        <v>75</v>
      </c>
      <c r="B48" s="33">
        <f t="shared" si="0"/>
        <v>224.4297520661157</v>
      </c>
      <c r="C48" s="33">
        <f>B48*10</f>
        <v>2244.2975206611568</v>
      </c>
      <c r="D48" s="235"/>
    </row>
    <row r="49" spans="1:6">
      <c r="A49" s="172" t="s">
        <v>76</v>
      </c>
      <c r="B49" s="33" t="str">
        <f t="shared" si="0"/>
        <v>-</v>
      </c>
      <c r="C49" s="34" t="s">
        <v>111</v>
      </c>
      <c r="D49" s="235"/>
    </row>
    <row r="50" spans="1:6">
      <c r="A50" s="172" t="s">
        <v>77</v>
      </c>
      <c r="B50" s="33">
        <f t="shared" si="0"/>
        <v>99.799999999999983</v>
      </c>
      <c r="C50" s="33">
        <f>B50*2</f>
        <v>199.59999999999997</v>
      </c>
      <c r="D50" s="235"/>
    </row>
    <row r="51" spans="1:6">
      <c r="A51" s="172" t="s">
        <v>78</v>
      </c>
      <c r="B51" s="33">
        <f t="shared" si="0"/>
        <v>1364.2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10909.250239892674</v>
      </c>
      <c r="C5" s="17">
        <f>IF(ISERROR('Eigen informatie GS &amp; warmtenet'!B58),0,'Eigen informatie GS &amp; warmtenet'!B58)</f>
        <v>0</v>
      </c>
      <c r="D5" s="30">
        <f>SUM(D6:D12)</f>
        <v>12119.021646666348</v>
      </c>
      <c r="E5" s="17">
        <f>SUM(E6:E12)</f>
        <v>224.49822769960042</v>
      </c>
      <c r="F5" s="17">
        <f>SUM(F6:F12)</f>
        <v>2015.3205422680248</v>
      </c>
      <c r="G5" s="18"/>
      <c r="H5" s="17"/>
      <c r="I5" s="17"/>
      <c r="J5" s="17">
        <f>SUM(J6:J12)</f>
        <v>0</v>
      </c>
      <c r="K5" s="17"/>
      <c r="L5" s="17"/>
      <c r="M5" s="17"/>
      <c r="N5" s="17">
        <f>SUM(N6:N12)</f>
        <v>353.51345746202327</v>
      </c>
      <c r="O5" s="17">
        <f>B38*B39*B40</f>
        <v>3.1266666666666669</v>
      </c>
      <c r="P5" s="17">
        <f>B46*B47*B48/1000-B46*B47*B48/1000/B49</f>
        <v>38.133333333333333</v>
      </c>
      <c r="R5" s="32"/>
    </row>
    <row r="6" spans="1:18">
      <c r="A6" s="32" t="s">
        <v>54</v>
      </c>
      <c r="B6" s="37">
        <f>B26</f>
        <v>3595.22841393813</v>
      </c>
      <c r="C6" s="33"/>
      <c r="D6" s="37">
        <f>IF(ISERROR(TER_kantoor_gas_kWh/1000),0,TER_kantoor_gas_kWh/1000)*0.902</f>
        <v>1854.6965888418447</v>
      </c>
      <c r="E6" s="33">
        <f>$C$26*'E Balans VL '!I12/100/3.6*1000000</f>
        <v>125.84713720551079</v>
      </c>
      <c r="F6" s="33">
        <f>$C$26*('E Balans VL '!L12+'E Balans VL '!N12)/100/3.6*1000000</f>
        <v>545.11381635068665</v>
      </c>
      <c r="G6" s="34"/>
      <c r="H6" s="33"/>
      <c r="I6" s="33"/>
      <c r="J6" s="33">
        <f>$C$26*('E Balans VL '!D12+'E Balans VL '!E12)/100/3.6*1000000</f>
        <v>0</v>
      </c>
      <c r="K6" s="33"/>
      <c r="L6" s="33"/>
      <c r="M6" s="33"/>
      <c r="N6" s="33">
        <f>$C$26*'E Balans VL '!Y12/100/3.6*1000000</f>
        <v>27.78999036421715</v>
      </c>
      <c r="O6" s="33"/>
      <c r="P6" s="33"/>
      <c r="R6" s="32"/>
    </row>
    <row r="7" spans="1:18">
      <c r="A7" s="32" t="s">
        <v>53</v>
      </c>
      <c r="B7" s="37">
        <f t="shared" ref="B7:B12" si="0">B27</f>
        <v>747.73431292566511</v>
      </c>
      <c r="C7" s="33"/>
      <c r="D7" s="37">
        <f>IF(ISERROR(TER_horeca_gas_kWh/1000),0,TER_horeca_gas_kWh/1000)*0.902</f>
        <v>571.72392029844025</v>
      </c>
      <c r="E7" s="33">
        <f>$C$27*'E Balans VL '!I9/100/3.6*1000000</f>
        <v>42.182157693973785</v>
      </c>
      <c r="F7" s="33">
        <f>$C$27*('E Balans VL '!L9+'E Balans VL '!N9)/100/3.6*1000000</f>
        <v>130.25945532646821</v>
      </c>
      <c r="G7" s="34"/>
      <c r="H7" s="33"/>
      <c r="I7" s="33"/>
      <c r="J7" s="33">
        <f>$C$27*('E Balans VL '!D9+'E Balans VL '!E9)/100/3.6*1000000</f>
        <v>0</v>
      </c>
      <c r="K7" s="33"/>
      <c r="L7" s="33"/>
      <c r="M7" s="33"/>
      <c r="N7" s="33">
        <f>$C$27*'E Balans VL '!Y9/100/3.6*1000000</f>
        <v>0</v>
      </c>
      <c r="O7" s="33"/>
      <c r="P7" s="33"/>
      <c r="R7" s="32"/>
    </row>
    <row r="8" spans="1:18">
      <c r="A8" s="6" t="s">
        <v>52</v>
      </c>
      <c r="B8" s="37">
        <f t="shared" si="0"/>
        <v>3017.0692803760303</v>
      </c>
      <c r="C8" s="33"/>
      <c r="D8" s="37">
        <f>IF(ISERROR(TER_handel_gas_kWh/1000),0,TER_handel_gas_kWh/1000)*0.902</f>
        <v>508.02925231176732</v>
      </c>
      <c r="E8" s="33">
        <f>$C$28*'E Balans VL '!I13/100/3.6*1000000</f>
        <v>15.489327155657369</v>
      </c>
      <c r="F8" s="33">
        <f>$C$28*('E Balans VL '!L13+'E Balans VL '!N13)/100/3.6*1000000</f>
        <v>465.18546452800348</v>
      </c>
      <c r="G8" s="34"/>
      <c r="H8" s="33"/>
      <c r="I8" s="33"/>
      <c r="J8" s="33">
        <f>$C$28*('E Balans VL '!D13+'E Balans VL '!E13)/100/3.6*1000000</f>
        <v>0</v>
      </c>
      <c r="K8" s="33"/>
      <c r="L8" s="33"/>
      <c r="M8" s="33"/>
      <c r="N8" s="33">
        <f>$C$28*'E Balans VL '!Y13/100/3.6*1000000</f>
        <v>1.4111201307196619</v>
      </c>
      <c r="O8" s="33"/>
      <c r="P8" s="33"/>
      <c r="R8" s="32"/>
    </row>
    <row r="9" spans="1:18">
      <c r="A9" s="32" t="s">
        <v>51</v>
      </c>
      <c r="B9" s="37">
        <f t="shared" si="0"/>
        <v>691.30158124783907</v>
      </c>
      <c r="C9" s="33"/>
      <c r="D9" s="37">
        <f>IF(ISERROR(TER_gezond_gas_kWh/1000),0,TER_gezond_gas_kWh/1000)*0.902</f>
        <v>725.91545940384435</v>
      </c>
      <c r="E9" s="33">
        <f>$C$29*'E Balans VL '!I10/100/3.6*1000000</f>
        <v>0.2865395821538167</v>
      </c>
      <c r="F9" s="33">
        <f>$C$29*('E Balans VL '!L10+'E Balans VL '!N10)/100/3.6*1000000</f>
        <v>170.25766487413583</v>
      </c>
      <c r="G9" s="34"/>
      <c r="H9" s="33"/>
      <c r="I9" s="33"/>
      <c r="J9" s="33">
        <f>$C$29*('E Balans VL '!D10+'E Balans VL '!E10)/100/3.6*1000000</f>
        <v>0</v>
      </c>
      <c r="K9" s="33"/>
      <c r="L9" s="33"/>
      <c r="M9" s="33"/>
      <c r="N9" s="33">
        <f>$C$29*'E Balans VL '!Y10/100/3.6*1000000</f>
        <v>5.9745567198890823</v>
      </c>
      <c r="O9" s="33"/>
      <c r="P9" s="33"/>
      <c r="R9" s="32"/>
    </row>
    <row r="10" spans="1:18">
      <c r="A10" s="32" t="s">
        <v>50</v>
      </c>
      <c r="B10" s="37">
        <f t="shared" si="0"/>
        <v>1188.3188567290399</v>
      </c>
      <c r="C10" s="33"/>
      <c r="D10" s="37">
        <f>IF(ISERROR(TER_ander_gas_kWh/1000),0,TER_ander_gas_kWh/1000)*0.902</f>
        <v>310.75994273383907</v>
      </c>
      <c r="E10" s="33">
        <f>$C$30*'E Balans VL '!I14/100/3.6*1000000</f>
        <v>7.244021069651855</v>
      </c>
      <c r="F10" s="33">
        <f>$C$30*('E Balans VL '!L14+'E Balans VL '!N14)/100/3.6*1000000</f>
        <v>315.03960704069812</v>
      </c>
      <c r="G10" s="34"/>
      <c r="H10" s="33"/>
      <c r="I10" s="33"/>
      <c r="J10" s="33">
        <f>$C$30*('E Balans VL '!D14+'E Balans VL '!E14)/100/3.6*1000000</f>
        <v>0</v>
      </c>
      <c r="K10" s="33"/>
      <c r="L10" s="33"/>
      <c r="M10" s="33"/>
      <c r="N10" s="33">
        <f>$C$30*'E Balans VL '!Y14/100/3.6*1000000</f>
        <v>273.88181879553537</v>
      </c>
      <c r="O10" s="33"/>
      <c r="P10" s="33"/>
      <c r="R10" s="32"/>
    </row>
    <row r="11" spans="1:18">
      <c r="A11" s="32" t="s">
        <v>55</v>
      </c>
      <c r="B11" s="37">
        <f t="shared" si="0"/>
        <v>114.039562478999</v>
      </c>
      <c r="C11" s="33"/>
      <c r="D11" s="37">
        <f>IF(ISERROR(TER_onderwijs_gas_kWh/1000),0,TER_onderwijs_gas_kWh/1000)*0.902</f>
        <v>0</v>
      </c>
      <c r="E11" s="33">
        <f>$C$31*'E Balans VL '!I11/100/3.6*1000000</f>
        <v>8.6904084711747626E-2</v>
      </c>
      <c r="F11" s="33">
        <f>$C$31*('E Balans VL '!L11+'E Balans VL '!N11)/100/3.6*1000000</f>
        <v>82.525277037860974</v>
      </c>
      <c r="G11" s="34"/>
      <c r="H11" s="33"/>
      <c r="I11" s="33"/>
      <c r="J11" s="33">
        <f>$C$31*('E Balans VL '!D11+'E Balans VL '!E11)/100/3.6*1000000</f>
        <v>0</v>
      </c>
      <c r="K11" s="33"/>
      <c r="L11" s="33"/>
      <c r="M11" s="33"/>
      <c r="N11" s="33">
        <f>$C$31*'E Balans VL '!Y11/100/3.6*1000000</f>
        <v>0.33610184558440365</v>
      </c>
      <c r="O11" s="33"/>
      <c r="P11" s="33"/>
      <c r="R11" s="32"/>
    </row>
    <row r="12" spans="1:18">
      <c r="A12" s="32" t="s">
        <v>260</v>
      </c>
      <c r="B12" s="37">
        <f t="shared" si="0"/>
        <v>1555.5582321969698</v>
      </c>
      <c r="C12" s="33"/>
      <c r="D12" s="37">
        <f>IF(ISERROR(TER_rest_gas_kWh/1000),0,TER_rest_gas_kWh/1000)*0.902</f>
        <v>8147.8964830766126</v>
      </c>
      <c r="E12" s="33">
        <f>$C$32*'E Balans VL '!I8/100/3.6*1000000</f>
        <v>33.362140907941026</v>
      </c>
      <c r="F12" s="33">
        <f>$C$32*('E Balans VL '!L8+'E Balans VL '!N8)/100/3.6*1000000</f>
        <v>306.93925711017158</v>
      </c>
      <c r="G12" s="34"/>
      <c r="H12" s="33"/>
      <c r="I12" s="33"/>
      <c r="J12" s="33">
        <f>$C$32*('E Balans VL '!D8+'E Balans VL '!E8)/100/3.6*1000000</f>
        <v>0</v>
      </c>
      <c r="K12" s="33"/>
      <c r="L12" s="33"/>
      <c r="M12" s="33"/>
      <c r="N12" s="33">
        <f>$C$32*'E Balans VL '!Y8/100/3.6*1000000</f>
        <v>44.119869606077678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10909.250239892674</v>
      </c>
      <c r="C16" s="21">
        <f ca="1">C5+C13+C14</f>
        <v>0</v>
      </c>
      <c r="D16" s="21">
        <f t="shared" ref="D16:N16" ca="1" si="1">MAX((D5+D13+D14),0)</f>
        <v>12119.021646666348</v>
      </c>
      <c r="E16" s="21">
        <f t="shared" si="1"/>
        <v>224.49822769960042</v>
      </c>
      <c r="F16" s="21">
        <f t="shared" ca="1" si="1"/>
        <v>2015.3205422680248</v>
      </c>
      <c r="G16" s="21">
        <f t="shared" si="1"/>
        <v>0</v>
      </c>
      <c r="H16" s="21">
        <f t="shared" si="1"/>
        <v>0</v>
      </c>
      <c r="I16" s="21">
        <f t="shared" si="1"/>
        <v>0</v>
      </c>
      <c r="J16" s="21">
        <f t="shared" si="1"/>
        <v>0</v>
      </c>
      <c r="K16" s="21">
        <f t="shared" si="1"/>
        <v>0</v>
      </c>
      <c r="L16" s="21">
        <f t="shared" ca="1" si="1"/>
        <v>0</v>
      </c>
      <c r="M16" s="21">
        <f t="shared" si="1"/>
        <v>0</v>
      </c>
      <c r="N16" s="21">
        <f t="shared" ca="1" si="1"/>
        <v>353.51345746202327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0.22151003288307791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2416.5083793683516</v>
      </c>
      <c r="C20" s="23">
        <f t="shared" ref="C20:P20" ca="1" si="2">C16*C18</f>
        <v>0</v>
      </c>
      <c r="D20" s="23">
        <f t="shared" ca="1" si="2"/>
        <v>2448.0423726266026</v>
      </c>
      <c r="E20" s="23">
        <f t="shared" si="2"/>
        <v>50.9610976878093</v>
      </c>
      <c r="F20" s="23">
        <f t="shared" ca="1" si="2"/>
        <v>538.09058478556267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3595.22841393813</v>
      </c>
      <c r="C26" s="39">
        <f>IF(ISERROR(B26*3.6/1000000/'E Balans VL '!Z12*100),0,B26*3.6/1000000/'E Balans VL '!Z12*100)</f>
        <v>7.5655619733795434E-2</v>
      </c>
      <c r="D26" s="238" t="s">
        <v>719</v>
      </c>
      <c r="F26" s="6"/>
    </row>
    <row r="27" spans="1:18">
      <c r="A27" s="232" t="s">
        <v>53</v>
      </c>
      <c r="B27" s="33">
        <f>IF(ISERROR(TER_horeca_ele_kWh/1000),0,TER_horeca_ele_kWh/1000)</f>
        <v>747.73431292566511</v>
      </c>
      <c r="C27" s="39">
        <f>IF(ISERROR(B27*3.6/1000000/'E Balans VL '!Z9*100),0,B27*3.6/1000000/'E Balans VL '!Z9*100)</f>
        <v>6.3308563161454376E-2</v>
      </c>
      <c r="D27" s="238" t="s">
        <v>719</v>
      </c>
      <c r="F27" s="6"/>
    </row>
    <row r="28" spans="1:18">
      <c r="A28" s="172" t="s">
        <v>52</v>
      </c>
      <c r="B28" s="33">
        <f>IF(ISERROR(TER_handel_ele_kWh/1000),0,TER_handel_ele_kWh/1000)</f>
        <v>3017.0692803760303</v>
      </c>
      <c r="C28" s="39">
        <f>IF(ISERROR(B28*3.6/1000000/'E Balans VL '!Z13*100),0,B28*3.6/1000000/'E Balans VL '!Z13*100)</f>
        <v>8.3527145829749475E-2</v>
      </c>
      <c r="D28" s="238" t="s">
        <v>719</v>
      </c>
      <c r="F28" s="6"/>
    </row>
    <row r="29" spans="1:18">
      <c r="A29" s="232" t="s">
        <v>51</v>
      </c>
      <c r="B29" s="33">
        <f>IF(ISERROR(TER_gezond_ele_kWh/1000),0,TER_gezond_ele_kWh/1000)</f>
        <v>691.30158124783907</v>
      </c>
      <c r="C29" s="39">
        <f>IF(ISERROR(B29*3.6/1000000/'E Balans VL '!Z10*100),0,B29*3.6/1000000/'E Balans VL '!Z10*100)</f>
        <v>8.9861541590650643E-2</v>
      </c>
      <c r="D29" s="238" t="s">
        <v>719</v>
      </c>
      <c r="F29" s="6"/>
    </row>
    <row r="30" spans="1:18">
      <c r="A30" s="232" t="s">
        <v>50</v>
      </c>
      <c r="B30" s="33">
        <f>IF(ISERROR(TER_ander_ele_kWh/1000),0,TER_ander_ele_kWh/1000)</f>
        <v>1188.3188567290399</v>
      </c>
      <c r="C30" s="39">
        <f>IF(ISERROR(B30*3.6/1000000/'E Balans VL '!Z14*100),0,B30*3.6/1000000/'E Balans VL '!Z14*100)</f>
        <v>9.2105609112904455E-2</v>
      </c>
      <c r="D30" s="238" t="s">
        <v>719</v>
      </c>
      <c r="F30" s="6"/>
    </row>
    <row r="31" spans="1:18">
      <c r="A31" s="232" t="s">
        <v>55</v>
      </c>
      <c r="B31" s="33">
        <f>IF(ISERROR(TER_onderwijs_ele_kWh/1000),0,TER_onderwijs_ele_kWh/1000)</f>
        <v>114.039562478999</v>
      </c>
      <c r="C31" s="39">
        <f>IF(ISERROR(B31*3.6/1000000/'E Balans VL '!Z11*100),0,B31*3.6/1000000/'E Balans VL '!Z11*100)</f>
        <v>2.1817711495255021E-2</v>
      </c>
      <c r="D31" s="238" t="s">
        <v>719</v>
      </c>
    </row>
    <row r="32" spans="1:18">
      <c r="A32" s="232" t="s">
        <v>260</v>
      </c>
      <c r="B32" s="33">
        <f>IF(ISERROR(TER_rest_ele_kWh/1000),0,TER_rest_ele_kWh/1000)</f>
        <v>1555.5582321969698</v>
      </c>
      <c r="C32" s="39">
        <f>IF(ISERROR(B32*3.6/1000000/'E Balans VL '!Z8*100),0,B32*3.6/1000000/'E Balans VL '!Z8*100)</f>
        <v>1.2826772161840054E-2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3616.353286090799</v>
      </c>
      <c r="C5" s="17">
        <f>IF(ISERROR('Eigen informatie GS &amp; warmtenet'!B59),0,'Eigen informatie GS &amp; warmtenet'!B59)</f>
        <v>0</v>
      </c>
      <c r="D5" s="30">
        <f>SUM(D6:D15)</f>
        <v>2133.9966705132501</v>
      </c>
      <c r="E5" s="17">
        <f>SUM(E6:E15)</f>
        <v>41.89987804622583</v>
      </c>
      <c r="F5" s="17">
        <f>SUM(F6:F15)</f>
        <v>1380.2915581452057</v>
      </c>
      <c r="G5" s="18"/>
      <c r="H5" s="17"/>
      <c r="I5" s="17"/>
      <c r="J5" s="17">
        <f>SUM(J6:J15)</f>
        <v>15.03496439557323</v>
      </c>
      <c r="K5" s="17"/>
      <c r="L5" s="17"/>
      <c r="M5" s="17"/>
      <c r="N5" s="17">
        <f>SUM(N6:N15)</f>
        <v>128.4231487310268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66.513622868684706</v>
      </c>
      <c r="C8" s="33"/>
      <c r="D8" s="37">
        <f>IF( ISERROR(IND_metaal_Gas_kWH/1000),0,IND_metaal_Gas_kWH/1000)*0.902</f>
        <v>0</v>
      </c>
      <c r="E8" s="33">
        <f>C30*'E Balans VL '!I18/100/3.6*1000000</f>
        <v>0.46737655233304892</v>
      </c>
      <c r="F8" s="33">
        <f>C30*'E Balans VL '!L18/100/3.6*1000000+C30*'E Balans VL '!N18/100/3.6*1000000</f>
        <v>7.3028066479850242</v>
      </c>
      <c r="G8" s="34"/>
      <c r="H8" s="33"/>
      <c r="I8" s="33"/>
      <c r="J8" s="40">
        <f>C30*'E Balans VL '!D18/100/3.6*1000000+C30*'E Balans VL '!E18/100/3.6*1000000</f>
        <v>1.3723194026964496</v>
      </c>
      <c r="K8" s="33"/>
      <c r="L8" s="33"/>
      <c r="M8" s="33"/>
      <c r="N8" s="33">
        <f>C30*'E Balans VL '!Y18/100/3.6*1000000</f>
        <v>0.24929784881781111</v>
      </c>
      <c r="O8" s="33"/>
      <c r="P8" s="33"/>
      <c r="R8" s="32"/>
    </row>
    <row r="9" spans="1:18">
      <c r="A9" s="6" t="s">
        <v>33</v>
      </c>
      <c r="B9" s="37">
        <f t="shared" si="0"/>
        <v>1197.9483645923601</v>
      </c>
      <c r="C9" s="33"/>
      <c r="D9" s="37">
        <f>IF( ISERROR(IND_andere_gas_kWh/1000),0,IND_andere_gas_kWh/1000)*0.902</f>
        <v>422.77514331296226</v>
      </c>
      <c r="E9" s="33">
        <f>C31*'E Balans VL '!I19/100/3.6*1000000</f>
        <v>20.121010316931056</v>
      </c>
      <c r="F9" s="33">
        <f>C31*'E Balans VL '!L19/100/3.6*1000000+C31*'E Balans VL '!N19/100/3.6*1000000</f>
        <v>936.48780139403186</v>
      </c>
      <c r="G9" s="34"/>
      <c r="H9" s="33"/>
      <c r="I9" s="33"/>
      <c r="J9" s="40">
        <f>C31*'E Balans VL '!D19/100/3.6*1000000+C31*'E Balans VL '!E19/100/3.6*1000000</f>
        <v>0.10804436773490987</v>
      </c>
      <c r="K9" s="33"/>
      <c r="L9" s="33"/>
      <c r="M9" s="33"/>
      <c r="N9" s="33">
        <f>C31*'E Balans VL '!Y19/100/3.6*1000000</f>
        <v>88.787193205781236</v>
      </c>
      <c r="O9" s="33"/>
      <c r="P9" s="33"/>
      <c r="R9" s="32"/>
    </row>
    <row r="10" spans="1:18">
      <c r="A10" s="6" t="s">
        <v>41</v>
      </c>
      <c r="B10" s="37">
        <f t="shared" si="0"/>
        <v>872.57232300310397</v>
      </c>
      <c r="C10" s="33"/>
      <c r="D10" s="37">
        <f>IF( ISERROR(IND_voed_gas_kWh/1000),0,IND_voed_gas_kWh/1000)*0.902</f>
        <v>364.07019084254102</v>
      </c>
      <c r="E10" s="33">
        <f>C32*'E Balans VL '!I20/100/3.6*1000000</f>
        <v>7.9609872776689299</v>
      </c>
      <c r="F10" s="33">
        <f>C32*'E Balans VL '!L20/100/3.6*1000000+C32*'E Balans VL '!N20/100/3.6*1000000</f>
        <v>140.77320816545355</v>
      </c>
      <c r="G10" s="34"/>
      <c r="H10" s="33"/>
      <c r="I10" s="33"/>
      <c r="J10" s="40">
        <f>C32*'E Balans VL '!D20/100/3.6*1000000+C32*'E Balans VL '!E20/100/3.6*1000000</f>
        <v>3.5938249122336163</v>
      </c>
      <c r="K10" s="33"/>
      <c r="L10" s="33"/>
      <c r="M10" s="33"/>
      <c r="N10" s="33">
        <f>C32*'E Balans VL '!Y20/100/3.6*1000000</f>
        <v>12.765045042948074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1479.3189756266499</v>
      </c>
      <c r="C15" s="33"/>
      <c r="D15" s="37">
        <f>IF( ISERROR(IND_rest_gas_kWh/1000),0,IND_rest_gas_kWh/1000)*0.902</f>
        <v>1347.1513363577469</v>
      </c>
      <c r="E15" s="33">
        <f>C37*'E Balans VL '!I15/100/3.6*1000000</f>
        <v>13.350503899292793</v>
      </c>
      <c r="F15" s="33">
        <f>C37*'E Balans VL '!L15/100/3.6*1000000+C37*'E Balans VL '!N15/100/3.6*1000000</f>
        <v>295.72774193773523</v>
      </c>
      <c r="G15" s="34"/>
      <c r="H15" s="33"/>
      <c r="I15" s="33"/>
      <c r="J15" s="40">
        <f>C37*'E Balans VL '!D15/100/3.6*1000000+C37*'E Balans VL '!E15/100/3.6*1000000</f>
        <v>9.960775712908255</v>
      </c>
      <c r="K15" s="33"/>
      <c r="L15" s="33"/>
      <c r="M15" s="33"/>
      <c r="N15" s="33">
        <f>C37*'E Balans VL '!Y15/100/3.6*1000000</f>
        <v>26.621612633479682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3616.353286090799</v>
      </c>
      <c r="C18" s="21">
        <f>C5+C16</f>
        <v>0</v>
      </c>
      <c r="D18" s="21">
        <f>MAX((D5+D16),0)</f>
        <v>2133.9966705132501</v>
      </c>
      <c r="E18" s="21">
        <f>MAX((E5+E16),0)</f>
        <v>41.89987804622583</v>
      </c>
      <c r="F18" s="21">
        <f>MAX((F5+F16),0)</f>
        <v>1380.2915581452057</v>
      </c>
      <c r="G18" s="21"/>
      <c r="H18" s="21"/>
      <c r="I18" s="21"/>
      <c r="J18" s="21">
        <f>MAX((J5+J16),0)</f>
        <v>15.03496439557323</v>
      </c>
      <c r="K18" s="21"/>
      <c r="L18" s="21">
        <f>MAX((L5+L16),0)</f>
        <v>0</v>
      </c>
      <c r="M18" s="21"/>
      <c r="N18" s="21">
        <f>MAX((N5+N16),0)</f>
        <v>128.4231487310268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0.22151003288307791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801.05853531879973</v>
      </c>
      <c r="C22" s="23">
        <f ca="1">C18*C20</f>
        <v>0</v>
      </c>
      <c r="D22" s="23">
        <f>D18*D20</f>
        <v>431.06732744367656</v>
      </c>
      <c r="E22" s="23">
        <f>E18*E20</f>
        <v>9.5112723164932635</v>
      </c>
      <c r="F22" s="23">
        <f>F18*F20</f>
        <v>368.53784602476998</v>
      </c>
      <c r="G22" s="23"/>
      <c r="H22" s="23"/>
      <c r="I22" s="23"/>
      <c r="J22" s="23">
        <f>J18*J20</f>
        <v>5.3223773960329233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66.513622868684706</v>
      </c>
      <c r="C30" s="39">
        <f>IF(ISERROR(B30*3.6/1000000/'E Balans VL '!Z18*100),0,B30*3.6/1000000/'E Balans VL '!Z18*100)</f>
        <v>4.4278524909900658E-3</v>
      </c>
      <c r="D30" s="238" t="s">
        <v>719</v>
      </c>
    </row>
    <row r="31" spans="1:18">
      <c r="A31" s="6" t="s">
        <v>33</v>
      </c>
      <c r="B31" s="37">
        <f>IF( ISERROR(IND_ander_ele_kWh/1000),0,IND_ander_ele_kWh/1000)</f>
        <v>1197.9483645923601</v>
      </c>
      <c r="C31" s="39">
        <f>IF(ISERROR(B31*3.6/1000000/'E Balans VL '!Z19*100),0,B31*3.6/1000000/'E Balans VL '!Z19*100)</f>
        <v>5.3100303596679256E-2</v>
      </c>
      <c r="D31" s="238" t="s">
        <v>719</v>
      </c>
    </row>
    <row r="32" spans="1:18">
      <c r="A32" s="172" t="s">
        <v>41</v>
      </c>
      <c r="B32" s="37">
        <f>IF( ISERROR(IND_voed_ele_kWh/1000),0,IND_voed_ele_kWh/1000)</f>
        <v>872.57232300310397</v>
      </c>
      <c r="C32" s="39">
        <f>IF(ISERROR(B32*3.6/1000000/'E Balans VL '!Z20*100),0,B32*3.6/1000000/'E Balans VL '!Z20*100)</f>
        <v>2.9146418674335723E-2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1479.3189756266499</v>
      </c>
      <c r="C37" s="39">
        <f>IF(ISERROR(B37*3.6/1000000/'E Balans VL '!Z15*100),0,B37*3.6/1000000/'E Balans VL '!Z15*100)</f>
        <v>1.1003723161899967E-2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4704.0487540498343</v>
      </c>
      <c r="C5" s="17">
        <f>'Eigen informatie GS &amp; warmtenet'!B60</f>
        <v>0</v>
      </c>
      <c r="D5" s="30">
        <f>IF(ISERROR(SUM(LB_lb_gas_kWh,LB_rest_gas_kWh)/1000),0,SUM(LB_lb_gas_kWh,LB_rest_gas_kWh)/1000)*0.902</f>
        <v>72733.990758818574</v>
      </c>
      <c r="E5" s="17">
        <f>B17*'E Balans VL '!I25/3.6*1000000/100</f>
        <v>49.261816937435611</v>
      </c>
      <c r="F5" s="17">
        <f>B17*('E Balans VL '!L25/3.6*1000000+'E Balans VL '!N25/3.6*1000000)/100</f>
        <v>20136.902985275214</v>
      </c>
      <c r="G5" s="18"/>
      <c r="H5" s="17"/>
      <c r="I5" s="17"/>
      <c r="J5" s="17">
        <f>('E Balans VL '!D25+'E Balans VL '!E25)/3.6*1000000*landbouw!B17/100</f>
        <v>420.1137168449211</v>
      </c>
      <c r="K5" s="17"/>
      <c r="L5" s="17">
        <f>L6*(-1)</f>
        <v>0</v>
      </c>
      <c r="M5" s="17"/>
      <c r="N5" s="17">
        <f>N6*(-1)</f>
        <v>0</v>
      </c>
      <c r="O5" s="17"/>
      <c r="P5" s="17"/>
      <c r="R5" s="32"/>
    </row>
    <row r="6" spans="1:18">
      <c r="A6" s="16" t="s">
        <v>496</v>
      </c>
      <c r="B6" s="17" t="s">
        <v>211</v>
      </c>
      <c r="C6" s="17">
        <f>'lokale energieproductie'!O92+'lokale energieproductie'!O61</f>
        <v>30857.142857142855</v>
      </c>
      <c r="D6" s="311">
        <f>('lokale energieproductie'!P61+'lokale energieproductie'!P92)*(-1)</f>
        <v>-61714.285714285717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4704.0487540498343</v>
      </c>
      <c r="C8" s="21">
        <f>C5+C6</f>
        <v>30857.142857142855</v>
      </c>
      <c r="D8" s="21">
        <f>MAX((D5+D6),0)</f>
        <v>11019.705044532857</v>
      </c>
      <c r="E8" s="21">
        <f>MAX((E5+E6),0)</f>
        <v>49.261816937435611</v>
      </c>
      <c r="F8" s="21">
        <f>MAX((F5+F6),0)</f>
        <v>20136.902985275214</v>
      </c>
      <c r="G8" s="21"/>
      <c r="H8" s="21"/>
      <c r="I8" s="21"/>
      <c r="J8" s="21">
        <f>MAX((J5+J6),0)</f>
        <v>420.1137168449211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0.22151003288307791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1041.9939941931805</v>
      </c>
      <c r="C12" s="23">
        <f ca="1">C8*C10</f>
        <v>7333.1092436974805</v>
      </c>
      <c r="D12" s="23">
        <f>D8*D10</f>
        <v>2225.9804189956371</v>
      </c>
      <c r="E12" s="23">
        <f>E8*E10</f>
        <v>11.182432444797884</v>
      </c>
      <c r="F12" s="23">
        <f>F8*F10</f>
        <v>5376.5530970684822</v>
      </c>
      <c r="G12" s="23"/>
      <c r="H12" s="23"/>
      <c r="I12" s="23"/>
      <c r="J12" s="23">
        <f>J8*J10</f>
        <v>148.72025576310207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0.72404390816983033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581.79686351388432</v>
      </c>
      <c r="C26" s="248">
        <f>B26*'GWP N2O_CH4'!B5</f>
        <v>12217.734133791571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322.72767332073806</v>
      </c>
      <c r="C27" s="248">
        <f>B27*'GWP N2O_CH4'!B5</f>
        <v>6777.281139735499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8.7088556231101322</v>
      </c>
      <c r="C28" s="248">
        <f>B28*'GWP N2O_CH4'!B4</f>
        <v>2699.7452431641409</v>
      </c>
      <c r="D28" s="50"/>
    </row>
    <row r="29" spans="1:4">
      <c r="A29" s="41" t="s">
        <v>277</v>
      </c>
      <c r="B29" s="248">
        <f>B34*'ha_N2O bodem landbouw'!B4</f>
        <v>31.201812284625035</v>
      </c>
      <c r="C29" s="248">
        <f>B29*'GWP N2O_CH4'!B4</f>
        <v>9672.5618082337605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5.1565092751744111E-3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6.9766633284884242E-6</v>
      </c>
      <c r="C5" s="446" t="s">
        <v>211</v>
      </c>
      <c r="D5" s="431">
        <f>SUM(D6:D11)</f>
        <v>3.4518872992486193E-5</v>
      </c>
      <c r="E5" s="431">
        <f>SUM(E6:E11)</f>
        <v>4.1285269124154266E-3</v>
      </c>
      <c r="F5" s="444" t="s">
        <v>211</v>
      </c>
      <c r="G5" s="431">
        <f>SUM(G6:G11)</f>
        <v>0.80090810705534099</v>
      </c>
      <c r="H5" s="431">
        <f>SUM(H6:H11)</f>
        <v>0.11950292324609127</v>
      </c>
      <c r="I5" s="446" t="s">
        <v>211</v>
      </c>
      <c r="J5" s="446" t="s">
        <v>211</v>
      </c>
      <c r="K5" s="446" t="s">
        <v>211</v>
      </c>
      <c r="L5" s="446" t="s">
        <v>211</v>
      </c>
      <c r="M5" s="431">
        <f>SUM(M6:M11)</f>
        <v>4.0113861419539112E-2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6.9473363477704031E-7</v>
      </c>
      <c r="C6" s="432"/>
      <c r="D6" s="432">
        <f>vkm_2011_GW_PW*SUMIFS(TableVerdeelsleutelVkm[CNG],TableVerdeelsleutelVkm[Voertuigtype],"Lichte voertuigen")*SUMIFS(TableECFTransport[EnergieConsumptieFactor (PJ per km)],TableECFTransport[Index],CONCATENATE($A6,"_CNG_CNG"))</f>
        <v>2.9949159437752768E-6</v>
      </c>
      <c r="E6" s="434">
        <f>vkm_2011_GW_PW*SUMIFS(TableVerdeelsleutelVkm[LPG],TableVerdeelsleutelVkm[Voertuigtype],"Lichte voertuigen")*SUMIFS(TableECFTransport[EnergieConsumptieFactor (PJ per km)],TableECFTransport[Index],CONCATENATE($A6,"_LPG_LPG"))</f>
        <v>3.11602627531273E-4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3.8327978622460929E-2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1.009096249982365E-2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2.1219501292779478E-3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2.1497663764242479E-2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7.3712509977173624E-6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9.2865879497830027E-4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1.0608907478395146E-6</v>
      </c>
      <c r="C8" s="432"/>
      <c r="D8" s="434">
        <f>vkm_2011_NGW_PW*SUMIFS(TableVerdeelsleutelVkm[CNG],TableVerdeelsleutelVkm[Voertuigtype],"Lichte voertuigen")*SUMIFS(TableECFTransport[EnergieConsumptieFactor (PJ per km)],TableECFTransport[Index],CONCATENATE($A8,"_CNG_CNG"))</f>
        <v>8.2047491865920158E-6</v>
      </c>
      <c r="E8" s="434">
        <f>vkm_2011_NGW_PW*SUMIFS(TableVerdeelsleutelVkm[LPG],TableVerdeelsleutelVkm[Voertuigtype],"Lichte voertuigen")*SUMIFS(TableECFTransport[EnergieConsumptieFactor (PJ per km)],TableECFTransport[Index],CONCATENATE($A8,"_LPG_LPG"))</f>
        <v>7.7944924326195538E-4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9.0934682276123238E-2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2.6388835653282001E-2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5.1476524246533688E-3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3.5397427203021643E-2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1.0543963635176712E-5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1.5290288163157765E-3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5.2210389458718694E-6</v>
      </c>
      <c r="C10" s="432"/>
      <c r="D10" s="434">
        <f>vkm_2011_SW_PW*SUMIFS(TableVerdeelsleutelVkm[CNG],TableVerdeelsleutelVkm[Voertuigtype],"Lichte voertuigen")*SUMIFS(TableECFTransport[EnergieConsumptieFactor (PJ per km)],TableECFTransport[Index],CONCATENATE($A10,"_CNG_CNG"))</f>
        <v>2.33192078621189E-5</v>
      </c>
      <c r="E10" s="434">
        <f>vkm_2011_SW_PW*SUMIFS(TableVerdeelsleutelVkm[LPG],TableVerdeelsleutelVkm[Voertuigtype],"Lichte voertuigen")*SUMIFS(TableECFTransport[EnergieConsumptieFactor (PJ per km)],TableECFTransport[Index],CONCATENATE($A10,"_LPG_LPG"))</f>
        <v>3.0374750416221987E-3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0.34348193150603301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8.2905967522801549E-2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1.866799547189062E-2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0.27126842368345971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9.9242355551171427E-5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1.1718575782423102E-2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1.9379620356912288</v>
      </c>
      <c r="C14" s="21"/>
      <c r="D14" s="21">
        <f t="shared" ref="D14:M14" si="0">((D5)*10^9/3600)+D12</f>
        <v>9.588575831246164</v>
      </c>
      <c r="E14" s="21">
        <f t="shared" si="0"/>
        <v>1146.8130312265075</v>
      </c>
      <c r="F14" s="21"/>
      <c r="G14" s="21">
        <f t="shared" si="0"/>
        <v>222474.47418203918</v>
      </c>
      <c r="H14" s="21">
        <f t="shared" si="0"/>
        <v>33195.256457247575</v>
      </c>
      <c r="I14" s="21"/>
      <c r="J14" s="21"/>
      <c r="K14" s="21"/>
      <c r="L14" s="21"/>
      <c r="M14" s="21">
        <f t="shared" si="0"/>
        <v>11142.739283205308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0.22151003288307791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0.42927803425212069</v>
      </c>
      <c r="C18" s="23"/>
      <c r="D18" s="23">
        <f t="shared" ref="D18:M18" si="1">D14*D16</f>
        <v>1.9368923179117252</v>
      </c>
      <c r="E18" s="23">
        <f t="shared" si="1"/>
        <v>260.32655808841719</v>
      </c>
      <c r="F18" s="23"/>
      <c r="G18" s="23">
        <f t="shared" si="1"/>
        <v>59400.684606604467</v>
      </c>
      <c r="H18" s="23">
        <f t="shared" si="1"/>
        <v>8265.6188578546462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1.3646170513005463E-3</v>
      </c>
      <c r="H50" s="322">
        <f t="shared" si="2"/>
        <v>0</v>
      </c>
      <c r="I50" s="322">
        <f t="shared" si="2"/>
        <v>0</v>
      </c>
      <c r="J50" s="322">
        <f t="shared" si="2"/>
        <v>0</v>
      </c>
      <c r="K50" s="322">
        <f t="shared" si="2"/>
        <v>0</v>
      </c>
      <c r="L50" s="322">
        <f t="shared" si="2"/>
        <v>0</v>
      </c>
      <c r="M50" s="322">
        <f t="shared" si="2"/>
        <v>5.8167696350140277E-5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1.3646170513005463E-3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5.8167696350140277E-5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379.06029202792956</v>
      </c>
      <c r="H54" s="21">
        <f t="shared" si="3"/>
        <v>0</v>
      </c>
      <c r="I54" s="21">
        <f t="shared" si="3"/>
        <v>0</v>
      </c>
      <c r="J54" s="21">
        <f t="shared" si="3"/>
        <v>0</v>
      </c>
      <c r="K54" s="21">
        <f t="shared" si="3"/>
        <v>0</v>
      </c>
      <c r="L54" s="21">
        <f t="shared" si="3"/>
        <v>0</v>
      </c>
      <c r="M54" s="21">
        <f t="shared" si="3"/>
        <v>16.15769343059452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0.22151003288307791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101.2090979714572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1517.7735930675019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21600</v>
      </c>
      <c r="C8" s="557">
        <f>B101</f>
        <v>25411.764705882357</v>
      </c>
      <c r="D8" s="985"/>
      <c r="E8" s="985">
        <f>E101</f>
        <v>0</v>
      </c>
      <c r="F8" s="986"/>
      <c r="G8" s="558"/>
      <c r="H8" s="985">
        <f>I101</f>
        <v>0</v>
      </c>
      <c r="I8" s="985">
        <f>G101+F101</f>
        <v>0</v>
      </c>
      <c r="J8" s="985">
        <f>H101+D101+C101</f>
        <v>0</v>
      </c>
      <c r="K8" s="985"/>
      <c r="L8" s="985"/>
      <c r="M8" s="985"/>
      <c r="N8" s="559"/>
      <c r="O8" s="560">
        <f>C8*$C$12+D8*$D$12+E8*$E$12+F8*$F$12+G8*$G$12+H8*$H$12+I8*$I$12+J8*$J$12</f>
        <v>5133.176470588236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23117.773593067501</v>
      </c>
      <c r="C10" s="569">
        <f t="shared" ref="C10:L10" si="0">SUM(C8:C9)</f>
        <v>25411.764705882357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5133.176470588236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30857.142857142855</v>
      </c>
      <c r="C17" s="581">
        <f>B102</f>
        <v>36302.521008403368</v>
      </c>
      <c r="D17" s="582"/>
      <c r="E17" s="582">
        <f>E102</f>
        <v>0</v>
      </c>
      <c r="F17" s="583"/>
      <c r="G17" s="584"/>
      <c r="H17" s="581">
        <f>I102</f>
        <v>0</v>
      </c>
      <c r="I17" s="582">
        <f>G102+F102</f>
        <v>0</v>
      </c>
      <c r="J17" s="582">
        <f>H102+D102+C102</f>
        <v>0</v>
      </c>
      <c r="K17" s="582"/>
      <c r="L17" s="582"/>
      <c r="M17" s="582"/>
      <c r="N17" s="981"/>
      <c r="O17" s="585">
        <f>C17*$C$22+E17*$E$22+H17*$H$22+I17*$I$22+J17*$J$22+D17*$D$22+F17*$F$22+G17*$G$22+K17*$K$22+L17*$L$22</f>
        <v>7333.1092436974805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30857.142857142855</v>
      </c>
      <c r="C20" s="568">
        <f>SUM(C17:C19)</f>
        <v>36302.521008403368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7333.1092436974805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44049</v>
      </c>
      <c r="C28" s="788">
        <v>9850</v>
      </c>
      <c r="D28" s="641" t="s">
        <v>965</v>
      </c>
      <c r="E28" s="640" t="s">
        <v>966</v>
      </c>
      <c r="F28" s="640" t="s">
        <v>967</v>
      </c>
      <c r="G28" s="640" t="s">
        <v>968</v>
      </c>
      <c r="H28" s="640" t="s">
        <v>969</v>
      </c>
      <c r="I28" s="640" t="s">
        <v>966</v>
      </c>
      <c r="J28" s="787">
        <v>39898</v>
      </c>
      <c r="K28" s="787">
        <v>39708</v>
      </c>
      <c r="L28" s="640" t="s">
        <v>970</v>
      </c>
      <c r="M28" s="640">
        <v>800</v>
      </c>
      <c r="N28" s="640">
        <v>3600</v>
      </c>
      <c r="O28" s="640">
        <v>5142.8571428571431</v>
      </c>
      <c r="P28" s="640">
        <v>10285.714285714286</v>
      </c>
      <c r="Q28" s="640">
        <v>0</v>
      </c>
      <c r="R28" s="640">
        <v>0</v>
      </c>
      <c r="S28" s="640">
        <v>0</v>
      </c>
      <c r="T28" s="640">
        <v>0</v>
      </c>
      <c r="U28" s="640">
        <v>0</v>
      </c>
      <c r="V28" s="640">
        <v>0</v>
      </c>
      <c r="W28" s="640">
        <v>0</v>
      </c>
      <c r="X28" s="640">
        <v>10</v>
      </c>
      <c r="Y28" s="640" t="s">
        <v>112</v>
      </c>
      <c r="Z28" s="642" t="s">
        <v>112</v>
      </c>
    </row>
    <row r="29" spans="1:26" s="594" customFormat="1" ht="25.5">
      <c r="A29" s="593"/>
      <c r="B29" s="788">
        <v>44049</v>
      </c>
      <c r="C29" s="788">
        <v>9850</v>
      </c>
      <c r="D29" s="641" t="s">
        <v>971</v>
      </c>
      <c r="E29" s="640" t="s">
        <v>972</v>
      </c>
      <c r="F29" s="640" t="s">
        <v>973</v>
      </c>
      <c r="G29" s="640" t="s">
        <v>968</v>
      </c>
      <c r="H29" s="640" t="s">
        <v>969</v>
      </c>
      <c r="I29" s="640" t="s">
        <v>972</v>
      </c>
      <c r="J29" s="787">
        <v>39496</v>
      </c>
      <c r="K29" s="787">
        <v>39542</v>
      </c>
      <c r="L29" s="640" t="s">
        <v>970</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25.5">
      <c r="A30" s="593"/>
      <c r="B30" s="788">
        <v>44049</v>
      </c>
      <c r="C30" s="788">
        <v>9850</v>
      </c>
      <c r="D30" s="641" t="s">
        <v>974</v>
      </c>
      <c r="E30" s="640" t="s">
        <v>975</v>
      </c>
      <c r="F30" s="640" t="s">
        <v>976</v>
      </c>
      <c r="G30" s="640" t="s">
        <v>968</v>
      </c>
      <c r="H30" s="640" t="s">
        <v>969</v>
      </c>
      <c r="I30" s="640" t="s">
        <v>975</v>
      </c>
      <c r="J30" s="787">
        <v>39436</v>
      </c>
      <c r="K30" s="787">
        <v>39436</v>
      </c>
      <c r="L30" s="640" t="s">
        <v>970</v>
      </c>
      <c r="M30" s="640">
        <v>2000</v>
      </c>
      <c r="N30" s="640">
        <v>9000</v>
      </c>
      <c r="O30" s="640">
        <v>12857.142857142857</v>
      </c>
      <c r="P30" s="640">
        <v>25714.285714285717</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4800</v>
      </c>
      <c r="N58" s="598">
        <f>SUM(N28:N57)</f>
        <v>21600</v>
      </c>
      <c r="O58" s="598">
        <f t="shared" ref="O58:W58" si="2">SUM(O28:O57)</f>
        <v>30857.142857142855</v>
      </c>
      <c r="P58" s="598">
        <f t="shared" si="2"/>
        <v>61714.285714285717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4800</v>
      </c>
      <c r="N61" s="603">
        <f t="shared" si="4"/>
        <v>21600</v>
      </c>
      <c r="O61" s="603">
        <f t="shared" si="4"/>
        <v>30857.142857142855</v>
      </c>
      <c r="P61" s="603">
        <f t="shared" si="4"/>
        <v>61714.285714285717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25411.764705882357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36302.521008403368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2019-08-12T09:22:12Z</dcterms:modified>
</cp:coreProperties>
</file>