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C98" l="1"/>
  <c r="I101" s="1"/>
  <c r="H8" s="1"/>
  <c r="B17"/>
  <c r="B20" s="1"/>
  <c r="O18"/>
  <c r="B8"/>
  <c r="B10" s="1"/>
  <c r="L20"/>
  <c r="O19"/>
  <c r="E101"/>
  <c r="E8" s="1"/>
  <c r="E10" s="1"/>
  <c r="I102"/>
  <c r="H17" s="1"/>
  <c r="H20" s="1"/>
  <c r="E102"/>
  <c r="E17" s="1"/>
  <c r="E20" s="1"/>
  <c r="H102"/>
  <c r="D102"/>
  <c r="G102"/>
  <c r="C102"/>
  <c r="F102"/>
  <c r="B102"/>
  <c r="C17" s="1"/>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G78" i="14"/>
  <c r="G9" i="55"/>
  <c r="G10" s="1"/>
  <c r="C77" i="14"/>
  <c r="C9" i="55" s="1"/>
  <c r="F9"/>
  <c r="N78" i="14"/>
  <c r="N9" i="55"/>
  <c r="M90" i="14"/>
  <c r="M17" i="55"/>
  <c r="M20" s="1"/>
  <c r="F20"/>
  <c r="L90" i="14"/>
  <c r="P32" i="48"/>
  <c r="G101" i="18"/>
  <c r="I8" s="1"/>
  <c r="K22" i="14"/>
  <c r="D22"/>
  <c r="L22"/>
  <c r="L20" i="55"/>
  <c r="P31" i="48"/>
  <c r="D14"/>
  <c r="C101" i="18"/>
  <c r="O78" i="14"/>
  <c r="O9" i="55"/>
  <c r="F90" i="14"/>
  <c r="F18" i="55"/>
  <c r="N90" i="14"/>
  <c r="N18" i="55"/>
  <c r="N20" s="1"/>
  <c r="O20"/>
  <c r="H101" i="18"/>
  <c r="F76" i="14"/>
  <c r="L10" i="55"/>
  <c r="K20"/>
  <c r="F101" i="18"/>
  <c r="O10" i="55"/>
  <c r="H20"/>
  <c r="P24" i="48"/>
  <c r="B101" i="18"/>
  <c r="C8" s="1"/>
  <c r="D76" i="14" s="1"/>
  <c r="L78"/>
  <c r="L8" i="55"/>
  <c r="E90" i="14"/>
  <c r="E18" i="55"/>
  <c r="E20" s="1"/>
  <c r="H90" i="14"/>
  <c r="D101" i="18"/>
  <c r="J8" s="1"/>
  <c r="R9" i="14"/>
  <c r="M22"/>
  <c r="N10" i="55"/>
  <c r="O28" i="48"/>
  <c r="O25"/>
  <c r="B77" i="14"/>
  <c r="B9" i="55" s="1"/>
  <c r="H78" i="14"/>
  <c r="C88"/>
  <c r="C18" i="55" s="1"/>
  <c r="C20" i="18"/>
  <c r="E78" i="14"/>
  <c r="M78"/>
  <c r="D87"/>
  <c r="D17" i="55" s="1"/>
  <c r="D20" s="1"/>
  <c r="G90" i="14"/>
  <c r="O90"/>
  <c r="J17" i="18"/>
  <c r="Q88" i="14"/>
  <c r="P18" i="55" s="1"/>
  <c r="Q89" i="14"/>
  <c r="P19" i="55" s="1"/>
  <c r="K78" i="14"/>
  <c r="B88"/>
  <c r="B18" i="55" s="1"/>
  <c r="C89" i="14"/>
  <c r="C19" i="55" s="1"/>
  <c r="B89" i="14"/>
  <c r="B19" i="55" s="1"/>
  <c r="I17" i="18"/>
  <c r="O27" i="48"/>
  <c r="O31"/>
  <c r="P27"/>
  <c r="P28"/>
  <c r="P29"/>
  <c r="Q11"/>
  <c r="Q12"/>
  <c r="O30"/>
  <c r="Q77" i="14"/>
  <c r="K90"/>
  <c r="Q76" l="1"/>
  <c r="P8" i="55" s="1"/>
  <c r="D8"/>
  <c r="D10" s="1"/>
  <c r="Q14" i="48"/>
  <c r="F8" i="55"/>
  <c r="F10" s="1"/>
  <c r="F78" i="14"/>
  <c r="D78"/>
  <c r="C10" i="18"/>
  <c r="Q78" i="14"/>
  <c r="B9" i="6" s="1"/>
  <c r="P9" i="55"/>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P10"/>
  <c r="I78" i="14"/>
  <c r="C76"/>
  <c r="B76"/>
  <c r="I90"/>
  <c r="B87"/>
  <c r="C87"/>
  <c r="H14" i="15"/>
  <c r="H16" s="1"/>
  <c r="G14"/>
  <c r="G16" s="1"/>
  <c r="B78" i="14" l="1"/>
  <c r="B4" i="6" s="1"/>
  <c r="B8" i="55"/>
  <c r="B10" s="1"/>
  <c r="B90" i="14"/>
  <c r="B17" i="55"/>
  <c r="B20" s="1"/>
  <c r="C78" i="14"/>
  <c r="C8" i="55"/>
  <c r="C1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30"/>
  <c r="N29"/>
  <c r="N28"/>
  <c r="N27"/>
  <c r="N24"/>
  <c r="N31"/>
  <c r="B7"/>
  <c r="C24" i="14"/>
  <c r="C26" s="1"/>
  <c r="E24" i="48"/>
  <c r="E30"/>
  <c r="E32"/>
  <c r="E29"/>
  <c r="E31"/>
  <c r="E28"/>
  <c r="M30"/>
  <c r="M24"/>
  <c r="M26"/>
  <c r="M32"/>
  <c r="M22"/>
  <c r="M29"/>
  <c r="M25"/>
  <c r="L10" i="14"/>
  <c r="L16" s="1"/>
  <c r="L27" s="1"/>
  <c r="K5" i="48"/>
  <c r="D30"/>
  <c r="D24"/>
  <c r="D29"/>
  <c r="D31"/>
  <c r="D28"/>
  <c r="D32"/>
  <c r="L32"/>
  <c r="L30"/>
  <c r="L22"/>
  <c r="L28"/>
  <c r="L24"/>
  <c r="L31"/>
  <c r="L27"/>
  <c r="L29"/>
  <c r="P5"/>
  <c r="P23" s="1"/>
  <c r="Q10" i="14"/>
  <c r="J15" i="16"/>
  <c r="N10" i="14"/>
  <c r="N16" s="1"/>
  <c r="M5" i="48"/>
  <c r="J10" i="14"/>
  <c r="J16" s="1"/>
  <c r="J27" s="1"/>
  <c r="I5" i="48"/>
  <c r="P4"/>
  <c r="Q11" i="14"/>
  <c r="P11"/>
  <c r="O4" i="48"/>
  <c r="C18" i="16"/>
  <c r="F32" i="48"/>
  <c r="F24"/>
  <c r="F31"/>
  <c r="F27"/>
  <c r="F28"/>
  <c r="F29"/>
  <c r="F30"/>
  <c r="K30"/>
  <c r="K29"/>
  <c r="K32"/>
  <c r="K28"/>
  <c r="K31"/>
  <c r="K26"/>
  <c r="K25"/>
  <c r="K22"/>
  <c r="K27"/>
  <c r="K24"/>
  <c r="B10"/>
  <c r="C19" i="14"/>
  <c r="J32" i="48"/>
  <c r="J24"/>
  <c r="J31"/>
  <c r="J30"/>
  <c r="J28"/>
  <c r="J29"/>
  <c r="J27"/>
  <c r="I26"/>
  <c r="I27"/>
  <c r="I30"/>
  <c r="I24"/>
  <c r="I32"/>
  <c r="I28"/>
  <c r="I31"/>
  <c r="I22"/>
  <c r="I29"/>
  <c r="I25"/>
  <c r="H12" i="22"/>
  <c r="H13" i="48"/>
  <c r="H31" s="1"/>
  <c r="I18" i="14"/>
  <c r="E11"/>
  <c r="D4" i="48"/>
  <c r="D22" s="1"/>
  <c r="H30"/>
  <c r="H32"/>
  <c r="H26"/>
  <c r="H25"/>
  <c r="H22"/>
  <c r="H29"/>
  <c r="H24"/>
  <c r="H28"/>
  <c r="H23"/>
  <c r="C4"/>
  <c r="D11" i="14"/>
  <c r="G30" i="48"/>
  <c r="G32"/>
  <c r="G25"/>
  <c r="G29"/>
  <c r="G26"/>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22" i="48" l="1"/>
  <c r="K23"/>
  <c r="K33" s="1"/>
  <c r="K15"/>
  <c r="P10" i="14"/>
  <c r="O5" i="48"/>
  <c r="O23" s="1"/>
  <c r="M13"/>
  <c r="M31" s="1"/>
  <c r="N18" i="14"/>
  <c r="O22" i="48"/>
  <c r="F4"/>
  <c r="F22" s="1"/>
  <c r="G11" i="14"/>
  <c r="M23" i="48"/>
  <c r="P22" i="16"/>
  <c r="Q43" i="14" s="1"/>
  <c r="Q13"/>
  <c r="Q16" s="1"/>
  <c r="Q27" s="1"/>
  <c r="P8" i="48"/>
  <c r="P26" s="1"/>
  <c r="I22" i="14"/>
  <c r="I27" s="1"/>
  <c r="I33" i="48"/>
  <c r="J63" i="14"/>
  <c r="I20"/>
  <c r="H9" i="48"/>
  <c r="G12" i="22"/>
  <c r="G13" i="48"/>
  <c r="H18" i="14"/>
  <c r="R18" s="1"/>
  <c r="I15" i="48"/>
  <c r="I23"/>
  <c r="D16" i="15"/>
  <c r="D5" i="48" s="1"/>
  <c r="L46" i="14"/>
  <c r="L61" s="1"/>
  <c r="L63" s="1"/>
  <c r="G31" i="20"/>
  <c r="H48" i="14" s="1"/>
  <c r="I52"/>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D9"/>
  <c r="D27" s="1"/>
  <c r="E20" i="14"/>
  <c r="E22" s="1"/>
  <c r="P13"/>
  <c r="O8" i="48"/>
  <c r="N4"/>
  <c r="N22" s="1"/>
  <c r="O11" i="14"/>
  <c r="J4" i="48"/>
  <c r="J22" s="1"/>
  <c r="K11" i="14"/>
  <c r="G31" i="48"/>
  <c r="Q13"/>
  <c r="P46" i="14"/>
  <c r="P61" s="1"/>
  <c r="P63" s="1"/>
  <c r="P16"/>
  <c r="P27" s="1"/>
  <c r="Q46"/>
  <c r="Q61" s="1"/>
  <c r="Q63" s="1"/>
  <c r="P15" i="48"/>
  <c r="P33"/>
  <c r="G14" i="22"/>
  <c r="M10" i="48"/>
  <c r="M28" s="1"/>
  <c r="N19" i="14"/>
  <c r="E12" i="13"/>
  <c r="F41" i="14" s="1"/>
  <c r="E4" i="48"/>
  <c r="F11" i="14"/>
  <c r="R11" s="1"/>
  <c r="G10" i="48"/>
  <c r="H19" i="14"/>
  <c r="H27" i="48"/>
  <c r="H33" s="1"/>
  <c r="H15"/>
  <c r="E7"/>
  <c r="E25" s="1"/>
  <c r="F24" i="14"/>
  <c r="F26" s="1"/>
  <c r="E12" i="17"/>
  <c r="F54" i="14" s="1"/>
  <c r="F56" s="1"/>
  <c r="B8" i="48"/>
  <c r="C13" i="14"/>
  <c r="D22" i="16"/>
  <c r="E43" i="14" s="1"/>
  <c r="E13"/>
  <c r="D8" i="48"/>
  <c r="D26" s="1"/>
  <c r="D15"/>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H52" s="1"/>
  <c r="H61"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N22"/>
  <c r="N27" s="1"/>
  <c r="C22"/>
  <c r="O26" i="48"/>
  <c r="O33" s="1"/>
  <c r="O15"/>
  <c r="G28"/>
  <c r="Q10"/>
  <c r="G9"/>
  <c r="H20" i="14"/>
  <c r="H22" s="1"/>
  <c r="H27" s="1"/>
  <c r="H63" s="1"/>
  <c r="M18" i="22"/>
  <c r="N50" i="14" s="1"/>
  <c r="M9" i="48"/>
  <c r="N20" i="14"/>
  <c r="E22" i="48"/>
  <c r="Q4"/>
  <c r="R19" i="14"/>
  <c r="J5" i="48"/>
  <c r="K10" i="14"/>
  <c r="E20" i="15"/>
  <c r="F40" i="14" s="1"/>
  <c r="E5" i="48"/>
  <c r="F10" i="14"/>
  <c r="L15" i="48"/>
  <c r="Q7"/>
  <c r="R24" i="14"/>
  <c r="R26" s="1"/>
  <c r="J18" i="16"/>
  <c r="N18"/>
  <c r="E18"/>
  <c r="F18"/>
  <c r="F22" s="1"/>
  <c r="G43" i="14" s="1"/>
  <c r="G27" i="48" l="1"/>
  <c r="G33" s="1"/>
  <c r="G15"/>
  <c r="M27"/>
  <c r="M33" s="1"/>
  <c r="M15"/>
  <c r="R20" i="14"/>
  <c r="R22" s="1"/>
  <c r="N63"/>
  <c r="Q9" i="48"/>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<sst xmlns="http://schemas.openxmlformats.org/spreadsheetml/2006/main" count="2505" uniqueCount="971">
  <si>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</si>
  <si>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</si>
  <si>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</si>
  <si>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</si>
  <si>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</si>
  <si>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</si>
  <si>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</si>
  <si>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</si>
  <si>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</si>
  <si>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</si>
  <si>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</si>
  <si>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</si>
  <si>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</si>
  <si>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</si>
  <si>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</si>
  <si>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</si>
  <si>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</si>
  <si>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</si>
  <si>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</si>
  <si>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</si>
  <si>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</si>
  <si>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</si>
  <si>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</si>
  <si>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</si>
  <si>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</si>
  <si>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</si>
  <si>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</si>
  <si>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</si>
  <si>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</si>
  <si>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</si>
  <si>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</si>
  <si>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</si>
  <si>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</si>
  <si>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</si>
  <si>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</si>
  <si>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</si>
  <si>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</si>
  <si>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</si>
  <si>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</si>
  <si>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</si>
  <si>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</si>
  <si>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</si>
  <si>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</si>
  <si>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</si>
  <si>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</si>
  <si>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</si>
  <si>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</si>
  <si>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</si>
  <si>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</si>
  <si>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</si>
  <si>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</si>
  <si>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</si>
  <si>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</si>
  <si>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</si>
  <si>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</si>
  <si>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</si>
  <si>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</si>
  <si>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</si>
  <si>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</si>
  <si>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</si>
  <si>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</si>
  <si>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</si>
  <si>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</si>
  <si>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</si>
  <si>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</si>
  <si>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</si>
  <si>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</si>
  <si>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</si>
  <si>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</si>
  <si>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</si>
  <si>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</si>
  <si>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</si>
  <si>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</si>
  <si>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</si>
  <si>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</si>
  <si>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</si>
  <si>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</si>
  <si>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</si>
  <si>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</si>
  <si>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</si>
  <si>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</si>
  <si>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</si>
  <si>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</si>
  <si>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</si>
  <si>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</si>
  <si>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</si>
  <si>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</si>
  <si>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</si>
  <si>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</si>
  <si>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</si>
  <si>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</si>
  <si>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</si>
  <si>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</si>
  <si>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</si>
  <si>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</si>
  <si>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</si>
  <si>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</si>
  <si>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</si>
  <si>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</si>
  <si>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</si>
  <si>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</si>
  <si>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</si>
  <si>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</si>
  <si>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</si>
  <si>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</si>
  <si>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</si>
  <si>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</si>
  <si>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</si>
  <si>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</si>
  <si>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</si>
  <si>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</si>
  <si>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</si>
  <si>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</si>
  <si>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</si>
  <si>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</si>
  <si>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</si>
  <si>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</si>
  <si>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</si>
  <si>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</si>
  <si>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</si>
  <si>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</si>
  <si>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</si>
  <si>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</si>
  <si>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</si>
  <si>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</si>
  <si>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</si>
  <si>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</si>
  <si>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</si>
  <si>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</si>
  <si>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</si>
  <si>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</si>
  <si>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</si>
  <si>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</si>
  <si>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</si>
  <si>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</si>
  <si>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</si>
  <si>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</si>
  <si>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</si>
  <si>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</si>
  <si>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</si>
  <si>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</si>
  <si>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</si>
  <si>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</si>
  <si>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</si>
  <si>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</si>
  <si>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</si>
  <si>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</si>
  <si>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</si>
  <si>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</si>
  <si>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</si>
  <si>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</si>
  <si>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</si>
  <si>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</si>
  <si>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</si>
  <si>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</si>
  <si>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</si>
  <si>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</si>
  <si>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</si>
  <si>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</si>
  <si>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</si>
  <si>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</si>
  <si>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</si>
  <si>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</si>
  <si>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</si>
  <si>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</si>
  <si>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</si>
  <si>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</si>
  <si>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</si>
  <si>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</si>
  <si>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</si>
  <si>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</si>
  <si>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</si>
  <si>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</si>
  <si>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</si>
  <si>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</si>
  <si>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</si>
  <si>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</si>
  <si>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</si>
  <si>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</si>
  <si>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</si>
  <si>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</si>
  <si>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</si>
  <si>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</si>
  <si>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</si>
  <si>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</si>
  <si>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</si>
  <si>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</si>
  <si>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</si>
  <si>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</si>
  <si>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</si>
  <si>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</si>
  <si>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</si>
  <si>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</si>
  <si>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</si>
  <si>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</si>
  <si>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</si>
  <si>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</si>
  <si>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</si>
  <si>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</si>
  <si>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</si>
  <si>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</si>
  <si>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</si>
  <si>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</si>
  <si>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</si>
  <si>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</si>
  <si>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</si>
  <si>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</si>
  <si>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</si>
  <si>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</si>
  <si>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</si>
  <si>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</si>
  <si>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</si>
  <si>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</si>
  <si>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</si>
  <si>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</si>
  <si>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</si>
  <si>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</si>
  <si>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</si>
  <si>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</si>
  <si>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</si>
  <si>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</si>
  <si>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</si>
  <si>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</si>
  <si>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</si>
  <si>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</si>
  <si>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</si>
  <si>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</si>
  <si>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</si>
  <si>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</si>
  <si>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</si>
  <si>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</si>
  <si>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</si>
  <si>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</si>
  <si>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</si>
  <si>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</si>
  <si>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</si>
  <si>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</si>
  <si>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</si>
  <si>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</si>
  <si>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</si>
  <si>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</si>
  <si>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</si>
  <si>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</si>
  <si>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</si>
  <si>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</si>
  <si>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</si>
  <si>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</si>
  <si>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</si>
  <si>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</si>
  <si>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</si>
  <si>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</si>
  <si>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</si>
  <si>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</si>
  <si>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</si>
  <si>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</si>
  <si>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</si>
  <si>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</si>
  <si>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</si>
  <si>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</si>
  <si>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</si>
  <si>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</si>
  <si>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</si>
  <si>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</si>
  <si>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</si>
  <si>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</si>
  <si>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</si>
  <si>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</si>
  <si>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</si>
  <si>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</si>
  <si>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</si>
  <si>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</si>
  <si>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</si>
  <si>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</si>
  <si>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</si>
  <si>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</si>
  <si>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</si>
  <si>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</si>
  <si>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</si>
  <si>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</si>
  <si>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</si>
  <si>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</si>
  <si>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</si>
  <si>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</si>
  <si>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</si>
  <si>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</si>
  <si>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</si>
  <si>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</si>
  <si>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</si>
  <si>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</si>
  <si>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</si>
  <si>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</si>
  <si>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</si>
  <si>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</si>
  <si>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</si>
  <si>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</si>
  <si>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</si>
  <si>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</si>
  <si>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</si>
  <si>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</si>
  <si>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</si>
  <si>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</si>
  <si>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</si>
  <si>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</si>
  <si>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</si>
  <si>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</si>
  <si>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</si>
  <si>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</si>
  <si>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</si>
  <si>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</si>
  <si>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</si>
  <si>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</si>
  <si>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</si>
  <si>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</si>
  <si>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</si>
  <si>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</si>
  <si>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</si>
  <si>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</si>
  <si>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</si>
  <si>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</si>
  <si>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</si>
  <si>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</si>
  <si>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</si>
  <si>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</si>
  <si>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</si>
  <si>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</si>
  <si>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</si>
  <si>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</si>
  <si>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</si>
  <si>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</si>
  <si>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</si>
  <si>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</si>
  <si>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</si>
  <si>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</si>
  <si>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</si>
  <si>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</si>
  <si>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</si>
  <si>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</si>
  <si>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</si>
  <si>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</si>
  <si>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</si>
  <si>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</si>
  <si>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</si>
  <si>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</si>
  <si>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</si>
  <si>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</si>
  <si>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</si>
  <si>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</si>
  <si>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</si>
  <si>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</si>
  <si>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</si>
  <si>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</si>
  <si>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</si>
  <si>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</si>
  <si>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</si>
  <si>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</si>
  <si>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</si>
  <si>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</si>
  <si>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</si>
  <si>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</si>
  <si>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</si>
  <si>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</si>
  <si>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</si>
  <si>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</si>
  <si>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</si>
  <si>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</si>
  <si>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</si>
  <si>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</si>
  <si>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</si>
  <si>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</si>
  <si>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</si>
  <si>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</si>
  <si>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</si>
  <si>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</si>
  <si>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</si>
  <si>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</si>
  <si>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</si>
  <si>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</si>
  <si>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</si>
  <si>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</si>
  <si>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</si>
  <si>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</si>
  <si>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</si>
  <si>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</si>
  <si>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</si>
  <si>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</si>
  <si>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</si>
  <si>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</si>
  <si>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</si>
  <si>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</si>
  <si>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</si>
  <si>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</si>
  <si>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</si>
  <si>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</si>
  <si>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</si>
  <si>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</si>
  <si>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</si>
  <si>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</si>
  <si>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</si>
  <si>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</si>
  <si>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</si>
  <si>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</si>
  <si>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</si>
  <si>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</si>
  <si>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</si>
  <si>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</si>
  <si>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</si>
  <si>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</si>
  <si>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</si>
  <si>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</si>
  <si>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</si>
  <si>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</si>
  <si>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</si>
  <si>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</si>
  <si>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</si>
  <si>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</si>
  <si>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</si>
  <si>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</si>
  <si>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</si>
  <si>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</si>
  <si>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</si>
  <si>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</si>
  <si>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</si>
  <si>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</si>
  <si>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</si>
  <si>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</si>
  <si>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</si>
  <si>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</si>
  <si>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</si>
  <si>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</si>
  <si>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</si>
  <si>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</si>
  <si>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</si>
  <si>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</si>
  <si>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</si>
  <si>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</si>
  <si>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</si>
  <si>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</si>
  <si>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</si>
  <si>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</si>
  <si>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</si>
  <si>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</si>
  <si>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</si>
  <si>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</si>
  <si>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</si>
  <si>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</si>
  <si>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</si>
  <si>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</si>
  <si>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</si>
  <si>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</si>
  <si>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</si>
  <si>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</si>
  <si>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</si>
  <si>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</si>
  <si>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</si>
  <si>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</si>
  <si>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</si>
  <si>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</si>
  <si>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</si>
  <si>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</si>
  <si>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</si>
  <si>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</si>
  <si>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</si>
  <si>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</si>
  <si>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</si>
  <si>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</si>
  <si>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</si>
  <si>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</si>
  <si>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</si>
  <si>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</si>
  <si>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</si>
  <si>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</si>
  <si>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</si>
  <si>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</si>
  <si>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</si>
  <si>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</si>
  <si>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</si>
  <si>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</si>
  <si>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</si>
  <si>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</si>
  <si>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</si>
  <si>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</si>
  <si>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</si>
  <si>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</si>
  <si>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</si>
  <si>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</si>
  <si>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</si>
  <si>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</si>
  <si>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</si>
  <si>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</si>
  <si>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</si>
  <si>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</si>
  <si>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</si>
  <si>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</si>
  <si>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</si>
  <si>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</si>
  <si>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</si>
  <si>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</si>
  <si>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</si>
  <si>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</si>
  <si>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</si>
  <si>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</si>
  <si>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</si>
  <si>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</si>
  <si>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</si>
  <si>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</si>
  <si>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</si>
  <si>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</si>
  <si>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</si>
  <si>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</si>
  <si>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</si>
  <si>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</si>
  <si>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</si>
  <si>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</si>
  <si>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</si>
  <si>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</si>
  <si>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</si>
  <si>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</si>
  <si>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</si>
  <si>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</si>
  <si>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</si>
  <si>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</si>
  <si>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</si>
  <si>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</si>
  <si>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</si>
  <si>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</si>
  <si>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</si>
  <si>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</si>
  <si>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</si>
  <si>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</si>
  <si>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</si>
  <si>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</si>
  <si>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</si>
  <si>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</si>
  <si>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</si>
  <si>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</si>
  <si>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</si>
  <si>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</si>
  <si>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</si>
  <si>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</si>
  <si>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</si>
  <si>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</si>
  <si>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</si>
  <si>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</si>
  <si>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</si>
  <si>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</si>
  <si>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</si>
  <si>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</si>
  <si>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</si>
  <si>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</si>
  <si>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</si>
  <si>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</si>
  <si>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</si>
  <si>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</si>
  <si>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</si>
  <si>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</si>
  <si>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</si>
  <si>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</si>
  <si>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</si>
  <si>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</si>
  <si>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</si>
  <si>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</si>
  <si>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</si>
  <si>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</si>
  <si>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</si>
  <si>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</si>
  <si>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</si>
  <si>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</si>
  <si>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</si>
  <si>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</si>
  <si>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</si>
  <si>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</si>
  <si>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</si>
  <si>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</si>
  <si>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</si>
  <si>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</si>
  <si>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</si>
  <si>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</si>
  <si>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</si>
  <si>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</si>
  <si>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</si>
  <si>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</si>
  <si>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</si>
  <si>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</si>
  <si>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</si>
  <si>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</si>
  <si>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</si>
  <si>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</si>
  <si>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</si>
  <si>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</si>
  <si>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</si>
  <si>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</si>
  <si>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</si>
  <si>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</si>
  <si>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</si>
  <si>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</si>
  <si>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</si>
  <si>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</si>
  <si>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</si>
  <si>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</si>
  <si>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</si>
  <si>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</si>
  <si>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</si>
  <si>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</si>
  <si>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</si>
  <si>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</si>
  <si>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</si>
  <si>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</si>
  <si>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</si>
  <si>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</si>
  <si>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</si>
  <si>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</si>
  <si>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</si>
  <si>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</si>
  <si>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</si>
  <si>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</si>
  <si>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</si>
  <si>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</si>
  <si>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</si>
  <si>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</si>
  <si>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</si>
  <si>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</si>
  <si>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</si>
  <si>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</si>
  <si>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</si>
  <si>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</si>
  <si>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</si>
  <si>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</si>
  <si>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</si>
  <si>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</si>
  <si>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</si>
  <si>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</si>
  <si>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</si>
  <si>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</si>
  <si>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</si>
  <si>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</si>
  <si>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</si>
  <si>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</si>
  <si>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</si>
  <si>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</si>
  <si>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</si>
  <si>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</si>
  <si>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</si>
  <si>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</si>
  <si>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</si>
  <si>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</si>
  <si>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</si>
  <si>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</si>
  <si>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</si>
  <si>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</si>
  <si>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</si>
  <si>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</si>
  <si>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</si>
  <si>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</si>
  <si>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</si>
  <si>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</si>
  <si>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</si>
  <si>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</si>
  <si>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</si>
  <si>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</si>
  <si>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</si>
  <si>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</si>
  <si>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</si>
  <si>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</si>
  <si>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</si>
  <si>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</si>
  <si>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</si>
  <si>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</si>
  <si>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</si>
  <si>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</si>
  <si>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</si>
  <si>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</si>
  <si>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</si>
  <si>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</si>
  <si>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</si>
  <si>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</si>
  <si>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</si>
  <si>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</si>
  <si>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</si>
  <si>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</si>
  <si>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</si>
  <si>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</si>
  <si>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</si>
  <si>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</si>
  <si>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</si>
  <si>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</si>
  <si>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</si>
  <si>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</si>
  <si>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</si>
  <si>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</si>
  <si>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</si>
  <si>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</si>
  <si>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</si>
  <si>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</si>
  <si>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</si>
  <si>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</si>
  <si>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</si>
  <si>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</si>
  <si>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</si>
  <si>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</si>
  <si>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</si>
  <si>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</si>
  <si>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</si>
  <si>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</si>
  <si>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</si>
  <si>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</si>
  <si>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</si>
  <si>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</si>
  <si>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</si>
  <si>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</si>
  <si>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</si>
  <si>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</si>
  <si>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</si>
  <si>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</si>
  <si>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</si>
  <si>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</si>
  <si>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</si>
  <si>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</si>
  <si>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</si>
  <si>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</si>
  <si>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</si>
  <si>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</si>
  <si>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</si>
  <si>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</si>
  <si>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</si>
  <si>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</si>
  <si>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</si>
  <si>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</si>
  <si>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</si>
  <si>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</si>
  <si>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</si>
  <si>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</si>
  <si>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</si>
  <si>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</si>
  <si>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</si>
  <si>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</si>
  <si>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</si>
  <si>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</si>
  <si>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</si>
  <si>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</si>
  <si>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</si>
  <si>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</si>
  <si>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</si>
  <si>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</si>
  <si>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</si>
  <si>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</si>
  <si>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</si>
  <si>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</si>
  <si>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</si>
  <si>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</si>
  <si>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</si>
  <si>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</si>
  <si>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</si>
  <si>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</si>
  <si>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</si>
  <si>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</si>
  <si>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</si>
  <si>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</si>
  <si>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</si>
  <si>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</si>
  <si>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</si>
  <si>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</si>
  <si>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</si>
  <si>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</si>
  <si>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</si>
  <si>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</si>
  <si>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</si>
  <si>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</si>
  <si>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</si>
  <si>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</si>
  <si>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</si>
  <si>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</si>
  <si>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</si>
  <si>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</si>
  <si>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</si>
  <si>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</si>
  <si>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</si>
  <si>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</si>
  <si>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</si>
  <si>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</si>
  <si>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</si>
  <si>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</si>
  <si>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</si>
  <si>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</si>
  <si>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</si>
  <si>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</si>
  <si>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</si>
  <si>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</si>
  <si>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</si>
  <si>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</si>
  <si>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</si>
  <si>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</si>
  <si>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</si>
  <si>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</si>
  <si>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</si>
  <si>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</si>
  <si>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</si>
  <si>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</si>
  <si>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</si>
  <si>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</si>
  <si>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</si>
  <si>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</si>
  <si>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</si>
  <si>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</si>
  <si>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</si>
  <si>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</si>
  <si>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</si>
  <si>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</si>
  <si>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</si>
  <si>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</si>
  <si>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</si>
  <si>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</si>
  <si>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</si>
  <si>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</si>
  <si>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</si>
  <si>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</si>
  <si>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</si>
  <si>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</si>
  <si>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</si>
  <si>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</si>
  <si>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</si>
  <si>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</si>
  <si>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</si>
  <si>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</si>
  <si>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</si>
  <si>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</si>
  <si>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</si>
  <si>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</si>
  <si>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</si>
  <si>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</si>
  <si>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</si>
  <si>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</si>
  <si>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</si>
  <si>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</si>
  <si>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</si>
  <si>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</si>
  <si>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</si>
  <si>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</si>
  <si>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</si>
  <si>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</si>
  <si>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</si>
  <si>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</si>
  <si>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</si>
  <si>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</si>
  <si>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</si>
  <si>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</si>
  <si>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</si>
  <si>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</si>
  <si>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</si>
  <si>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</si>
  <si>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</si>
  <si>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</si>
  <si>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</si>
  <si>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</si>
  <si>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</si>
  <si>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</si>
  <si>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</si>
  <si>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</si>
  <si>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</si>
  <si>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</si>
  <si>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</si>
  <si>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</si>
  <si>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</si>
  <si>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</si>
  <si>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</si>
  <si>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</si>
  <si>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</si>
  <si>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</si>
  <si>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</si>
  <si>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</si>
  <si>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</si>
  <si>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</si>
  <si>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</si>
  <si>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</si>
  <si>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</si>
  <si>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</si>
  <si>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</si>
  <si>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</si>
  <si>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</si>
  <si>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</si>
  <si>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</si>
  <si>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</si>
  <si>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</si>
  <si>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</si>
  <si>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</si>
  <si>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</si>
  <si>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</si>
  <si>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</si>
  <si>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</si>
  <si>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</si>
  <si>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</si>
  <si>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</si>
  <si>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</si>
  <si>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</si>
  <si>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</si>
  <si>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</si>
  <si>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</si>
  <si>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</si>
  <si>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</si>
  <si>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</si>
  <si>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</si>
  <si>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</si>
  <si>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</si>
  <si>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</si>
  <si>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</si>
  <si>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</si>
  <si>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</si>
  <si>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</si>
  <si>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</si>
  <si>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</si>
  <si>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</si>
  <si>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</si>
  <si>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</si>
  <si>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</si>
  <si>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</si>
  <si>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</si>
  <si>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</si>
  <si>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</si>
  <si>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</si>
  <si>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</si>
  <si>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</si>
  <si>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</si>
  <si>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</si>
  <si>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</si>
  <si>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</si>
  <si>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</si>
  <si>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</si>
  <si>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</si>
  <si>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</si>
  <si>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</si>
  <si>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</si>
  <si>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</si>
  <si>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</si>
  <si>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</si>
  <si>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</si>
  <si>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</si>
  <si>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</si>
  <si>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</si>
  <si>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</si>
  <si>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</si>
  <si>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</si>
  <si>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</si>
  <si>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</si>
  <si>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</si>
  <si>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</si>
  <si>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</si>
  <si>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</si>
  <si>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</si>
  <si>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</si>
  <si>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</si>
  <si>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</si>
  <si>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</si>
  <si>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</si>
  <si>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</si>
  <si>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</si>
  <si>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</si>
  <si>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</si>
  <si>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42010</t>
  </si>
  <si>
    <t>LAARNE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</si>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</sst>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42010</v>
      </c>
      <c r="B6" s="396"/>
      <c r="C6" s="397"/>
    </row>
    <row r="7" spans="1:7" s="394" customFormat="1" ht="15.75" customHeight="1">
      <c r="A7" s="398" t="str">
        <f>txtMunicipality</f>
        <v>LAARNE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0.21668392742466114</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0.21668392742466114</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42010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5070</v>
      </c>
      <c r="C9" s="336">
        <v>5275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1862</v>
      </c>
    </row>
    <row r="15" spans="1:6">
      <c r="A15" s="1277" t="s">
        <v>184</v>
      </c>
      <c r="B15" s="333">
        <v>22</v>
      </c>
    </row>
    <row r="16" spans="1:6">
      <c r="A16" s="1277" t="s">
        <v>6</v>
      </c>
      <c r="B16" s="333">
        <v>595</v>
      </c>
    </row>
    <row r="17" spans="1:6">
      <c r="A17" s="1277" t="s">
        <v>7</v>
      </c>
      <c r="B17" s="333">
        <v>294</v>
      </c>
    </row>
    <row r="18" spans="1:6">
      <c r="A18" s="1277" t="s">
        <v>8</v>
      </c>
      <c r="B18" s="333">
        <v>457</v>
      </c>
    </row>
    <row r="19" spans="1:6">
      <c r="A19" s="1277" t="s">
        <v>9</v>
      </c>
      <c r="B19" s="333">
        <v>628</v>
      </c>
    </row>
    <row r="20" spans="1:6">
      <c r="A20" s="1277" t="s">
        <v>10</v>
      </c>
      <c r="B20" s="333">
        <v>494</v>
      </c>
    </row>
    <row r="21" spans="1:6">
      <c r="A21" s="1277" t="s">
        <v>11</v>
      </c>
      <c r="B21" s="333">
        <v>177</v>
      </c>
    </row>
    <row r="22" spans="1:6">
      <c r="A22" s="1277" t="s">
        <v>12</v>
      </c>
      <c r="B22" s="333">
        <v>2076</v>
      </c>
    </row>
    <row r="23" spans="1:6">
      <c r="A23" s="1277" t="s">
        <v>13</v>
      </c>
      <c r="B23" s="333">
        <v>22</v>
      </c>
    </row>
    <row r="24" spans="1:6">
      <c r="A24" s="1277" t="s">
        <v>14</v>
      </c>
      <c r="B24" s="333">
        <v>2</v>
      </c>
    </row>
    <row r="25" spans="1:6">
      <c r="A25" s="1277" t="s">
        <v>15</v>
      </c>
      <c r="B25" s="333">
        <v>96</v>
      </c>
    </row>
    <row r="26" spans="1:6">
      <c r="A26" s="1277" t="s">
        <v>16</v>
      </c>
      <c r="B26" s="333">
        <v>33</v>
      </c>
    </row>
    <row r="27" spans="1:6">
      <c r="A27" s="1277" t="s">
        <v>17</v>
      </c>
      <c r="B27" s="333">
        <v>0</v>
      </c>
    </row>
    <row r="28" spans="1:6">
      <c r="A28" s="1277" t="s">
        <v>18</v>
      </c>
      <c r="B28" s="333">
        <v>18392</v>
      </c>
    </row>
    <row r="29" spans="1:6">
      <c r="A29" s="1277" t="s">
        <v>959</v>
      </c>
      <c r="B29" s="333">
        <v>275</v>
      </c>
    </row>
    <row r="30" spans="1:6">
      <c r="A30" s="1273" t="s">
        <v>960</v>
      </c>
      <c r="B30" s="1273">
        <v>56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2963</v>
      </c>
    </row>
    <row r="39" spans="1:6">
      <c r="A39" s="1277" t="s">
        <v>30</v>
      </c>
      <c r="B39" s="1277" t="s">
        <v>31</v>
      </c>
      <c r="C39" s="333">
        <v>2378</v>
      </c>
      <c r="D39" s="333">
        <v>38951669.775557801</v>
      </c>
      <c r="E39" s="333">
        <v>4851</v>
      </c>
      <c r="F39" s="333">
        <v>26485009.321103498</v>
      </c>
    </row>
    <row r="40" spans="1:6">
      <c r="A40" s="1277" t="s">
        <v>30</v>
      </c>
      <c r="B40" s="1277" t="s">
        <v>29</v>
      </c>
      <c r="C40" s="333">
        <v>0</v>
      </c>
      <c r="D40" s="333">
        <v>0</v>
      </c>
      <c r="E40" s="333">
        <v>0</v>
      </c>
      <c r="F40" s="333">
        <v>0</v>
      </c>
    </row>
    <row r="41" spans="1:6">
      <c r="A41" s="1277" t="s">
        <v>32</v>
      </c>
      <c r="B41" s="1277" t="s">
        <v>33</v>
      </c>
      <c r="C41" s="333">
        <v>15</v>
      </c>
      <c r="D41" s="333">
        <v>346923.68234945001</v>
      </c>
      <c r="E41" s="333">
        <v>87</v>
      </c>
      <c r="F41" s="333">
        <v>955814.41989168595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7</v>
      </c>
      <c r="F44" s="333">
        <v>319744.13147250301</v>
      </c>
    </row>
    <row r="45" spans="1:6">
      <c r="A45" s="1277" t="s">
        <v>32</v>
      </c>
      <c r="B45" s="1277" t="s">
        <v>37</v>
      </c>
      <c r="C45" s="333">
        <v>0</v>
      </c>
      <c r="D45" s="333">
        <v>0</v>
      </c>
      <c r="E45" s="333">
        <v>3</v>
      </c>
      <c r="F45" s="333">
        <v>28428.980683031899</v>
      </c>
    </row>
    <row r="46" spans="1:6">
      <c r="A46" s="1277" t="s">
        <v>32</v>
      </c>
      <c r="B46" s="1277" t="s">
        <v>38</v>
      </c>
      <c r="C46" s="333">
        <v>0</v>
      </c>
      <c r="D46" s="333">
        <v>0</v>
      </c>
      <c r="E46" s="333">
        <v>0</v>
      </c>
      <c r="F46" s="333">
        <v>0</v>
      </c>
    </row>
    <row r="47" spans="1:6">
      <c r="A47" s="1277" t="s">
        <v>32</v>
      </c>
      <c r="B47" s="1277" t="s">
        <v>39</v>
      </c>
      <c r="C47" s="333">
        <v>0</v>
      </c>
      <c r="D47" s="333">
        <v>0</v>
      </c>
      <c r="E47" s="333">
        <v>5</v>
      </c>
      <c r="F47" s="333">
        <v>27725.998087739899</v>
      </c>
    </row>
    <row r="48" spans="1:6">
      <c r="A48" s="1277" t="s">
        <v>32</v>
      </c>
      <c r="B48" s="1277" t="s">
        <v>29</v>
      </c>
      <c r="C48" s="333">
        <v>24</v>
      </c>
      <c r="D48" s="333">
        <v>22981551.3146808</v>
      </c>
      <c r="E48" s="333">
        <v>30</v>
      </c>
      <c r="F48" s="333">
        <v>1094003.5256532901</v>
      </c>
    </row>
    <row r="49" spans="1:6">
      <c r="A49" s="1277" t="s">
        <v>32</v>
      </c>
      <c r="B49" s="1277" t="s">
        <v>40</v>
      </c>
      <c r="C49" s="333">
        <v>0</v>
      </c>
      <c r="D49" s="333">
        <v>0</v>
      </c>
      <c r="E49" s="333">
        <v>0</v>
      </c>
      <c r="F49" s="333">
        <v>0</v>
      </c>
    </row>
    <row r="50" spans="1:6">
      <c r="A50" s="1277" t="s">
        <v>32</v>
      </c>
      <c r="B50" s="1277" t="s">
        <v>41</v>
      </c>
      <c r="C50" s="333">
        <v>6</v>
      </c>
      <c r="D50" s="333">
        <v>378733.72951458098</v>
      </c>
      <c r="E50" s="333">
        <v>11</v>
      </c>
      <c r="F50" s="333">
        <v>1900086.35219259</v>
      </c>
    </row>
    <row r="51" spans="1:6">
      <c r="A51" s="1277" t="s">
        <v>42</v>
      </c>
      <c r="B51" s="1277" t="s">
        <v>43</v>
      </c>
      <c r="C51" s="333">
        <v>15</v>
      </c>
      <c r="D51" s="333">
        <v>12914416.5743766</v>
      </c>
      <c r="E51" s="333">
        <v>126</v>
      </c>
      <c r="F51" s="333">
        <v>2408145.5272010402</v>
      </c>
    </row>
    <row r="52" spans="1:6">
      <c r="A52" s="1277" t="s">
        <v>42</v>
      </c>
      <c r="B52" s="1277" t="s">
        <v>29</v>
      </c>
      <c r="C52" s="333">
        <v>5</v>
      </c>
      <c r="D52" s="333">
        <v>117491.091385241</v>
      </c>
      <c r="E52" s="333">
        <v>7</v>
      </c>
      <c r="F52" s="333">
        <v>133866.19579279301</v>
      </c>
    </row>
    <row r="53" spans="1:6">
      <c r="A53" s="1277" t="s">
        <v>44</v>
      </c>
      <c r="B53" s="1277" t="s">
        <v>45</v>
      </c>
      <c r="C53" s="333">
        <v>78</v>
      </c>
      <c r="D53" s="333">
        <v>1531925.9033864301</v>
      </c>
      <c r="E53" s="333">
        <v>197</v>
      </c>
      <c r="F53" s="333">
        <v>1319515.72235739</v>
      </c>
    </row>
    <row r="54" spans="1:6">
      <c r="A54" s="1277" t="s">
        <v>46</v>
      </c>
      <c r="B54" s="1277" t="s">
        <v>47</v>
      </c>
      <c r="C54" s="333">
        <v>0</v>
      </c>
      <c r="D54" s="333">
        <v>0</v>
      </c>
      <c r="E54" s="333">
        <v>1</v>
      </c>
      <c r="F54" s="333">
        <v>969725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12</v>
      </c>
      <c r="D57" s="333">
        <v>265268.95406884101</v>
      </c>
      <c r="E57" s="333">
        <v>74</v>
      </c>
      <c r="F57" s="333">
        <v>877000.66221750504</v>
      </c>
    </row>
    <row r="58" spans="1:6">
      <c r="A58" s="1277" t="s">
        <v>49</v>
      </c>
      <c r="B58" s="1277" t="s">
        <v>51</v>
      </c>
      <c r="C58" s="333">
        <v>0</v>
      </c>
      <c r="D58" s="333">
        <v>0</v>
      </c>
      <c r="E58" s="333">
        <v>8</v>
      </c>
      <c r="F58" s="333">
        <v>68168.470629785195</v>
      </c>
    </row>
    <row r="59" spans="1:6">
      <c r="A59" s="1277" t="s">
        <v>49</v>
      </c>
      <c r="B59" s="1277" t="s">
        <v>52</v>
      </c>
      <c r="C59" s="333">
        <v>40</v>
      </c>
      <c r="D59" s="333">
        <v>1132990.25239716</v>
      </c>
      <c r="E59" s="333">
        <v>121</v>
      </c>
      <c r="F59" s="333">
        <v>4108007.1996375201</v>
      </c>
    </row>
    <row r="60" spans="1:6">
      <c r="A60" s="1277" t="s">
        <v>49</v>
      </c>
      <c r="B60" s="1277" t="s">
        <v>53</v>
      </c>
      <c r="C60" s="333">
        <v>21</v>
      </c>
      <c r="D60" s="333">
        <v>907801.18303133396</v>
      </c>
      <c r="E60" s="333">
        <v>44</v>
      </c>
      <c r="F60" s="333">
        <v>1201421.91562152</v>
      </c>
    </row>
    <row r="61" spans="1:6">
      <c r="A61" s="1277" t="s">
        <v>49</v>
      </c>
      <c r="B61" s="1277" t="s">
        <v>54</v>
      </c>
      <c r="C61" s="333">
        <v>54</v>
      </c>
      <c r="D61" s="333">
        <v>2778361.74114217</v>
      </c>
      <c r="E61" s="333">
        <v>138</v>
      </c>
      <c r="F61" s="333">
        <v>2327907.4309674702</v>
      </c>
    </row>
    <row r="62" spans="1:6">
      <c r="A62" s="1277" t="s">
        <v>49</v>
      </c>
      <c r="B62" s="1277" t="s">
        <v>55</v>
      </c>
      <c r="C62" s="333">
        <v>3</v>
      </c>
      <c r="D62" s="333">
        <v>272486.99855107098</v>
      </c>
      <c r="E62" s="333">
        <v>7</v>
      </c>
      <c r="F62" s="333">
        <v>94155.487989384099</v>
      </c>
    </row>
    <row r="63" spans="1:6">
      <c r="A63" s="1277" t="s">
        <v>49</v>
      </c>
      <c r="B63" s="1277" t="s">
        <v>29</v>
      </c>
      <c r="C63" s="333">
        <v>71</v>
      </c>
      <c r="D63" s="333">
        <v>4174362.6744540702</v>
      </c>
      <c r="E63" s="333">
        <v>92</v>
      </c>
      <c r="F63" s="333">
        <v>1501851.99929062</v>
      </c>
    </row>
    <row r="64" spans="1:6">
      <c r="A64" s="1277" t="s">
        <v>56</v>
      </c>
      <c r="B64" s="1277" t="s">
        <v>57</v>
      </c>
      <c r="C64" s="333">
        <v>0</v>
      </c>
      <c r="D64" s="333">
        <v>0</v>
      </c>
      <c r="E64" s="333">
        <v>0</v>
      </c>
      <c r="F64" s="333">
        <v>0</v>
      </c>
    </row>
    <row r="65" spans="1:6">
      <c r="A65" s="1277" t="s">
        <v>56</v>
      </c>
      <c r="B65" s="1277" t="s">
        <v>29</v>
      </c>
      <c r="C65" s="333">
        <v>2</v>
      </c>
      <c r="D65" s="333">
        <v>85013.239048411895</v>
      </c>
      <c r="E65" s="333">
        <v>2</v>
      </c>
      <c r="F65" s="333">
        <v>102266.967209444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78217.266876462905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34343982</v>
      </c>
      <c r="E73" s="333">
        <v>36604031.99566038</v>
      </c>
      <c r="F73" s="333">
        <v>33101872</v>
      </c>
    </row>
    <row r="74" spans="1:6">
      <c r="A74" s="1277" t="s">
        <v>64</v>
      </c>
      <c r="B74" s="1277" t="s">
        <v>774</v>
      </c>
      <c r="C74" s="1288" t="s">
        <v>775</v>
      </c>
      <c r="D74" s="333">
        <v>4231724.7369356416</v>
      </c>
      <c r="E74" s="333">
        <v>4331827.0872542383</v>
      </c>
      <c r="F74" s="333">
        <v>4147497.122137872</v>
      </c>
    </row>
    <row r="75" spans="1:6">
      <c r="A75" s="1277" t="s">
        <v>65</v>
      </c>
      <c r="B75" s="1277" t="s">
        <v>772</v>
      </c>
      <c r="C75" s="1288" t="s">
        <v>776</v>
      </c>
      <c r="D75" s="333">
        <v>32308724</v>
      </c>
      <c r="E75" s="333">
        <v>29937935.196385961</v>
      </c>
      <c r="F75" s="333">
        <v>29165217</v>
      </c>
    </row>
    <row r="76" spans="1:6">
      <c r="A76" s="1277" t="s">
        <v>65</v>
      </c>
      <c r="B76" s="1277" t="s">
        <v>774</v>
      </c>
      <c r="C76" s="1288" t="s">
        <v>777</v>
      </c>
      <c r="D76" s="333">
        <v>2402661.7369356412</v>
      </c>
      <c r="E76" s="333">
        <v>2025805.2850409956</v>
      </c>
      <c r="F76" s="333">
        <v>2192540.122137872</v>
      </c>
    </row>
    <row r="77" spans="1:6">
      <c r="A77" s="1277" t="s">
        <v>66</v>
      </c>
      <c r="B77" s="1277" t="s">
        <v>772</v>
      </c>
      <c r="C77" s="1288" t="s">
        <v>778</v>
      </c>
      <c r="D77" s="333">
        <v>74791740</v>
      </c>
      <c r="E77" s="333">
        <v>82411902.65494363</v>
      </c>
      <c r="F77" s="333">
        <v>76086997</v>
      </c>
    </row>
    <row r="78" spans="1:6">
      <c r="A78" s="1273" t="s">
        <v>66</v>
      </c>
      <c r="B78" s="1273" t="s">
        <v>774</v>
      </c>
      <c r="C78" s="1273" t="s">
        <v>779</v>
      </c>
      <c r="D78" s="1273">
        <v>18258405</v>
      </c>
      <c r="E78" s="1273">
        <v>19688991.637963887</v>
      </c>
      <c r="F78" s="336">
        <v>18619985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187864.52612871726</v>
      </c>
      <c r="C83" s="333">
        <v>171638.2432123179</v>
      </c>
      <c r="D83" s="333">
        <v>169165.75572425564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1051.3018109692739</v>
      </c>
    </row>
    <row r="92" spans="1:6">
      <c r="A92" s="1273" t="s">
        <v>69</v>
      </c>
      <c r="B92" s="336">
        <v>161.39017206295932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1184</v>
      </c>
    </row>
    <row r="98" spans="1:6">
      <c r="A98" s="1277" t="s">
        <v>72</v>
      </c>
      <c r="B98" s="333">
        <v>0</v>
      </c>
    </row>
    <row r="99" spans="1:6">
      <c r="A99" s="1277" t="s">
        <v>73</v>
      </c>
      <c r="B99" s="333">
        <v>71</v>
      </c>
    </row>
    <row r="100" spans="1:6">
      <c r="A100" s="1277" t="s">
        <v>74</v>
      </c>
      <c r="B100" s="333">
        <v>746</v>
      </c>
    </row>
    <row r="101" spans="1:6">
      <c r="A101" s="1277" t="s">
        <v>75</v>
      </c>
      <c r="B101" s="333">
        <v>80</v>
      </c>
    </row>
    <row r="102" spans="1:6">
      <c r="A102" s="1277" t="s">
        <v>76</v>
      </c>
      <c r="B102" s="333">
        <v>62</v>
      </c>
    </row>
    <row r="103" spans="1:6">
      <c r="A103" s="1277" t="s">
        <v>77</v>
      </c>
      <c r="B103" s="333">
        <v>348</v>
      </c>
    </row>
    <row r="104" spans="1:6">
      <c r="A104" s="1277" t="s">
        <v>78</v>
      </c>
      <c r="B104" s="333">
        <v>2007</v>
      </c>
    </row>
    <row r="105" spans="1:6">
      <c r="A105" s="1273" t="s">
        <v>79</v>
      </c>
      <c r="B105" s="1273">
        <v>9</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13</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67</v>
      </c>
    </row>
    <row r="130" spans="1:6">
      <c r="A130" s="1277" t="s">
        <v>295</v>
      </c>
      <c r="B130" s="333">
        <v>1</v>
      </c>
    </row>
    <row r="131" spans="1:6">
      <c r="A131" s="1277" t="s">
        <v>296</v>
      </c>
      <c r="B131" s="333">
        <v>1</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46873.009448220786</v>
      </c>
      <c r="C3" s="43" t="s">
        <v>170</v>
      </c>
      <c r="D3" s="43"/>
      <c r="E3" s="156"/>
      <c r="F3" s="43"/>
      <c r="G3" s="43"/>
      <c r="H3" s="43"/>
      <c r="I3" s="43"/>
      <c r="J3" s="43"/>
      <c r="K3" s="96"/>
    </row>
    <row r="4" spans="1:11">
      <c r="A4" s="364" t="s">
        <v>171</v>
      </c>
      <c r="B4" s="49">
        <f>IF(ISERROR('SEAP template'!B78+'SEAP template'!C78),0,'SEAP template'!B78+'SEAP template'!C78)</f>
        <v>5159.1919830322331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937.87411764705894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0.21668392742466114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1339.8201680672271</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5637.8571428571431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969.72500000000002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969.72500000000002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0.21668392742466114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210.12382152187953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26485.009321103498</v>
      </c>
      <c r="C5" s="17">
        <f>IF(ISERROR('Eigen informatie GS &amp; warmtenet'!B57),0,'Eigen informatie GS &amp; warmtenet'!B57)</f>
        <v>0</v>
      </c>
      <c r="D5" s="30">
        <f>(SUM(HH_hh_gas_kWh,HH_rest_gas_kWh)/1000)*0.902</f>
        <v>35134.406137553138</v>
      </c>
      <c r="E5" s="17">
        <f>B46*B57</f>
        <v>2466.6419058405781</v>
      </c>
      <c r="F5" s="17">
        <f>B51*B62</f>
        <v>21260.683504456865</v>
      </c>
      <c r="G5" s="18"/>
      <c r="H5" s="17"/>
      <c r="I5" s="17"/>
      <c r="J5" s="17">
        <f>B50*B61+C50*C61</f>
        <v>6557.6306545331399</v>
      </c>
      <c r="K5" s="17"/>
      <c r="L5" s="17"/>
      <c r="M5" s="17"/>
      <c r="N5" s="17">
        <f>B48*B59+C48*C59</f>
        <v>8041.5107093420629</v>
      </c>
      <c r="O5" s="17">
        <f>B69*B70*B71</f>
        <v>112.56000000000002</v>
      </c>
      <c r="P5" s="17">
        <f>B77*B78*B79/1000-B77*B78*B79/1000/B80</f>
        <v>305.06666666666666</v>
      </c>
    </row>
    <row r="6" spans="1:16">
      <c r="A6" s="16" t="s">
        <v>632</v>
      </c>
      <c r="B6" s="779">
        <f>kWh_PV_kleiner_dan_10kW</f>
        <v>1051.3018109692739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27536.311132072773</v>
      </c>
      <c r="C8" s="21">
        <f>C5</f>
        <v>0</v>
      </c>
      <c r="D8" s="21">
        <f>D5</f>
        <v>35134.406137553138</v>
      </c>
      <c r="E8" s="21">
        <f>E5</f>
        <v>2466.6419058405781</v>
      </c>
      <c r="F8" s="21">
        <f>F5</f>
        <v>21260.683504456865</v>
      </c>
      <c r="G8" s="21"/>
      <c r="H8" s="21"/>
      <c r="I8" s="21"/>
      <c r="J8" s="21">
        <f>J5</f>
        <v>6557.6306545331399</v>
      </c>
      <c r="K8" s="21"/>
      <c r="L8" s="21">
        <f>L5</f>
        <v>0</v>
      </c>
      <c r="M8" s="21">
        <f>M5</f>
        <v>0</v>
      </c>
      <c r="N8" s="21">
        <f>N5</f>
        <v>8041.5107093420629</v>
      </c>
      <c r="O8" s="21">
        <f>O5</f>
        <v>112.56000000000002</v>
      </c>
      <c r="P8" s="21">
        <f>P5</f>
        <v>305.06666666666666</v>
      </c>
    </row>
    <row r="9" spans="1:16">
      <c r="B9" s="19"/>
      <c r="C9" s="19"/>
      <c r="D9" s="260"/>
      <c r="E9" s="19"/>
      <c r="F9" s="19"/>
      <c r="G9" s="19"/>
      <c r="H9" s="19"/>
      <c r="I9" s="19"/>
      <c r="J9" s="19"/>
      <c r="K9" s="19"/>
      <c r="L9" s="19"/>
      <c r="M9" s="19"/>
      <c r="N9" s="19"/>
      <c r="O9" s="19"/>
      <c r="P9" s="19"/>
    </row>
    <row r="10" spans="1:16">
      <c r="A10" s="24" t="s">
        <v>214</v>
      </c>
      <c r="B10" s="25">
        <f ca="1">'EF ele_warmte'!B12</f>
        <v>0.21668392742466114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5966.6760428849457</v>
      </c>
      <c r="C12" s="23">
        <f ca="1">C10*C8</f>
        <v>0</v>
      </c>
      <c r="D12" s="23">
        <f>D8*D10</f>
        <v>7097.1500397857344</v>
      </c>
      <c r="E12" s="23">
        <f>E10*E8</f>
        <v>559.9277126258113</v>
      </c>
      <c r="F12" s="23">
        <f>F10*F8</f>
        <v>5676.6024956899837</v>
      </c>
      <c r="G12" s="23"/>
      <c r="H12" s="23"/>
      <c r="I12" s="23"/>
      <c r="J12" s="23">
        <f>J10*J8</f>
        <v>2321.4012517047313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1184</v>
      </c>
      <c r="C18" s="167" t="s">
        <v>111</v>
      </c>
      <c r="D18" s="229"/>
      <c r="E18" s="15"/>
    </row>
    <row r="19" spans="1:7">
      <c r="A19" s="172" t="s">
        <v>72</v>
      </c>
      <c r="B19" s="37">
        <f>aantalw2001_ander</f>
        <v>0</v>
      </c>
      <c r="C19" s="167" t="s">
        <v>111</v>
      </c>
      <c r="D19" s="230"/>
      <c r="E19" s="15"/>
    </row>
    <row r="20" spans="1:7">
      <c r="A20" s="172" t="s">
        <v>73</v>
      </c>
      <c r="B20" s="37">
        <f>aantalw2001_propaan</f>
        <v>71</v>
      </c>
      <c r="C20" s="168">
        <f>IF(ISERROR(B20/SUM($B$20,$B$21,$B$22)*100),0,B20/SUM($B$20,$B$21,$B$22)*100)</f>
        <v>7.9152731326644368</v>
      </c>
      <c r="D20" s="230"/>
      <c r="E20" s="15"/>
    </row>
    <row r="21" spans="1:7">
      <c r="A21" s="172" t="s">
        <v>74</v>
      </c>
      <c r="B21" s="37">
        <f>aantalw2001_elektriciteit</f>
        <v>746</v>
      </c>
      <c r="C21" s="168">
        <f>IF(ISERROR(B21/SUM($B$20,$B$21,$B$22)*100),0,B21/SUM($B$20,$B$21,$B$22)*100)</f>
        <v>83.166109253065784</v>
      </c>
      <c r="D21" s="230"/>
      <c r="E21" s="15"/>
    </row>
    <row r="22" spans="1:7">
      <c r="A22" s="172" t="s">
        <v>75</v>
      </c>
      <c r="B22" s="37">
        <f>aantalw2001_hout</f>
        <v>80</v>
      </c>
      <c r="C22" s="168">
        <f>IF(ISERROR(B22/SUM($B$20,$B$21,$B$22)*100),0,B22/SUM($B$20,$B$21,$B$22)*100)</f>
        <v>8.9186176142697882</v>
      </c>
      <c r="D22" s="230"/>
      <c r="E22" s="15"/>
    </row>
    <row r="23" spans="1:7">
      <c r="A23" s="172" t="s">
        <v>76</v>
      </c>
      <c r="B23" s="37">
        <f>aantalw2001_niet_gespec</f>
        <v>62</v>
      </c>
      <c r="C23" s="167" t="s">
        <v>111</v>
      </c>
      <c r="D23" s="229"/>
      <c r="E23" s="15"/>
    </row>
    <row r="24" spans="1:7">
      <c r="A24" s="172" t="s">
        <v>77</v>
      </c>
      <c r="B24" s="37">
        <f>aantalw2001_steenkool</f>
        <v>348</v>
      </c>
      <c r="C24" s="167" t="s">
        <v>111</v>
      </c>
      <c r="D24" s="230"/>
      <c r="E24" s="15"/>
    </row>
    <row r="25" spans="1:7">
      <c r="A25" s="172" t="s">
        <v>78</v>
      </c>
      <c r="B25" s="37">
        <f>aantalw2001_stookolie</f>
        <v>2007</v>
      </c>
      <c r="C25" s="167" t="s">
        <v>111</v>
      </c>
      <c r="D25" s="229"/>
      <c r="E25" s="52"/>
    </row>
    <row r="26" spans="1:7">
      <c r="A26" s="172" t="s">
        <v>79</v>
      </c>
      <c r="B26" s="37">
        <f>aantalw2001_WP</f>
        <v>9</v>
      </c>
      <c r="C26" s="167" t="s">
        <v>111</v>
      </c>
      <c r="D26" s="229"/>
      <c r="E26" s="15"/>
    </row>
    <row r="27" spans="1:7" s="15" customFormat="1">
      <c r="A27" s="172"/>
      <c r="B27" s="29"/>
      <c r="C27" s="36"/>
      <c r="D27" s="229"/>
    </row>
    <row r="28" spans="1:7" s="15" customFormat="1">
      <c r="A28" s="231" t="s">
        <v>712</v>
      </c>
      <c r="B28" s="37">
        <f>aantalHuishoudens2011</f>
        <v>5070</v>
      </c>
      <c r="C28" s="36"/>
      <c r="D28" s="229"/>
    </row>
    <row r="29" spans="1:7" s="15" customFormat="1">
      <c r="A29" s="231" t="s">
        <v>713</v>
      </c>
      <c r="B29" s="37">
        <f>SUM(HH_hh_gas_aantal,HH_rest_gas_aantal)</f>
        <v>2378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2378</v>
      </c>
      <c r="C32" s="168">
        <f>IF(ISERROR(B32/SUM($B$32,$B$34,$B$35,$B$36,$B$38,$B$39)*100),0,B32/SUM($B$32,$B$34,$B$35,$B$36,$B$38,$B$39)*100)</f>
        <v>47.051840126632364</v>
      </c>
      <c r="D32" s="234"/>
      <c r="G32" s="15"/>
    </row>
    <row r="33" spans="1:7">
      <c r="A33" s="172" t="s">
        <v>72</v>
      </c>
      <c r="B33" s="34" t="s">
        <v>111</v>
      </c>
      <c r="C33" s="168"/>
      <c r="D33" s="234"/>
      <c r="G33" s="15"/>
    </row>
    <row r="34" spans="1:7">
      <c r="A34" s="172" t="s">
        <v>73</v>
      </c>
      <c r="B34" s="33">
        <f>IF((($B$28-$B$32-$B$39-$B$77-$B$38)*C20/100)&lt;0,0,($B$28-$B$32-$B$39-$B$77-$B$38)*C20/100)</f>
        <v>119.91638795986624</v>
      </c>
      <c r="C34" s="168">
        <f>IF(ISERROR(B34/SUM($B$32,$B$34,$B$35,$B$36,$B$38,$B$39)*100),0,B34/SUM($B$32,$B$34,$B$35,$B$36,$B$38,$B$39)*100)</f>
        <v>2.3727025714259242</v>
      </c>
      <c r="D34" s="234"/>
      <c r="G34" s="15"/>
    </row>
    <row r="35" spans="1:7">
      <c r="A35" s="172" t="s">
        <v>74</v>
      </c>
      <c r="B35" s="33">
        <f>IF((($B$28-$B$32-$B$39-$B$77-$B$38)*C21/100)&lt;0,0,($B$28-$B$32-$B$39-$B$77-$B$38)*C21/100)</f>
        <v>1259.9665551839469</v>
      </c>
      <c r="C35" s="168">
        <f>IF(ISERROR(B35/SUM($B$32,$B$34,$B$35,$B$36,$B$38,$B$39)*100),0,B35/SUM($B$32,$B$34,$B$35,$B$36,$B$38,$B$39)*100)</f>
        <v>24.93008617301042</v>
      </c>
      <c r="D35" s="234"/>
      <c r="G35" s="15"/>
    </row>
    <row r="36" spans="1:7">
      <c r="A36" s="172" t="s">
        <v>75</v>
      </c>
      <c r="B36" s="33">
        <f>IF((($B$28-$B$32-$B$39-$B$77-$B$38)*C22/100)&lt;0,0,($B$28-$B$32-$B$39-$B$77-$B$38)*C22/100)</f>
        <v>135.11705685618733</v>
      </c>
      <c r="C36" s="168">
        <f>IF(ISERROR(B36/SUM($B$32,$B$34,$B$35,$B$36,$B$38,$B$39)*100),0,B36/SUM($B$32,$B$34,$B$35,$B$36,$B$38,$B$39)*100)</f>
        <v>2.6734676861137183</v>
      </c>
      <c r="D36" s="234"/>
      <c r="G36" s="15"/>
    </row>
    <row r="37" spans="1:7">
      <c r="A37" s="172" t="s">
        <v>76</v>
      </c>
      <c r="B37" s="34" t="s">
        <v>111</v>
      </c>
      <c r="C37" s="168"/>
      <c r="D37" s="174"/>
      <c r="G37" s="15"/>
    </row>
    <row r="38" spans="1:7">
      <c r="A38" s="172" t="s">
        <v>77</v>
      </c>
      <c r="B38" s="33">
        <f>IF((B24-(B29-B18)*0.1)&lt;0,0,B24-(B29-B18)*0.1)</f>
        <v>228.6</v>
      </c>
      <c r="C38" s="168">
        <f>IF(ISERROR(B38/SUM($B$32,$B$34,$B$35,$B$36,$B$38,$B$39)*100),0,B38/SUM($B$32,$B$34,$B$35,$B$36,$B$38,$B$39)*100)</f>
        <v>4.5231499802136916</v>
      </c>
      <c r="D38" s="235"/>
      <c r="G38" s="15"/>
    </row>
    <row r="39" spans="1:7">
      <c r="A39" s="172" t="s">
        <v>78</v>
      </c>
      <c r="B39" s="33">
        <f>IF((B25-(B29-B18))&lt;0,0,B25-(B29-B18)*0.9)</f>
        <v>932.39999999999986</v>
      </c>
      <c r="C39" s="168">
        <f>IF(ISERROR(B39/SUM($B$32,$B$34,$B$35,$B$36,$B$38,$B$39)*100),0,B39/SUM($B$32,$B$34,$B$35,$B$36,$B$38,$B$39)*100)</f>
        <v>18.448753462603872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2378</v>
      </c>
      <c r="C44" s="34" t="s">
        <v>111</v>
      </c>
      <c r="D44" s="175"/>
    </row>
    <row r="45" spans="1:7">
      <c r="A45" s="172" t="s">
        <v>72</v>
      </c>
      <c r="B45" s="33" t="str">
        <f t="shared" si="0"/>
        <v>-</v>
      </c>
      <c r="C45" s="34" t="s">
        <v>111</v>
      </c>
      <c r="D45" s="175"/>
    </row>
    <row r="46" spans="1:7">
      <c r="A46" s="172" t="s">
        <v>73</v>
      </c>
      <c r="B46" s="33">
        <f t="shared" si="0"/>
        <v>119.91638795986624</v>
      </c>
      <c r="C46" s="34" t="s">
        <v>111</v>
      </c>
      <c r="D46" s="175"/>
    </row>
    <row r="47" spans="1:7">
      <c r="A47" s="172" t="s">
        <v>74</v>
      </c>
      <c r="B47" s="33">
        <f t="shared" si="0"/>
        <v>1259.9665551839469</v>
      </c>
      <c r="C47" s="34" t="s">
        <v>111</v>
      </c>
      <c r="D47" s="175"/>
    </row>
    <row r="48" spans="1:7">
      <c r="A48" s="172" t="s">
        <v>75</v>
      </c>
      <c r="B48" s="33">
        <f t="shared" si="0"/>
        <v>135.11705685618733</v>
      </c>
      <c r="C48" s="33">
        <f>B48*10</f>
        <v>1351.1705685618733</v>
      </c>
      <c r="D48" s="235"/>
    </row>
    <row r="49" spans="1:6">
      <c r="A49" s="172" t="s">
        <v>76</v>
      </c>
      <c r="B49" s="33" t="str">
        <f t="shared" si="0"/>
        <v>-</v>
      </c>
      <c r="C49" s="34" t="s">
        <v>111</v>
      </c>
      <c r="D49" s="235"/>
    </row>
    <row r="50" spans="1:6">
      <c r="A50" s="172" t="s">
        <v>77</v>
      </c>
      <c r="B50" s="33">
        <f t="shared" si="0"/>
        <v>228.6</v>
      </c>
      <c r="C50" s="33">
        <f>B50*2</f>
        <v>457.2</v>
      </c>
      <c r="D50" s="235"/>
    </row>
    <row r="51" spans="1:6">
      <c r="A51" s="172" t="s">
        <v>78</v>
      </c>
      <c r="B51" s="33">
        <f t="shared" si="0"/>
        <v>932.39999999999986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10178.513166353805</v>
      </c>
      <c r="C5" s="17">
        <f>IF(ISERROR('Eigen informatie GS &amp; warmtenet'!B58),0,'Eigen informatie GS &amp; warmtenet'!B58)</f>
        <v>0</v>
      </c>
      <c r="D5" s="30">
        <f>SUM(D6:D12)</f>
        <v>8597.2071668874705</v>
      </c>
      <c r="E5" s="17">
        <f>SUM(E6:E12)</f>
        <v>208.00870499218431</v>
      </c>
      <c r="F5" s="17">
        <f>SUM(F6:F12)</f>
        <v>1809.4182682638359</v>
      </c>
      <c r="G5" s="18"/>
      <c r="H5" s="17"/>
      <c r="I5" s="17"/>
      <c r="J5" s="17">
        <f>SUM(J6:J12)</f>
        <v>0</v>
      </c>
      <c r="K5" s="17"/>
      <c r="L5" s="17"/>
      <c r="M5" s="17"/>
      <c r="N5" s="17">
        <f>SUM(N6:N12)</f>
        <v>265.50832054535516</v>
      </c>
      <c r="O5" s="17">
        <f>B38*B39*B40</f>
        <v>1.5633333333333335</v>
      </c>
      <c r="P5" s="17">
        <f>B46*B47*B48/1000-B46*B47*B48/1000/B49</f>
        <v>19.066666666666666</v>
      </c>
      <c r="R5" s="32"/>
    </row>
    <row r="6" spans="1:18">
      <c r="A6" s="32" t="s">
        <v>54</v>
      </c>
      <c r="B6" s="37">
        <f>B26</f>
        <v>2327.9074309674702</v>
      </c>
      <c r="C6" s="33"/>
      <c r="D6" s="37">
        <f>IF(ISERROR(TER_kantoor_gas_kWh/1000),0,TER_kantoor_gas_kWh/1000)*0.902</f>
        <v>2506.0822905102377</v>
      </c>
      <c r="E6" s="33">
        <f>$C$26*'E Balans VL '!I12/100/3.6*1000000</f>
        <v>81.485917481885195</v>
      </c>
      <c r="F6" s="33">
        <f>$C$26*('E Balans VL '!L12+'E Balans VL '!N12)/100/3.6*1000000</f>
        <v>352.96074621745532</v>
      </c>
      <c r="G6" s="34"/>
      <c r="H6" s="33"/>
      <c r="I6" s="33"/>
      <c r="J6" s="33">
        <f>$C$26*('E Balans VL '!D12+'E Balans VL '!E12)/100/3.6*1000000</f>
        <v>0</v>
      </c>
      <c r="K6" s="33"/>
      <c r="L6" s="33"/>
      <c r="M6" s="33"/>
      <c r="N6" s="33">
        <f>$C$26*'E Balans VL '!Y12/100/3.6*1000000</f>
        <v>17.993995826405037</v>
      </c>
      <c r="O6" s="33"/>
      <c r="P6" s="33"/>
      <c r="R6" s="32"/>
    </row>
    <row r="7" spans="1:18">
      <c r="A7" s="32" t="s">
        <v>53</v>
      </c>
      <c r="B7" s="37">
        <f t="shared" ref="B7:B12" si="0">B27</f>
        <v>1201.4219156215199</v>
      </c>
      <c r="C7" s="33"/>
      <c r="D7" s="37">
        <f>IF(ISERROR(TER_horeca_gas_kWh/1000),0,TER_horeca_gas_kWh/1000)*0.902</f>
        <v>818.83666709426325</v>
      </c>
      <c r="E7" s="33">
        <f>$C$27*'E Balans VL '!I9/100/3.6*1000000</f>
        <v>67.77617106195467</v>
      </c>
      <c r="F7" s="33">
        <f>$C$27*('E Balans VL '!L9+'E Balans VL '!N9)/100/3.6*1000000</f>
        <v>209.29434645551581</v>
      </c>
      <c r="G7" s="34"/>
      <c r="H7" s="33"/>
      <c r="I7" s="33"/>
      <c r="J7" s="33">
        <f>$C$27*('E Balans VL '!D9+'E Balans VL '!E9)/100/3.6*1000000</f>
        <v>0</v>
      </c>
      <c r="K7" s="33"/>
      <c r="L7" s="33"/>
      <c r="M7" s="33"/>
      <c r="N7" s="33">
        <f>$C$27*'E Balans VL '!Y9/100/3.6*1000000</f>
        <v>0</v>
      </c>
      <c r="O7" s="33"/>
      <c r="P7" s="33"/>
      <c r="R7" s="32"/>
    </row>
    <row r="8" spans="1:18">
      <c r="A8" s="6" t="s">
        <v>52</v>
      </c>
      <c r="B8" s="37">
        <f t="shared" si="0"/>
        <v>4108.00719963752</v>
      </c>
      <c r="C8" s="33"/>
      <c r="D8" s="37">
        <f>IF(ISERROR(TER_handel_gas_kWh/1000),0,TER_handel_gas_kWh/1000)*0.902</f>
        <v>1021.9572076622384</v>
      </c>
      <c r="E8" s="33">
        <f>$C$28*'E Balans VL '!I13/100/3.6*1000000</f>
        <v>21.09009159546078</v>
      </c>
      <c r="F8" s="33">
        <f>$C$28*('E Balans VL '!L13+'E Balans VL '!N13)/100/3.6*1000000</f>
        <v>633.39123495685476</v>
      </c>
      <c r="G8" s="34"/>
      <c r="H8" s="33"/>
      <c r="I8" s="33"/>
      <c r="J8" s="33">
        <f>$C$28*('E Balans VL '!D13+'E Balans VL '!E13)/100/3.6*1000000</f>
        <v>0</v>
      </c>
      <c r="K8" s="33"/>
      <c r="L8" s="33"/>
      <c r="M8" s="33"/>
      <c r="N8" s="33">
        <f>$C$28*'E Balans VL '!Y13/100/3.6*1000000</f>
        <v>1.9213651122480417</v>
      </c>
      <c r="O8" s="33"/>
      <c r="P8" s="33"/>
      <c r="R8" s="32"/>
    </row>
    <row r="9" spans="1:18">
      <c r="A9" s="32" t="s">
        <v>51</v>
      </c>
      <c r="B9" s="37">
        <f t="shared" si="0"/>
        <v>68.16847062978519</v>
      </c>
      <c r="C9" s="33"/>
      <c r="D9" s="37">
        <f>IF(ISERROR(TER_gezond_gas_kWh/1000),0,TER_gezond_gas_kWh/1000)*0.902</f>
        <v>0</v>
      </c>
      <c r="E9" s="33">
        <f>$C$29*'E Balans VL '!I10/100/3.6*1000000</f>
        <v>2.8255345597597577E-2</v>
      </c>
      <c r="F9" s="33">
        <f>$C$29*('E Balans VL '!L10+'E Balans VL '!N10)/100/3.6*1000000</f>
        <v>16.788916649833887</v>
      </c>
      <c r="G9" s="34"/>
      <c r="H9" s="33"/>
      <c r="I9" s="33"/>
      <c r="J9" s="33">
        <f>$C$29*('E Balans VL '!D10+'E Balans VL '!E10)/100/3.6*1000000</f>
        <v>0</v>
      </c>
      <c r="K9" s="33"/>
      <c r="L9" s="33"/>
      <c r="M9" s="33"/>
      <c r="N9" s="33">
        <f>$C$29*'E Balans VL '!Y10/100/3.6*1000000</f>
        <v>0.58914431173524495</v>
      </c>
      <c r="O9" s="33"/>
      <c r="P9" s="33"/>
      <c r="R9" s="32"/>
    </row>
    <row r="10" spans="1:18">
      <c r="A10" s="32" t="s">
        <v>50</v>
      </c>
      <c r="B10" s="37">
        <f t="shared" si="0"/>
        <v>877.00066221750501</v>
      </c>
      <c r="C10" s="33"/>
      <c r="D10" s="37">
        <f>IF(ISERROR(TER_ander_gas_kWh/1000),0,TER_ander_gas_kWh/1000)*0.902</f>
        <v>239.27259657009461</v>
      </c>
      <c r="E10" s="33">
        <f>$C$30*'E Balans VL '!I14/100/3.6*1000000</f>
        <v>5.3462176748499139</v>
      </c>
      <c r="F10" s="33">
        <f>$C$30*('E Balans VL '!L14+'E Balans VL '!N14)/100/3.6*1000000</f>
        <v>232.50488910017717</v>
      </c>
      <c r="G10" s="34"/>
      <c r="H10" s="33"/>
      <c r="I10" s="33"/>
      <c r="J10" s="33">
        <f>$C$30*('E Balans VL '!D14+'E Balans VL '!E14)/100/3.6*1000000</f>
        <v>0</v>
      </c>
      <c r="K10" s="33"/>
      <c r="L10" s="33"/>
      <c r="M10" s="33"/>
      <c r="N10" s="33">
        <f>$C$30*'E Balans VL '!Y14/100/3.6*1000000</f>
        <v>202.12970205166766</v>
      </c>
      <c r="O10" s="33"/>
      <c r="P10" s="33"/>
      <c r="R10" s="32"/>
    </row>
    <row r="11" spans="1:18">
      <c r="A11" s="32" t="s">
        <v>55</v>
      </c>
      <c r="B11" s="37">
        <f t="shared" si="0"/>
        <v>94.155487989384099</v>
      </c>
      <c r="C11" s="33"/>
      <c r="D11" s="37">
        <f>IF(ISERROR(TER_onderwijs_gas_kWh/1000),0,TER_onderwijs_gas_kWh/1000)*0.902</f>
        <v>245.78327269306604</v>
      </c>
      <c r="E11" s="33">
        <f>$C$31*'E Balans VL '!I11/100/3.6*1000000</f>
        <v>7.1751384575964347E-2</v>
      </c>
      <c r="F11" s="33">
        <f>$C$31*('E Balans VL '!L11+'E Balans VL '!N11)/100/3.6*1000000</f>
        <v>68.136071044553859</v>
      </c>
      <c r="G11" s="34"/>
      <c r="H11" s="33"/>
      <c r="I11" s="33"/>
      <c r="J11" s="33">
        <f>$C$31*('E Balans VL '!D11+'E Balans VL '!E11)/100/3.6*1000000</f>
        <v>0</v>
      </c>
      <c r="K11" s="33"/>
      <c r="L11" s="33"/>
      <c r="M11" s="33"/>
      <c r="N11" s="33">
        <f>$C$31*'E Balans VL '!Y11/100/3.6*1000000</f>
        <v>0.27749872585629998</v>
      </c>
      <c r="O11" s="33"/>
      <c r="P11" s="33"/>
      <c r="R11" s="32"/>
    </row>
    <row r="12" spans="1:18">
      <c r="A12" s="32" t="s">
        <v>260</v>
      </c>
      <c r="B12" s="37">
        <f t="shared" si="0"/>
        <v>1501.8519992906199</v>
      </c>
      <c r="C12" s="33"/>
      <c r="D12" s="37">
        <f>IF(ISERROR(TER_rest_gas_kWh/1000),0,TER_rest_gas_kWh/1000)*0.902</f>
        <v>3765.2751323575712</v>
      </c>
      <c r="E12" s="33">
        <f>$C$32*'E Balans VL '!I8/100/3.6*1000000</f>
        <v>32.210300447860156</v>
      </c>
      <c r="F12" s="33">
        <f>$C$32*('E Balans VL '!L8+'E Balans VL '!N8)/100/3.6*1000000</f>
        <v>296.34206383944507</v>
      </c>
      <c r="G12" s="34"/>
      <c r="H12" s="33"/>
      <c r="I12" s="33"/>
      <c r="J12" s="33">
        <f>$C$32*('E Balans VL '!D8+'E Balans VL '!E8)/100/3.6*1000000</f>
        <v>0</v>
      </c>
      <c r="K12" s="33"/>
      <c r="L12" s="33"/>
      <c r="M12" s="33"/>
      <c r="N12" s="33">
        <f>$C$32*'E Balans VL '!Y8/100/3.6*1000000</f>
        <v>42.596614517442859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10178.513166353805</v>
      </c>
      <c r="C16" s="21">
        <f ca="1">C5+C13+C14</f>
        <v>0</v>
      </c>
      <c r="D16" s="21">
        <f t="shared" ref="D16:N16" ca="1" si="1">MAX((D5+D13+D14),0)</f>
        <v>8597.2071668874705</v>
      </c>
      <c r="E16" s="21">
        <f t="shared" si="1"/>
        <v>208.00870499218431</v>
      </c>
      <c r="F16" s="21">
        <f t="shared" ca="1" si="1"/>
        <v>1809.4182682638359</v>
      </c>
      <c r="G16" s="21">
        <f t="shared" si="1"/>
        <v>0</v>
      </c>
      <c r="H16" s="21">
        <f t="shared" si="1"/>
        <v>0</v>
      </c>
      <c r="I16" s="21">
        <f t="shared" si="1"/>
        <v>0</v>
      </c>
      <c r="J16" s="21">
        <f t="shared" si="1"/>
        <v>0</v>
      </c>
      <c r="K16" s="21">
        <f t="shared" si="1"/>
        <v>0</v>
      </c>
      <c r="L16" s="21">
        <f t="shared" ca="1" si="1"/>
        <v>0</v>
      </c>
      <c r="M16" s="21">
        <f t="shared" si="1"/>
        <v>0</v>
      </c>
      <c r="N16" s="21">
        <f t="shared" ca="1" si="1"/>
        <v>265.50832054535516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0.21668392742466114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2205.5202082291657</v>
      </c>
      <c r="C20" s="23">
        <f t="shared" ref="C20:P20" ca="1" si="2">C16*C18</f>
        <v>0</v>
      </c>
      <c r="D20" s="23">
        <f t="shared" ca="1" si="2"/>
        <v>1736.6358477112692</v>
      </c>
      <c r="E20" s="23">
        <f t="shared" si="2"/>
        <v>47.217976033225838</v>
      </c>
      <c r="F20" s="23">
        <f t="shared" ca="1" si="2"/>
        <v>483.11467762644423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2327.9074309674702</v>
      </c>
      <c r="C26" s="39">
        <f>IF(ISERROR(B26*3.6/1000000/'E Balans VL '!Z12*100),0,B26*3.6/1000000/'E Balans VL '!Z12*100)</f>
        <v>4.8986951340828616E-2</v>
      </c>
      <c r="D26" s="238" t="s">
        <v>719</v>
      </c>
      <c r="F26" s="6"/>
    </row>
    <row r="27" spans="1:18">
      <c r="A27" s="232" t="s">
        <v>53</v>
      </c>
      <c r="B27" s="33">
        <f>IF(ISERROR(TER_horeca_ele_kWh/1000),0,TER_horeca_ele_kWh/1000)</f>
        <v>1201.4219156215199</v>
      </c>
      <c r="C27" s="39">
        <f>IF(ISERROR(B27*3.6/1000000/'E Balans VL '!Z9*100),0,B27*3.6/1000000/'E Balans VL '!Z9*100)</f>
        <v>0.10172101763135474</v>
      </c>
      <c r="D27" s="238" t="s">
        <v>719</v>
      </c>
      <c r="F27" s="6"/>
    </row>
    <row r="28" spans="1:18">
      <c r="A28" s="172" t="s">
        <v>52</v>
      </c>
      <c r="B28" s="33">
        <f>IF(ISERROR(TER_handel_ele_kWh/1000),0,TER_handel_ele_kWh/1000)</f>
        <v>4108.00719963752</v>
      </c>
      <c r="C28" s="39">
        <f>IF(ISERROR(B28*3.6/1000000/'E Balans VL '!Z13*100),0,B28*3.6/1000000/'E Balans VL '!Z13*100)</f>
        <v>0.11372961127064941</v>
      </c>
      <c r="D28" s="238" t="s">
        <v>719</v>
      </c>
      <c r="F28" s="6"/>
    </row>
    <row r="29" spans="1:18">
      <c r="A29" s="232" t="s">
        <v>51</v>
      </c>
      <c r="B29" s="33">
        <f>IF(ISERROR(TER_gezond_ele_kWh/1000),0,TER_gezond_ele_kWh/1000)</f>
        <v>68.16847062978519</v>
      </c>
      <c r="C29" s="39">
        <f>IF(ISERROR(B29*3.6/1000000/'E Balans VL '!Z10*100),0,B29*3.6/1000000/'E Balans VL '!Z10*100)</f>
        <v>8.8611454462641411E-3</v>
      </c>
      <c r="D29" s="238" t="s">
        <v>719</v>
      </c>
      <c r="F29" s="6"/>
    </row>
    <row r="30" spans="1:18">
      <c r="A30" s="232" t="s">
        <v>50</v>
      </c>
      <c r="B30" s="33">
        <f>IF(ISERROR(TER_ander_ele_kWh/1000),0,TER_ander_ele_kWh/1000)</f>
        <v>877.00066221750501</v>
      </c>
      <c r="C30" s="39">
        <f>IF(ISERROR(B30*3.6/1000000/'E Balans VL '!Z14*100),0,B30*3.6/1000000/'E Balans VL '!Z14*100)</f>
        <v>6.7975594032320008E-2</v>
      </c>
      <c r="D30" s="238" t="s">
        <v>719</v>
      </c>
      <c r="F30" s="6"/>
    </row>
    <row r="31" spans="1:18">
      <c r="A31" s="232" t="s">
        <v>55</v>
      </c>
      <c r="B31" s="33">
        <f>IF(ISERROR(TER_onderwijs_ele_kWh/1000),0,TER_onderwijs_ele_kWh/1000)</f>
        <v>94.155487989384099</v>
      </c>
      <c r="C31" s="39">
        <f>IF(ISERROR(B31*3.6/1000000/'E Balans VL '!Z11*100),0,B31*3.6/1000000/'E Balans VL '!Z11*100)</f>
        <v>1.8013549227932493E-2</v>
      </c>
      <c r="D31" s="238" t="s">
        <v>719</v>
      </c>
    </row>
    <row r="32" spans="1:18">
      <c r="A32" s="232" t="s">
        <v>260</v>
      </c>
      <c r="B32" s="33">
        <f>IF(ISERROR(TER_rest_ele_kWh/1000),0,TER_rest_ele_kWh/1000)</f>
        <v>1501.8519992906199</v>
      </c>
      <c r="C32" s="39">
        <f>IF(ISERROR(B32*3.6/1000000/'E Balans VL '!Z8*100),0,B32*3.6/1000000/'E Balans VL '!Z8*100)</f>
        <v>1.2383923029675106E-2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4325.8034079808413</v>
      </c>
      <c r="C5" s="17">
        <f>IF(ISERROR('Eigen informatie GS &amp; warmtenet'!B59),0,'Eigen informatie GS &amp; warmtenet'!B59)</f>
        <v>0</v>
      </c>
      <c r="D5" s="30">
        <f>SUM(D6:D15)</f>
        <v>21383.902271343439</v>
      </c>
      <c r="E5" s="17">
        <f>SUM(E6:E15)</f>
        <v>47.067754689436335</v>
      </c>
      <c r="F5" s="17">
        <f>SUM(F6:F15)</f>
        <v>1316.4588083549427</v>
      </c>
      <c r="G5" s="18"/>
      <c r="H5" s="17"/>
      <c r="I5" s="17"/>
      <c r="J5" s="17">
        <f>SUM(J6:J15)</f>
        <v>22.036822347367782</v>
      </c>
      <c r="K5" s="17"/>
      <c r="L5" s="17"/>
      <c r="M5" s="17"/>
      <c r="N5" s="17">
        <f>SUM(N6:N15)</f>
        <v>119.52390323579533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319.744131472503</v>
      </c>
      <c r="C8" s="33"/>
      <c r="D8" s="37">
        <f>IF( ISERROR(IND_metaal_Gas_kWH/1000),0,IND_metaal_Gas_kWH/1000)*0.902</f>
        <v>0</v>
      </c>
      <c r="E8" s="33">
        <f>C30*'E Balans VL '!I18/100/3.6*1000000</f>
        <v>2.2467714635147602</v>
      </c>
      <c r="F8" s="33">
        <f>C30*'E Balans VL '!L18/100/3.6*1000000+C30*'E Balans VL '!N18/100/3.6*1000000</f>
        <v>35.1060349483827</v>
      </c>
      <c r="G8" s="34"/>
      <c r="H8" s="33"/>
      <c r="I8" s="33"/>
      <c r="J8" s="40">
        <f>C30*'E Balans VL '!D18/100/3.6*1000000+C30*'E Balans VL '!E18/100/3.6*1000000</f>
        <v>6.5970106061479878</v>
      </c>
      <c r="K8" s="33"/>
      <c r="L8" s="33"/>
      <c r="M8" s="33"/>
      <c r="N8" s="33">
        <f>C30*'E Balans VL '!Y18/100/3.6*1000000</f>
        <v>1.1984240327065896</v>
      </c>
      <c r="O8" s="33"/>
      <c r="P8" s="33"/>
      <c r="R8" s="32"/>
    </row>
    <row r="9" spans="1:18">
      <c r="A9" s="6" t="s">
        <v>33</v>
      </c>
      <c r="B9" s="37">
        <f t="shared" si="0"/>
        <v>955.81441989168593</v>
      </c>
      <c r="C9" s="33"/>
      <c r="D9" s="37">
        <f>IF( ISERROR(IND_andere_gas_kWh/1000),0,IND_andere_gas_kWh/1000)*0.902</f>
        <v>312.92516147920395</v>
      </c>
      <c r="E9" s="33">
        <f>C31*'E Balans VL '!I19/100/3.6*1000000</f>
        <v>16.05407409213031</v>
      </c>
      <c r="F9" s="33">
        <f>C31*'E Balans VL '!L19/100/3.6*1000000+C31*'E Balans VL '!N19/100/3.6*1000000</f>
        <v>747.2012743468008</v>
      </c>
      <c r="G9" s="34"/>
      <c r="H9" s="33"/>
      <c r="I9" s="33"/>
      <c r="J9" s="40">
        <f>C31*'E Balans VL '!D19/100/3.6*1000000+C31*'E Balans VL '!E19/100/3.6*1000000</f>
        <v>8.620602333243961E-2</v>
      </c>
      <c r="K9" s="33"/>
      <c r="L9" s="33"/>
      <c r="M9" s="33"/>
      <c r="N9" s="33">
        <f>C31*'E Balans VL '!Y19/100/3.6*1000000</f>
        <v>70.841183206316686</v>
      </c>
      <c r="O9" s="33"/>
      <c r="P9" s="33"/>
      <c r="R9" s="32"/>
    </row>
    <row r="10" spans="1:18">
      <c r="A10" s="6" t="s">
        <v>41</v>
      </c>
      <c r="B10" s="37">
        <f t="shared" si="0"/>
        <v>1900.0863521925901</v>
      </c>
      <c r="C10" s="33"/>
      <c r="D10" s="37">
        <f>IF( ISERROR(IND_voed_gas_kWh/1000),0,IND_voed_gas_kWh/1000)*0.902</f>
        <v>341.61782402215209</v>
      </c>
      <c r="E10" s="33">
        <f>C32*'E Balans VL '!I20/100/3.6*1000000</f>
        <v>17.335598296559496</v>
      </c>
      <c r="F10" s="33">
        <f>C32*'E Balans VL '!L20/100/3.6*1000000+C32*'E Balans VL '!N20/100/3.6*1000000</f>
        <v>306.54335983172513</v>
      </c>
      <c r="G10" s="34"/>
      <c r="H10" s="33"/>
      <c r="I10" s="33"/>
      <c r="J10" s="40">
        <f>C32*'E Balans VL '!D20/100/3.6*1000000+C32*'E Balans VL '!E20/100/3.6*1000000</f>
        <v>7.8258013552425476</v>
      </c>
      <c r="K10" s="33"/>
      <c r="L10" s="33"/>
      <c r="M10" s="33"/>
      <c r="N10" s="33">
        <f>C32*'E Balans VL '!Y20/100/3.6*1000000</f>
        <v>27.796765072438617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28.428980683031899</v>
      </c>
      <c r="C12" s="33"/>
      <c r="D12" s="37">
        <f>IF( ISERROR(IND_min_gas_kWh/1000),0,IND_min_gas_kWh/1000)*0.902</f>
        <v>0</v>
      </c>
      <c r="E12" s="33">
        <f>C34*'E Balans VL '!I22/100/3.6*1000000</f>
        <v>0.70513114492896556</v>
      </c>
      <c r="F12" s="33">
        <f>C34*'E Balans VL '!L22/100/3.6*1000000+C34*'E Balans VL '!N22/100/3.6*1000000</f>
        <v>3.0208514049558639</v>
      </c>
      <c r="G12" s="34"/>
      <c r="H12" s="33"/>
      <c r="I12" s="33"/>
      <c r="J12" s="40">
        <f>C34*'E Balans VL '!D22/100/3.6*1000000+C34*'E Balans VL '!E22/100/3.6*1000000</f>
        <v>0.16149329133093154</v>
      </c>
      <c r="K12" s="33"/>
      <c r="L12" s="33"/>
      <c r="M12" s="33"/>
      <c r="N12" s="33">
        <f>C34*'E Balans VL '!Y22/100/3.6*1000000</f>
        <v>0</v>
      </c>
      <c r="O12" s="33"/>
      <c r="P12" s="33"/>
      <c r="R12" s="32"/>
    </row>
    <row r="13" spans="1:18">
      <c r="A13" s="6" t="s">
        <v>39</v>
      </c>
      <c r="B13" s="37">
        <f t="shared" si="0"/>
        <v>27.725998087739899</v>
      </c>
      <c r="C13" s="33"/>
      <c r="D13" s="37">
        <f>IF( ISERROR(IND_papier_gas_kWh/1000),0,IND_papier_gas_kWh/1000)*0.902</f>
        <v>0</v>
      </c>
      <c r="E13" s="33">
        <f>C35*'E Balans VL '!I23/100/3.6*1000000</f>
        <v>0.85305660274916884</v>
      </c>
      <c r="F13" s="33">
        <f>C35*'E Balans VL '!L23/100/3.6*1000000+C35*'E Balans VL '!N23/100/3.6*1000000</f>
        <v>5.8871983604114995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1094.0035256532901</v>
      </c>
      <c r="C15" s="33"/>
      <c r="D15" s="37">
        <f>IF( ISERROR(IND_rest_gas_kWh/1000),0,IND_rest_gas_kWh/1000)*0.902</f>
        <v>20729.359285842082</v>
      </c>
      <c r="E15" s="33">
        <f>C37*'E Balans VL '!I15/100/3.6*1000000</f>
        <v>9.8731230895536388</v>
      </c>
      <c r="F15" s="33">
        <f>C37*'E Balans VL '!L15/100/3.6*1000000+C37*'E Balans VL '!N15/100/3.6*1000000</f>
        <v>218.70008946266668</v>
      </c>
      <c r="G15" s="34"/>
      <c r="H15" s="33"/>
      <c r="I15" s="33"/>
      <c r="J15" s="40">
        <f>C37*'E Balans VL '!D15/100/3.6*1000000+C37*'E Balans VL '!E15/100/3.6*1000000</f>
        <v>7.3663110713138771</v>
      </c>
      <c r="K15" s="33"/>
      <c r="L15" s="33"/>
      <c r="M15" s="33"/>
      <c r="N15" s="33">
        <f>C37*'E Balans VL '!Y15/100/3.6*1000000</f>
        <v>19.687530924333444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4325.8034079808413</v>
      </c>
      <c r="C18" s="21">
        <f>C5+C16</f>
        <v>0</v>
      </c>
      <c r="D18" s="21">
        <f>MAX((D5+D16),0)</f>
        <v>21383.902271343439</v>
      </c>
      <c r="E18" s="21">
        <f>MAX((E5+E16),0)</f>
        <v>47.067754689436335</v>
      </c>
      <c r="F18" s="21">
        <f>MAX((F5+F16),0)</f>
        <v>1316.4588083549427</v>
      </c>
      <c r="G18" s="21"/>
      <c r="H18" s="21"/>
      <c r="I18" s="21"/>
      <c r="J18" s="21">
        <f>MAX((J5+J16),0)</f>
        <v>22.036822347367782</v>
      </c>
      <c r="K18" s="21"/>
      <c r="L18" s="21">
        <f>MAX((L5+L16),0)</f>
        <v>0</v>
      </c>
      <c r="M18" s="21"/>
      <c r="N18" s="21">
        <f>MAX((N5+N16),0)</f>
        <v>119.52390323579533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0.21668392742466114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937.33207170827245</v>
      </c>
      <c r="C22" s="23">
        <f ca="1">C18*C20</f>
        <v>0</v>
      </c>
      <c r="D22" s="23">
        <f>D18*D20</f>
        <v>4319.5482588113746</v>
      </c>
      <c r="E22" s="23">
        <f>E18*E20</f>
        <v>10.684380314502048</v>
      </c>
      <c r="F22" s="23">
        <f>F18*F20</f>
        <v>351.49450183076971</v>
      </c>
      <c r="G22" s="23"/>
      <c r="H22" s="23"/>
      <c r="I22" s="23"/>
      <c r="J22" s="23">
        <f>J18*J20</f>
        <v>7.8010351109681944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319.744131472503</v>
      </c>
      <c r="C30" s="39">
        <f>IF(ISERROR(B30*3.6/1000000/'E Balans VL '!Z18*100),0,B30*3.6/1000000/'E Balans VL '!Z18*100)</f>
        <v>2.1285562084252984E-2</v>
      </c>
      <c r="D30" s="238" t="s">
        <v>719</v>
      </c>
    </row>
    <row r="31" spans="1:18">
      <c r="A31" s="6" t="s">
        <v>33</v>
      </c>
      <c r="B31" s="37">
        <f>IF( ISERROR(IND_ander_ele_kWh/1000),0,IND_ander_ele_kWh/1000)</f>
        <v>955.81441989168593</v>
      </c>
      <c r="C31" s="39">
        <f>IF(ISERROR(B31*3.6/1000000/'E Balans VL '!Z19*100),0,B31*3.6/1000000/'E Balans VL '!Z19*100)</f>
        <v>4.2367465392052238E-2</v>
      </c>
      <c r="D31" s="238" t="s">
        <v>719</v>
      </c>
    </row>
    <row r="32" spans="1:18">
      <c r="A32" s="172" t="s">
        <v>41</v>
      </c>
      <c r="B32" s="37">
        <f>IF( ISERROR(IND_voed_ele_kWh/1000),0,IND_voed_ele_kWh/1000)</f>
        <v>1900.0863521925901</v>
      </c>
      <c r="C32" s="39">
        <f>IF(ISERROR(B32*3.6/1000000/'E Balans VL '!Z20*100),0,B32*3.6/1000000/'E Balans VL '!Z20*100)</f>
        <v>6.3468334805525967E-2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28.428980683031899</v>
      </c>
      <c r="C34" s="39">
        <f>IF(ISERROR(B34*3.6/1000000/'E Balans VL '!Z22*100),0,B34*3.6/1000000/'E Balans VL '!Z22*100)</f>
        <v>5.5291244682476636E-3</v>
      </c>
      <c r="D34" s="238" t="s">
        <v>719</v>
      </c>
    </row>
    <row r="35" spans="1:5">
      <c r="A35" s="172" t="s">
        <v>39</v>
      </c>
      <c r="B35" s="37">
        <f>IF( ISERROR(IND_papier_ele_kWh/1000),0,IND_papier_ele_kWh/1000)</f>
        <v>27.725998087739899</v>
      </c>
      <c r="C35" s="39">
        <f>IF(ISERROR(B35*3.6/1000000/'E Balans VL '!Z22*100),0,B35*3.6/1000000/'E Balans VL '!Z22*100)</f>
        <v>5.3924020752882428E-3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1094.0035256532901</v>
      </c>
      <c r="C37" s="39">
        <f>IF(ISERROR(B37*3.6/1000000/'E Balans VL '!Z15*100),0,B37*3.6/1000000/'E Balans VL '!Z15*100)</f>
        <v>8.1376039466619469E-3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2542.0117229938328</v>
      </c>
      <c r="C5" s="17">
        <f>'Eigen informatie GS &amp; warmtenet'!B60</f>
        <v>0</v>
      </c>
      <c r="D5" s="30">
        <f>IF(ISERROR(SUM(LB_lb_gas_kWh,LB_rest_gas_kWh)/1000),0,SUM(LB_lb_gas_kWh,LB_rest_gas_kWh)/1000)*0.902</f>
        <v>11754.780714517181</v>
      </c>
      <c r="E5" s="17">
        <f>B17*'E Balans VL '!I25/3.6*1000000/100</f>
        <v>26.620497086287401</v>
      </c>
      <c r="F5" s="17">
        <f>B17*('E Balans VL '!L25/3.6*1000000+'E Balans VL '!N25/3.6*1000000)/100</f>
        <v>10881.741693108483</v>
      </c>
      <c r="G5" s="18"/>
      <c r="H5" s="17"/>
      <c r="I5" s="17"/>
      <c r="J5" s="17">
        <f>('E Balans VL '!D25+'E Balans VL '!E25)/3.6*1000000*landbouw!B17/100</f>
        <v>227.02443130311727</v>
      </c>
      <c r="K5" s="17"/>
      <c r="L5" s="17">
        <f>L6*(-1)</f>
        <v>0</v>
      </c>
      <c r="M5" s="17"/>
      <c r="N5" s="17">
        <f>N6*(-1)</f>
        <v>0</v>
      </c>
      <c r="O5" s="17"/>
      <c r="P5" s="17"/>
      <c r="R5" s="32"/>
    </row>
    <row r="6" spans="1:18">
      <c r="A6" s="16" t="s">
        <v>496</v>
      </c>
      <c r="B6" s="17" t="s">
        <v>211</v>
      </c>
      <c r="C6" s="17">
        <f>'lokale energieproductie'!O92+'lokale energieproductie'!O61</f>
        <v>5637.8571428571431</v>
      </c>
      <c r="D6" s="311">
        <f>('lokale energieproductie'!P61+'lokale energieproductie'!P92)*(-1)</f>
        <v>-11275.714285714286</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2542.0117229938328</v>
      </c>
      <c r="C8" s="21">
        <f>C5+C6</f>
        <v>5637.8571428571431</v>
      </c>
      <c r="D8" s="21">
        <f>MAX((D5+D6),0)</f>
        <v>479.06642880289473</v>
      </c>
      <c r="E8" s="21">
        <f>MAX((E5+E6),0)</f>
        <v>26.620497086287401</v>
      </c>
      <c r="F8" s="21">
        <f>MAX((F5+F6),0)</f>
        <v>10881.741693108483</v>
      </c>
      <c r="G8" s="21"/>
      <c r="H8" s="21"/>
      <c r="I8" s="21"/>
      <c r="J8" s="21">
        <f>MAX((J5+J6),0)</f>
        <v>227.02443130311727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0.21668392742466114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550.81308369783346</v>
      </c>
      <c r="C12" s="23">
        <f ca="1">C8*C10</f>
        <v>1339.8201680672271</v>
      </c>
      <c r="D12" s="23">
        <f>D8*D10</f>
        <v>96.77141861818474</v>
      </c>
      <c r="E12" s="23">
        <f>E8*E10</f>
        <v>6.0428528385872404</v>
      </c>
      <c r="F12" s="23">
        <f>F8*F10</f>
        <v>2905.4250320599649</v>
      </c>
      <c r="G12" s="23"/>
      <c r="H12" s="23"/>
      <c r="I12" s="23"/>
      <c r="J12" s="23">
        <f>J8*J10</f>
        <v>80.366648681303502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0.39126467406304444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185.37281987193279</v>
      </c>
      <c r="C26" s="248">
        <f>B26*'GWP N2O_CH4'!B5</f>
        <v>3892.8292173105888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42.810626324865815</v>
      </c>
      <c r="C27" s="248">
        <f>B27*'GWP N2O_CH4'!B5</f>
        <v>899.02315282218217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2.3511469948255113</v>
      </c>
      <c r="C28" s="248">
        <f>B28*'GWP N2O_CH4'!B4</f>
        <v>728.85556839590845</v>
      </c>
      <c r="D28" s="50"/>
    </row>
    <row r="29" spans="1:4">
      <c r="A29" s="41" t="s">
        <v>277</v>
      </c>
      <c r="B29" s="248">
        <f>B34*'ha_N2O bodem landbouw'!B4</f>
        <v>16.752530125136047</v>
      </c>
      <c r="C29" s="248">
        <f>B29*'GWP N2O_CH4'!B4</f>
        <v>5193.2843387921748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2.768575625828937E-3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4.0654672637058239E-6</v>
      </c>
      <c r="C5" s="446" t="s">
        <v>211</v>
      </c>
      <c r="D5" s="431">
        <f>SUM(D6:D11)</f>
        <v>2.1038716857994891E-5</v>
      </c>
      <c r="E5" s="431">
        <f>SUM(E6:E11)</f>
        <v>2.3756725428498108E-3</v>
      </c>
      <c r="F5" s="444" t="s">
        <v>211</v>
      </c>
      <c r="G5" s="431">
        <f>SUM(G6:G11)</f>
        <v>0.51097932904384435</v>
      </c>
      <c r="H5" s="431">
        <f>SUM(H6:H11)</f>
        <v>7.1655758011771903E-2</v>
      </c>
      <c r="I5" s="446" t="s">
        <v>211</v>
      </c>
      <c r="J5" s="446" t="s">
        <v>211</v>
      </c>
      <c r="K5" s="446" t="s">
        <v>211</v>
      </c>
      <c r="L5" s="446" t="s">
        <v>211</v>
      </c>
      <c r="M5" s="431">
        <f>SUM(M6:M11)</f>
        <v>2.5380417887980129E-2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9.8713196929840597E-7</v>
      </c>
      <c r="C6" s="432"/>
      <c r="D6" s="432">
        <f>vkm_2011_GW_PW*SUMIFS(TableVerdeelsleutelVkm[CNG],TableVerdeelsleutelVkm[Voertuigtype],"Lichte voertuigen")*SUMIFS(TableECFTransport[EnergieConsumptieFactor (PJ per km)],TableECFTransport[Index],CONCATENATE($A6,"_CNG_CNG"))</f>
        <v>4.2554111755520066E-6</v>
      </c>
      <c r="E6" s="434">
        <f>vkm_2011_GW_PW*SUMIFS(TableVerdeelsleutelVkm[LPG],TableVerdeelsleutelVkm[Voertuigtype],"Lichte voertuigen")*SUMIFS(TableECFTransport[EnergieConsumptieFactor (PJ per km)],TableECFTransport[Index],CONCATENATE($A6,"_LPG_LPG"))</f>
        <v>4.4274942216122664E-4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5.4459394396471558E-2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1.4338029981467774E-2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3.0150329637334732E-3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3.9573880554091743E-2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1.3569335241120586E-5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1.7095174913427632E-3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9.2863356228286726E-7</v>
      </c>
      <c r="C8" s="432"/>
      <c r="D8" s="434">
        <f>vkm_2011_NGW_PW*SUMIFS(TableVerdeelsleutelVkm[CNG],TableVerdeelsleutelVkm[Voertuigtype],"Lichte voertuigen")*SUMIFS(TableECFTransport[EnergieConsumptieFactor (PJ per km)],TableECFTransport[Index],CONCATENATE($A8,"_CNG_CNG"))</f>
        <v>7.1818945356048976E-6</v>
      </c>
      <c r="E8" s="434">
        <f>vkm_2011_NGW_PW*SUMIFS(TableVerdeelsleutelVkm[LPG],TableVerdeelsleutelVkm[Voertuigtype],"Lichte voertuigen")*SUMIFS(TableECFTransport[EnergieConsumptieFactor (PJ per km)],TableECFTransport[Index],CONCATENATE($A8,"_LPG_LPG"))</f>
        <v>6.8227829195710034E-4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7.9598203782159302E-2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2.3099040600655197E-2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4.505914316092265E-3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3.1221417538518901E-2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9.3000400644007893E-6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1.3486417198859883E-3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2.1497017321245501E-6</v>
      </c>
      <c r="C10" s="432"/>
      <c r="D10" s="434">
        <f>vkm_2011_SW_PW*SUMIFS(TableVerdeelsleutelVkm[CNG],TableVerdeelsleutelVkm[Voertuigtype],"Lichte voertuigen")*SUMIFS(TableECFTransport[EnergieConsumptieFactor (PJ per km)],TableECFTransport[Index],CONCATENATE($A10,"_CNG_CNG"))</f>
        <v>9.6014111468379871E-6</v>
      </c>
      <c r="E10" s="434">
        <f>vkm_2011_SW_PW*SUMIFS(TableVerdeelsleutelVkm[LPG],TableVerdeelsleutelVkm[Voertuigtype],"Lichte voertuigen")*SUMIFS(TableECFTransport[EnergieConsumptieFactor (PJ per km)],TableECFTransport[Index],CONCATENATE($A10,"_LPG_LPG"))</f>
        <v>1.2506448287314836E-3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0.14142466868511383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3.4135562640869442E-2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7.686328835556127E-3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0.16470176408748904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6.0255413473958222E-5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7.1149825613695114E-3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1.1292964621405066</v>
      </c>
      <c r="C14" s="21"/>
      <c r="D14" s="21">
        <f t="shared" ref="D14:M14" si="0">((D5)*10^9/3600)+D12</f>
        <v>5.8440880161096924</v>
      </c>
      <c r="E14" s="21">
        <f t="shared" si="0"/>
        <v>659.90903968050304</v>
      </c>
      <c r="F14" s="21"/>
      <c r="G14" s="21">
        <f t="shared" si="0"/>
        <v>141938.70251217898</v>
      </c>
      <c r="H14" s="21">
        <f t="shared" si="0"/>
        <v>19904.377225492197</v>
      </c>
      <c r="I14" s="21"/>
      <c r="J14" s="21"/>
      <c r="K14" s="21"/>
      <c r="L14" s="21"/>
      <c r="M14" s="21">
        <f t="shared" si="0"/>
        <v>7050.1160799944801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0.21668392742466114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0.24470039264338012</v>
      </c>
      <c r="C18" s="23"/>
      <c r="D18" s="23">
        <f t="shared" ref="D18:M18" si="1">D14*D16</f>
        <v>1.180505779254158</v>
      </c>
      <c r="E18" s="23">
        <f t="shared" si="1"/>
        <v>149.7993520074742</v>
      </c>
      <c r="F18" s="23"/>
      <c r="G18" s="23">
        <f t="shared" si="1"/>
        <v>37897.633570751786</v>
      </c>
      <c r="H18" s="23">
        <f t="shared" si="1"/>
        <v>4956.1899291475575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2.4667335297996066E-3</v>
      </c>
      <c r="H50" s="322">
        <f t="shared" si="2"/>
        <v>0</v>
      </c>
      <c r="I50" s="322">
        <f t="shared" si="2"/>
        <v>0</v>
      </c>
      <c r="J50" s="322">
        <f t="shared" si="2"/>
        <v>0</v>
      </c>
      <c r="K50" s="322">
        <f t="shared" si="2"/>
        <v>0</v>
      </c>
      <c r="L50" s="322">
        <f t="shared" si="2"/>
        <v>0</v>
      </c>
      <c r="M50" s="322">
        <f t="shared" si="2"/>
        <v>1.0514613370934049E-4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2.4667335297996066E-3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1.0514613370934049E-4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685.2037582776685</v>
      </c>
      <c r="H54" s="21">
        <f t="shared" si="3"/>
        <v>0</v>
      </c>
      <c r="I54" s="21">
        <f t="shared" si="3"/>
        <v>0</v>
      </c>
      <c r="J54" s="21">
        <f t="shared" si="3"/>
        <v>0</v>
      </c>
      <c r="K54" s="21">
        <f t="shared" si="3"/>
        <v>0</v>
      </c>
      <c r="L54" s="21">
        <f t="shared" si="3"/>
        <v>0</v>
      </c>
      <c r="M54" s="21">
        <f t="shared" si="3"/>
        <v>29.207259363705692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0.21668392742466114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182.94940346013749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11148.238166353805</v>
      </c>
      <c r="D10" s="687">
        <f ca="1">tertiair!C16</f>
        <v>0</v>
      </c>
      <c r="E10" s="687">
        <f ca="1">tertiair!D16</f>
        <v>8597.2071668874705</v>
      </c>
      <c r="F10" s="687">
        <f>tertiair!E16</f>
        <v>208.00870499218431</v>
      </c>
      <c r="G10" s="687">
        <f ca="1">tertiair!F16</f>
        <v>1809.4182682638359</v>
      </c>
      <c r="H10" s="687">
        <f>tertiair!G16</f>
        <v>0</v>
      </c>
      <c r="I10" s="687">
        <f>tertiair!H16</f>
        <v>0</v>
      </c>
      <c r="J10" s="687">
        <f>tertiair!I16</f>
        <v>0</v>
      </c>
      <c r="K10" s="687">
        <f>tertiair!J16</f>
        <v>0</v>
      </c>
      <c r="L10" s="687">
        <f>tertiair!K16</f>
        <v>0</v>
      </c>
      <c r="M10" s="687">
        <f ca="1">tertiair!L16</f>
        <v>0</v>
      </c>
      <c r="N10" s="687">
        <f>tertiair!M16</f>
        <v>0</v>
      </c>
      <c r="O10" s="687">
        <f ca="1">tertiair!N16</f>
        <v>265.50832054535516</v>
      </c>
      <c r="P10" s="687">
        <f>tertiair!O16</f>
        <v>1.5633333333333335</v>
      </c>
      <c r="Q10" s="688">
        <f>tertiair!P16</f>
        <v>19.066666666666666</v>
      </c>
      <c r="R10" s="690">
        <f ca="1">SUM(C10:Q10)</f>
        <v>22049.010627042648</v>
      </c>
      <c r="S10" s="67"/>
    </row>
    <row r="11" spans="1:19" s="456" customFormat="1">
      <c r="A11" s="802" t="s">
        <v>225</v>
      </c>
      <c r="B11" s="807"/>
      <c r="C11" s="687">
        <f>huishoudens!B8</f>
        <v>27536.311132072773</v>
      </c>
      <c r="D11" s="687">
        <f>huishoudens!C8</f>
        <v>0</v>
      </c>
      <c r="E11" s="687">
        <f>huishoudens!D8</f>
        <v>35134.406137553138</v>
      </c>
      <c r="F11" s="687">
        <f>huishoudens!E8</f>
        <v>2466.6419058405781</v>
      </c>
      <c r="G11" s="687">
        <f>huishoudens!F8</f>
        <v>21260.683504456865</v>
      </c>
      <c r="H11" s="687">
        <f>huishoudens!G8</f>
        <v>0</v>
      </c>
      <c r="I11" s="687">
        <f>huishoudens!H8</f>
        <v>0</v>
      </c>
      <c r="J11" s="687">
        <f>huishoudens!I8</f>
        <v>0</v>
      </c>
      <c r="K11" s="687">
        <f>huishoudens!J8</f>
        <v>6557.6306545331399</v>
      </c>
      <c r="L11" s="687">
        <f>huishoudens!K8</f>
        <v>0</v>
      </c>
      <c r="M11" s="687">
        <f>huishoudens!L8</f>
        <v>0</v>
      </c>
      <c r="N11" s="687">
        <f>huishoudens!M8</f>
        <v>0</v>
      </c>
      <c r="O11" s="687">
        <f>huishoudens!N8</f>
        <v>8041.5107093420629</v>
      </c>
      <c r="P11" s="687">
        <f>huishoudens!O8</f>
        <v>112.56000000000002</v>
      </c>
      <c r="Q11" s="688">
        <f>huishoudens!P8</f>
        <v>305.06666666666666</v>
      </c>
      <c r="R11" s="690">
        <f>SUM(C11:Q11)</f>
        <v>101414.81071046523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4325.8034079808413</v>
      </c>
      <c r="D13" s="687">
        <f>industrie!C18</f>
        <v>0</v>
      </c>
      <c r="E13" s="687">
        <f>industrie!D18</f>
        <v>21383.902271343439</v>
      </c>
      <c r="F13" s="687">
        <f>industrie!E18</f>
        <v>47.067754689436335</v>
      </c>
      <c r="G13" s="687">
        <f>industrie!F18</f>
        <v>1316.4588083549427</v>
      </c>
      <c r="H13" s="687">
        <f>industrie!G18</f>
        <v>0</v>
      </c>
      <c r="I13" s="687">
        <f>industrie!H18</f>
        <v>0</v>
      </c>
      <c r="J13" s="687">
        <f>industrie!I18</f>
        <v>0</v>
      </c>
      <c r="K13" s="687">
        <f>industrie!J18</f>
        <v>22.036822347367782</v>
      </c>
      <c r="L13" s="687">
        <f>industrie!K18</f>
        <v>0</v>
      </c>
      <c r="M13" s="687">
        <f>industrie!L18</f>
        <v>0</v>
      </c>
      <c r="N13" s="687">
        <f>industrie!M18</f>
        <v>0</v>
      </c>
      <c r="O13" s="687">
        <f>industrie!N18</f>
        <v>119.52390323579533</v>
      </c>
      <c r="P13" s="687">
        <f>industrie!O18</f>
        <v>0</v>
      </c>
      <c r="Q13" s="688">
        <f>industrie!P18</f>
        <v>0</v>
      </c>
      <c r="R13" s="690">
        <f>SUM(C13:Q13)</f>
        <v>27214.792967951824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43010.352706407422</v>
      </c>
      <c r="D16" s="720">
        <f t="shared" ref="D16:R16" ca="1" si="0">SUM(D9:D15)</f>
        <v>0</v>
      </c>
      <c r="E16" s="720">
        <f t="shared" ca="1" si="0"/>
        <v>65115.515575784048</v>
      </c>
      <c r="F16" s="720">
        <f t="shared" si="0"/>
        <v>2721.7183655221988</v>
      </c>
      <c r="G16" s="720">
        <f t="shared" ca="1" si="0"/>
        <v>24386.560581075642</v>
      </c>
      <c r="H16" s="720">
        <f t="shared" si="0"/>
        <v>0</v>
      </c>
      <c r="I16" s="720">
        <f t="shared" si="0"/>
        <v>0</v>
      </c>
      <c r="J16" s="720">
        <f t="shared" si="0"/>
        <v>0</v>
      </c>
      <c r="K16" s="720">
        <f t="shared" si="0"/>
        <v>6579.6674768805078</v>
      </c>
      <c r="L16" s="720">
        <f t="shared" si="0"/>
        <v>0</v>
      </c>
      <c r="M16" s="720">
        <f t="shared" ca="1" si="0"/>
        <v>0</v>
      </c>
      <c r="N16" s="720">
        <f t="shared" si="0"/>
        <v>0</v>
      </c>
      <c r="O16" s="720">
        <f t="shared" ca="1" si="0"/>
        <v>8426.5429331232135</v>
      </c>
      <c r="P16" s="720">
        <f t="shared" si="0"/>
        <v>114.12333333333335</v>
      </c>
      <c r="Q16" s="720">
        <f t="shared" si="0"/>
        <v>324.13333333333333</v>
      </c>
      <c r="R16" s="720">
        <f t="shared" ca="1" si="0"/>
        <v>150678.61430545969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685.2037582776685</v>
      </c>
      <c r="I19" s="687">
        <f>transport!H54</f>
        <v>0</v>
      </c>
      <c r="J19" s="687">
        <f>transport!I54</f>
        <v>0</v>
      </c>
      <c r="K19" s="687">
        <f>transport!J54</f>
        <v>0</v>
      </c>
      <c r="L19" s="687">
        <f>transport!K54</f>
        <v>0</v>
      </c>
      <c r="M19" s="687">
        <f>transport!L54</f>
        <v>0</v>
      </c>
      <c r="N19" s="687">
        <f>transport!M54</f>
        <v>29.207259363705692</v>
      </c>
      <c r="O19" s="687">
        <f>transport!N54</f>
        <v>0</v>
      </c>
      <c r="P19" s="687">
        <f>transport!O54</f>
        <v>0</v>
      </c>
      <c r="Q19" s="688">
        <f>transport!P54</f>
        <v>0</v>
      </c>
      <c r="R19" s="690">
        <f>SUM(C19:Q19)</f>
        <v>714.4110176413742</v>
      </c>
      <c r="S19" s="67"/>
    </row>
    <row r="20" spans="1:19" s="456" customFormat="1">
      <c r="A20" s="802" t="s">
        <v>307</v>
      </c>
      <c r="B20" s="807"/>
      <c r="C20" s="687">
        <f>transport!B14</f>
        <v>1.1292964621405066</v>
      </c>
      <c r="D20" s="687">
        <f>transport!C14</f>
        <v>0</v>
      </c>
      <c r="E20" s="687">
        <f>transport!D14</f>
        <v>5.8440880161096924</v>
      </c>
      <c r="F20" s="687">
        <f>transport!E14</f>
        <v>659.90903968050304</v>
      </c>
      <c r="G20" s="687">
        <f>transport!F14</f>
        <v>0</v>
      </c>
      <c r="H20" s="687">
        <f>transport!G14</f>
        <v>141938.70251217898</v>
      </c>
      <c r="I20" s="687">
        <f>transport!H14</f>
        <v>19904.377225492197</v>
      </c>
      <c r="J20" s="687">
        <f>transport!I14</f>
        <v>0</v>
      </c>
      <c r="K20" s="687">
        <f>transport!J14</f>
        <v>0</v>
      </c>
      <c r="L20" s="687">
        <f>transport!K14</f>
        <v>0</v>
      </c>
      <c r="M20" s="687">
        <f>transport!L14</f>
        <v>0</v>
      </c>
      <c r="N20" s="687">
        <f>transport!M14</f>
        <v>7050.1160799944801</v>
      </c>
      <c r="O20" s="687">
        <f>transport!N14</f>
        <v>0</v>
      </c>
      <c r="P20" s="687">
        <f>transport!O14</f>
        <v>0</v>
      </c>
      <c r="Q20" s="688">
        <f>transport!P14</f>
        <v>0</v>
      </c>
      <c r="R20" s="690">
        <f>SUM(C20:Q20)</f>
        <v>169560.07824182441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1.1292964621405066</v>
      </c>
      <c r="D22" s="805">
        <f t="shared" ref="D22:R22" si="1">SUM(D18:D21)</f>
        <v>0</v>
      </c>
      <c r="E22" s="805">
        <f t="shared" si="1"/>
        <v>5.8440880161096924</v>
      </c>
      <c r="F22" s="805">
        <f t="shared" si="1"/>
        <v>659.90903968050304</v>
      </c>
      <c r="G22" s="805">
        <f t="shared" si="1"/>
        <v>0</v>
      </c>
      <c r="H22" s="805">
        <f t="shared" si="1"/>
        <v>142623.90627045665</v>
      </c>
      <c r="I22" s="805">
        <f t="shared" si="1"/>
        <v>19904.377225492197</v>
      </c>
      <c r="J22" s="805">
        <f t="shared" si="1"/>
        <v>0</v>
      </c>
      <c r="K22" s="805">
        <f t="shared" si="1"/>
        <v>0</v>
      </c>
      <c r="L22" s="805">
        <f t="shared" si="1"/>
        <v>0</v>
      </c>
      <c r="M22" s="805">
        <f t="shared" si="1"/>
        <v>0</v>
      </c>
      <c r="N22" s="805">
        <f t="shared" si="1"/>
        <v>7079.3233393581859</v>
      </c>
      <c r="O22" s="805">
        <f t="shared" si="1"/>
        <v>0</v>
      </c>
      <c r="P22" s="805">
        <f t="shared" si="1"/>
        <v>0</v>
      </c>
      <c r="Q22" s="805">
        <f t="shared" si="1"/>
        <v>0</v>
      </c>
      <c r="R22" s="805">
        <f t="shared" si="1"/>
        <v>170274.48925946577</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2542.0117229938328</v>
      </c>
      <c r="D24" s="687">
        <f>+landbouw!C8</f>
        <v>5637.8571428571431</v>
      </c>
      <c r="E24" s="687">
        <f>+landbouw!D8</f>
        <v>479.06642880289473</v>
      </c>
      <c r="F24" s="687">
        <f>+landbouw!E8</f>
        <v>26.620497086287401</v>
      </c>
      <c r="G24" s="687">
        <f>+landbouw!F8</f>
        <v>10881.741693108483</v>
      </c>
      <c r="H24" s="687">
        <f>+landbouw!G8</f>
        <v>0</v>
      </c>
      <c r="I24" s="687">
        <f>+landbouw!H8</f>
        <v>0</v>
      </c>
      <c r="J24" s="687">
        <f>+landbouw!I8</f>
        <v>0</v>
      </c>
      <c r="K24" s="687">
        <f>+landbouw!J8</f>
        <v>227.02443130311727</v>
      </c>
      <c r="L24" s="687">
        <f>+landbouw!K8</f>
        <v>0</v>
      </c>
      <c r="M24" s="687">
        <f>+landbouw!L8</f>
        <v>0</v>
      </c>
      <c r="N24" s="687">
        <f>+landbouw!M8</f>
        <v>0</v>
      </c>
      <c r="O24" s="687">
        <f>+landbouw!N8</f>
        <v>0</v>
      </c>
      <c r="P24" s="687">
        <f>+landbouw!O8</f>
        <v>0</v>
      </c>
      <c r="Q24" s="688">
        <f>+landbouw!P8</f>
        <v>0</v>
      </c>
      <c r="R24" s="690">
        <f>SUM(C24:Q24)</f>
        <v>19794.321916151759</v>
      </c>
      <c r="S24" s="67"/>
    </row>
    <row r="25" spans="1:19" s="456" customFormat="1" ht="15" thickBot="1">
      <c r="A25" s="824" t="s">
        <v>925</v>
      </c>
      <c r="B25" s="988"/>
      <c r="C25" s="989">
        <f>IF(Onbekend_ele_kWh="---",0,Onbekend_ele_kWh)/1000+IF(REST_rest_ele_kWh="---",0,REST_rest_ele_kWh)/1000</f>
        <v>1319.5157223573899</v>
      </c>
      <c r="D25" s="989"/>
      <c r="E25" s="989">
        <f>IF(onbekend_gas_kWh="---",0,onbekend_gas_kWh)/1000+IF(REST_rest_gas_kWh="---",0,REST_rest_gas_kWh)/1000</f>
        <v>1531.92590338643</v>
      </c>
      <c r="F25" s="989"/>
      <c r="G25" s="989"/>
      <c r="H25" s="989"/>
      <c r="I25" s="989"/>
      <c r="J25" s="989"/>
      <c r="K25" s="989"/>
      <c r="L25" s="989"/>
      <c r="M25" s="989"/>
      <c r="N25" s="989"/>
      <c r="O25" s="989"/>
      <c r="P25" s="989"/>
      <c r="Q25" s="990"/>
      <c r="R25" s="690">
        <f>SUM(C25:Q25)</f>
        <v>2851.4416257438197</v>
      </c>
      <c r="S25" s="67"/>
    </row>
    <row r="26" spans="1:19" s="456" customFormat="1" ht="15.75" thickBot="1">
      <c r="A26" s="693" t="s">
        <v>926</v>
      </c>
      <c r="B26" s="810"/>
      <c r="C26" s="805">
        <f>SUM(C24:C25)</f>
        <v>3861.5274453512229</v>
      </c>
      <c r="D26" s="805">
        <f t="shared" ref="D26:R26" si="2">SUM(D24:D25)</f>
        <v>5637.8571428571431</v>
      </c>
      <c r="E26" s="805">
        <f t="shared" si="2"/>
        <v>2010.9923321893248</v>
      </c>
      <c r="F26" s="805">
        <f t="shared" si="2"/>
        <v>26.620497086287401</v>
      </c>
      <c r="G26" s="805">
        <f t="shared" si="2"/>
        <v>10881.741693108483</v>
      </c>
      <c r="H26" s="805">
        <f t="shared" si="2"/>
        <v>0</v>
      </c>
      <c r="I26" s="805">
        <f t="shared" si="2"/>
        <v>0</v>
      </c>
      <c r="J26" s="805">
        <f t="shared" si="2"/>
        <v>0</v>
      </c>
      <c r="K26" s="805">
        <f t="shared" si="2"/>
        <v>227.02443130311727</v>
      </c>
      <c r="L26" s="805">
        <f t="shared" si="2"/>
        <v>0</v>
      </c>
      <c r="M26" s="805">
        <f t="shared" si="2"/>
        <v>0</v>
      </c>
      <c r="N26" s="805">
        <f t="shared" si="2"/>
        <v>0</v>
      </c>
      <c r="O26" s="805">
        <f t="shared" si="2"/>
        <v>0</v>
      </c>
      <c r="P26" s="805">
        <f t="shared" si="2"/>
        <v>0</v>
      </c>
      <c r="Q26" s="805">
        <f t="shared" si="2"/>
        <v>0</v>
      </c>
      <c r="R26" s="805">
        <f t="shared" si="2"/>
        <v>22645.76354189558</v>
      </c>
      <c r="S26" s="67"/>
    </row>
    <row r="27" spans="1:19" s="456" customFormat="1" ht="17.25" thickTop="1" thickBot="1">
      <c r="A27" s="694" t="s">
        <v>116</v>
      </c>
      <c r="B27" s="797"/>
      <c r="C27" s="695">
        <f ca="1">C22+C16+C26</f>
        <v>46873.009448220786</v>
      </c>
      <c r="D27" s="695">
        <f t="shared" ref="D27:R27" ca="1" si="3">D22+D16+D26</f>
        <v>5637.8571428571431</v>
      </c>
      <c r="E27" s="695">
        <f t="shared" ca="1" si="3"/>
        <v>67132.351995989477</v>
      </c>
      <c r="F27" s="695">
        <f t="shared" si="3"/>
        <v>3408.2479022889893</v>
      </c>
      <c r="G27" s="695">
        <f t="shared" ca="1" si="3"/>
        <v>35268.302274184127</v>
      </c>
      <c r="H27" s="695">
        <f t="shared" si="3"/>
        <v>142623.90627045665</v>
      </c>
      <c r="I27" s="695">
        <f t="shared" si="3"/>
        <v>19904.377225492197</v>
      </c>
      <c r="J27" s="695">
        <f t="shared" si="3"/>
        <v>0</v>
      </c>
      <c r="K27" s="695">
        <f t="shared" si="3"/>
        <v>6806.6919081836249</v>
      </c>
      <c r="L27" s="695">
        <f t="shared" si="3"/>
        <v>0</v>
      </c>
      <c r="M27" s="695">
        <f t="shared" ca="1" si="3"/>
        <v>0</v>
      </c>
      <c r="N27" s="695">
        <f t="shared" si="3"/>
        <v>7079.3233393581859</v>
      </c>
      <c r="O27" s="695">
        <f t="shared" ca="1" si="3"/>
        <v>8426.5429331232135</v>
      </c>
      <c r="P27" s="695">
        <f t="shared" si="3"/>
        <v>114.12333333333335</v>
      </c>
      <c r="Q27" s="695">
        <f t="shared" si="3"/>
        <v>324.13333333333333</v>
      </c>
      <c r="R27" s="695">
        <f t="shared" ca="1" si="3"/>
        <v>343598.8671068211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2415.6440297510453</v>
      </c>
      <c r="D40" s="687">
        <f ca="1">tertiair!C20</f>
        <v>0</v>
      </c>
      <c r="E40" s="687">
        <f ca="1">tertiair!D20</f>
        <v>1736.6358477112692</v>
      </c>
      <c r="F40" s="687">
        <f>tertiair!E20</f>
        <v>47.217976033225838</v>
      </c>
      <c r="G40" s="687">
        <f ca="1">tertiair!F20</f>
        <v>483.11467762644423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4682.6125311219839</v>
      </c>
    </row>
    <row r="41" spans="1:18">
      <c r="A41" s="815" t="s">
        <v>225</v>
      </c>
      <c r="B41" s="822"/>
      <c r="C41" s="687">
        <f ca="1">huishoudens!B12</f>
        <v>5966.6760428849457</v>
      </c>
      <c r="D41" s="687">
        <f ca="1">huishoudens!C12</f>
        <v>0</v>
      </c>
      <c r="E41" s="687">
        <f>huishoudens!D12</f>
        <v>7097.1500397857344</v>
      </c>
      <c r="F41" s="687">
        <f>huishoudens!E12</f>
        <v>559.9277126258113</v>
      </c>
      <c r="G41" s="687">
        <f>huishoudens!F12</f>
        <v>5676.6024956899837</v>
      </c>
      <c r="H41" s="687">
        <f>huishoudens!G12</f>
        <v>0</v>
      </c>
      <c r="I41" s="687">
        <f>huishoudens!H12</f>
        <v>0</v>
      </c>
      <c r="J41" s="687">
        <f>huishoudens!I12</f>
        <v>0</v>
      </c>
      <c r="K41" s="687">
        <f>huishoudens!J12</f>
        <v>2321.4012517047313</v>
      </c>
      <c r="L41" s="687">
        <f>huishoudens!K12</f>
        <v>0</v>
      </c>
      <c r="M41" s="687">
        <f>huishoudens!L12</f>
        <v>0</v>
      </c>
      <c r="N41" s="687">
        <f>huishoudens!M12</f>
        <v>0</v>
      </c>
      <c r="O41" s="687">
        <f>huishoudens!N12</f>
        <v>0</v>
      </c>
      <c r="P41" s="687">
        <f>huishoudens!O12</f>
        <v>0</v>
      </c>
      <c r="Q41" s="762">
        <f>huishoudens!P12</f>
        <v>0</v>
      </c>
      <c r="R41" s="843">
        <f t="shared" ca="1" si="4"/>
        <v>21621.757542691204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937.33207170827245</v>
      </c>
      <c r="D43" s="687">
        <f ca="1">industrie!C22</f>
        <v>0</v>
      </c>
      <c r="E43" s="687">
        <f>industrie!D22</f>
        <v>4319.5482588113746</v>
      </c>
      <c r="F43" s="687">
        <f>industrie!E22</f>
        <v>10.684380314502048</v>
      </c>
      <c r="G43" s="687">
        <f>industrie!F22</f>
        <v>351.49450183076971</v>
      </c>
      <c r="H43" s="687">
        <f>industrie!G22</f>
        <v>0</v>
      </c>
      <c r="I43" s="687">
        <f>industrie!H22</f>
        <v>0</v>
      </c>
      <c r="J43" s="687">
        <f>industrie!I22</f>
        <v>0</v>
      </c>
      <c r="K43" s="687">
        <f>industrie!J22</f>
        <v>7.8010351109681944</v>
      </c>
      <c r="L43" s="687">
        <f>industrie!K22</f>
        <v>0</v>
      </c>
      <c r="M43" s="687">
        <f>industrie!L22</f>
        <v>0</v>
      </c>
      <c r="N43" s="687">
        <f>industrie!M22</f>
        <v>0</v>
      </c>
      <c r="O43" s="687">
        <f>industrie!N22</f>
        <v>0</v>
      </c>
      <c r="P43" s="687">
        <f>industrie!O22</f>
        <v>0</v>
      </c>
      <c r="Q43" s="762">
        <f>industrie!P22</f>
        <v>0</v>
      </c>
      <c r="R43" s="842">
        <f t="shared" ca="1" si="4"/>
        <v>5626.8602477758868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9319.6521443442616</v>
      </c>
      <c r="D46" s="720">
        <f t="shared" ref="D46:Q46" ca="1" si="5">SUM(D39:D45)</f>
        <v>0</v>
      </c>
      <c r="E46" s="720">
        <f t="shared" ca="1" si="5"/>
        <v>13153.334146308378</v>
      </c>
      <c r="F46" s="720">
        <f t="shared" si="5"/>
        <v>617.83006897353914</v>
      </c>
      <c r="G46" s="720">
        <f t="shared" ca="1" si="5"/>
        <v>6511.2116751471976</v>
      </c>
      <c r="H46" s="720">
        <f t="shared" si="5"/>
        <v>0</v>
      </c>
      <c r="I46" s="720">
        <f t="shared" si="5"/>
        <v>0</v>
      </c>
      <c r="J46" s="720">
        <f t="shared" si="5"/>
        <v>0</v>
      </c>
      <c r="K46" s="720">
        <f t="shared" si="5"/>
        <v>2329.2022868156996</v>
      </c>
      <c r="L46" s="720">
        <f t="shared" si="5"/>
        <v>0</v>
      </c>
      <c r="M46" s="720">
        <f t="shared" ca="1" si="5"/>
        <v>0</v>
      </c>
      <c r="N46" s="720">
        <f t="shared" si="5"/>
        <v>0</v>
      </c>
      <c r="O46" s="720">
        <f t="shared" ca="1" si="5"/>
        <v>0</v>
      </c>
      <c r="P46" s="720">
        <f t="shared" si="5"/>
        <v>0</v>
      </c>
      <c r="Q46" s="720">
        <f t="shared" si="5"/>
        <v>0</v>
      </c>
      <c r="R46" s="720">
        <f ca="1">SUM(R39:R45)</f>
        <v>31931.230321589075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182.94940346013749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182.94940346013749</v>
      </c>
    </row>
    <row r="50" spans="1:18">
      <c r="A50" s="818" t="s">
        <v>307</v>
      </c>
      <c r="B50" s="828"/>
      <c r="C50" s="995">
        <f ca="1">transport!B18</f>
        <v>0.24470039264338012</v>
      </c>
      <c r="D50" s="995">
        <f>transport!C18</f>
        <v>0</v>
      </c>
      <c r="E50" s="995">
        <f>transport!D18</f>
        <v>1.180505779254158</v>
      </c>
      <c r="F50" s="995">
        <f>transport!E18</f>
        <v>149.7993520074742</v>
      </c>
      <c r="G50" s="995">
        <f>transport!F18</f>
        <v>0</v>
      </c>
      <c r="H50" s="995">
        <f>transport!G18</f>
        <v>37897.633570751786</v>
      </c>
      <c r="I50" s="995">
        <f>transport!H18</f>
        <v>4956.1899291475575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43005.048058078712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0.24470039264338012</v>
      </c>
      <c r="D52" s="720">
        <f t="shared" ref="D52:Q52" ca="1" si="6">SUM(D48:D51)</f>
        <v>0</v>
      </c>
      <c r="E52" s="720">
        <f t="shared" si="6"/>
        <v>1.180505779254158</v>
      </c>
      <c r="F52" s="720">
        <f t="shared" si="6"/>
        <v>149.7993520074742</v>
      </c>
      <c r="G52" s="720">
        <f t="shared" si="6"/>
        <v>0</v>
      </c>
      <c r="H52" s="720">
        <f t="shared" si="6"/>
        <v>38080.582974211924</v>
      </c>
      <c r="I52" s="720">
        <f t="shared" si="6"/>
        <v>4956.1899291475575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43187.997461538849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550.81308369783346</v>
      </c>
      <c r="D54" s="995">
        <f ca="1">+landbouw!C12</f>
        <v>1339.8201680672271</v>
      </c>
      <c r="E54" s="995">
        <f>+landbouw!D12</f>
        <v>96.77141861818474</v>
      </c>
      <c r="F54" s="995">
        <f>+landbouw!E12</f>
        <v>6.0428528385872404</v>
      </c>
      <c r="G54" s="995">
        <f>+landbouw!F12</f>
        <v>2905.4250320599649</v>
      </c>
      <c r="H54" s="995">
        <f>+landbouw!G12</f>
        <v>0</v>
      </c>
      <c r="I54" s="995">
        <f>+landbouw!H12</f>
        <v>0</v>
      </c>
      <c r="J54" s="995">
        <f>+landbouw!I12</f>
        <v>0</v>
      </c>
      <c r="K54" s="995">
        <f>+landbouw!J12</f>
        <v>80.366648681303502</v>
      </c>
      <c r="L54" s="995">
        <f>+landbouw!K12</f>
        <v>0</v>
      </c>
      <c r="M54" s="995">
        <f>+landbouw!L12</f>
        <v>0</v>
      </c>
      <c r="N54" s="995">
        <f>+landbouw!M12</f>
        <v>0</v>
      </c>
      <c r="O54" s="995">
        <f>+landbouw!N12</f>
        <v>0</v>
      </c>
      <c r="P54" s="995">
        <f>+landbouw!O12</f>
        <v>0</v>
      </c>
      <c r="Q54" s="996">
        <f>+landbouw!P12</f>
        <v>0</v>
      </c>
      <c r="R54" s="719">
        <f ca="1">SUM(C54:Q54)</f>
        <v>4979.2392039631013</v>
      </c>
    </row>
    <row r="55" spans="1:18" ht="15" thickBot="1">
      <c r="A55" s="818" t="s">
        <v>925</v>
      </c>
      <c r="B55" s="828"/>
      <c r="C55" s="995">
        <f ca="1">C25*'EF ele_warmte'!B12</f>
        <v>285.91784901898797</v>
      </c>
      <c r="D55" s="995"/>
      <c r="E55" s="995">
        <f>E25*EF_CO2_aardgas</f>
        <v>309.44903248405888</v>
      </c>
      <c r="F55" s="995"/>
      <c r="G55" s="995"/>
      <c r="H55" s="995"/>
      <c r="I55" s="995"/>
      <c r="J55" s="995"/>
      <c r="K55" s="995"/>
      <c r="L55" s="995"/>
      <c r="M55" s="995"/>
      <c r="N55" s="995"/>
      <c r="O55" s="995"/>
      <c r="P55" s="995"/>
      <c r="Q55" s="996"/>
      <c r="R55" s="719">
        <f ca="1">SUM(C55:Q55)</f>
        <v>595.3668815030469</v>
      </c>
    </row>
    <row r="56" spans="1:18" ht="15.75" thickBot="1">
      <c r="A56" s="816" t="s">
        <v>926</v>
      </c>
      <c r="B56" s="829"/>
      <c r="C56" s="720">
        <f ca="1">SUM(C54:C55)</f>
        <v>836.73093271682137</v>
      </c>
      <c r="D56" s="720">
        <f t="shared" ref="D56:Q56" ca="1" si="7">SUM(D54:D55)</f>
        <v>1339.8201680672271</v>
      </c>
      <c r="E56" s="720">
        <f t="shared" si="7"/>
        <v>406.2204511022436</v>
      </c>
      <c r="F56" s="720">
        <f t="shared" si="7"/>
        <v>6.0428528385872404</v>
      </c>
      <c r="G56" s="720">
        <f t="shared" si="7"/>
        <v>2905.4250320599649</v>
      </c>
      <c r="H56" s="720">
        <f t="shared" si="7"/>
        <v>0</v>
      </c>
      <c r="I56" s="720">
        <f t="shared" si="7"/>
        <v>0</v>
      </c>
      <c r="J56" s="720">
        <f t="shared" si="7"/>
        <v>0</v>
      </c>
      <c r="K56" s="720">
        <f t="shared" si="7"/>
        <v>80.366648681303502</v>
      </c>
      <c r="L56" s="720">
        <f t="shared" si="7"/>
        <v>0</v>
      </c>
      <c r="M56" s="720">
        <f t="shared" si="7"/>
        <v>0</v>
      </c>
      <c r="N56" s="720">
        <f t="shared" si="7"/>
        <v>0</v>
      </c>
      <c r="O56" s="720">
        <f t="shared" si="7"/>
        <v>0</v>
      </c>
      <c r="P56" s="720">
        <f t="shared" si="7"/>
        <v>0</v>
      </c>
      <c r="Q56" s="721">
        <f t="shared" si="7"/>
        <v>0</v>
      </c>
      <c r="R56" s="722">
        <f ca="1">SUM(R54:R55)</f>
        <v>5574.6060854661482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10156.627777453727</v>
      </c>
      <c r="D61" s="728">
        <f t="shared" ref="D61:Q61" ca="1" si="8">D46+D52+D56</f>
        <v>1339.8201680672271</v>
      </c>
      <c r="E61" s="728">
        <f t="shared" ca="1" si="8"/>
        <v>13560.735103189874</v>
      </c>
      <c r="F61" s="728">
        <f t="shared" si="8"/>
        <v>773.6722738196006</v>
      </c>
      <c r="G61" s="728">
        <f t="shared" ca="1" si="8"/>
        <v>9416.6367072071625</v>
      </c>
      <c r="H61" s="728">
        <f t="shared" si="8"/>
        <v>38080.582974211924</v>
      </c>
      <c r="I61" s="728">
        <f t="shared" si="8"/>
        <v>4956.1899291475575</v>
      </c>
      <c r="J61" s="728">
        <f t="shared" si="8"/>
        <v>0</v>
      </c>
      <c r="K61" s="728">
        <f t="shared" si="8"/>
        <v>2409.5689354970032</v>
      </c>
      <c r="L61" s="728">
        <f t="shared" si="8"/>
        <v>0</v>
      </c>
      <c r="M61" s="728">
        <f t="shared" ca="1" si="8"/>
        <v>0</v>
      </c>
      <c r="N61" s="728">
        <f t="shared" si="8"/>
        <v>0</v>
      </c>
      <c r="O61" s="728">
        <f t="shared" ca="1" si="8"/>
        <v>0</v>
      </c>
      <c r="P61" s="728">
        <f t="shared" si="8"/>
        <v>0</v>
      </c>
      <c r="Q61" s="728">
        <f t="shared" si="8"/>
        <v>0</v>
      </c>
      <c r="R61" s="728">
        <f ca="1">R46+R52+R56</f>
        <v>80693.833868594069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0.21668392742466108</v>
      </c>
      <c r="D63" s="772">
        <f t="shared" ca="1" si="9"/>
        <v>0.23764705882352943</v>
      </c>
      <c r="E63" s="997">
        <f t="shared" ca="1" si="9"/>
        <v>0.20200000000000001</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1212.6919830322331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3946.5</v>
      </c>
      <c r="D76" s="1007">
        <f>'lokale energieproductie'!C8</f>
        <v>4642.9411764705883</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937.87411764705894</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1212.6919830322331</v>
      </c>
      <c r="C78" s="743">
        <f>SUM(C72:C77)</f>
        <v>3946.5</v>
      </c>
      <c r="D78" s="744">
        <f t="shared" ref="D78:H78" si="10">SUM(D76:D77)</f>
        <v>4642.9411764705883</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937.87411764705894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5637.8571428571431</v>
      </c>
      <c r="D87" s="765">
        <f>'lokale energieproductie'!C17</f>
        <v>6632.7731092436979</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1339.8201680672271</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5637.8571428571431</v>
      </c>
      <c r="D90" s="743">
        <f t="shared" ref="D90:H90" si="12">SUM(D87:D89)</f>
        <v>6632.7731092436979</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1339.8201680672271</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1212.6919830322331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3946.5</v>
      </c>
      <c r="C8" s="557">
        <f>B101</f>
        <v>4642.9411764705883</v>
      </c>
      <c r="D8" s="985"/>
      <c r="E8" s="985">
        <f>E101</f>
        <v>0</v>
      </c>
      <c r="F8" s="986"/>
      <c r="G8" s="558"/>
      <c r="H8" s="985">
        <f>I101</f>
        <v>0</v>
      </c>
      <c r="I8" s="985">
        <f>G101+F101</f>
        <v>0</v>
      </c>
      <c r="J8" s="985">
        <f>H101+D101+C101</f>
        <v>0</v>
      </c>
      <c r="K8" s="985"/>
      <c r="L8" s="985"/>
      <c r="M8" s="985"/>
      <c r="N8" s="559"/>
      <c r="O8" s="560">
        <f>C8*$C$12+D8*$D$12+E8*$E$12+F8*$F$12+G8*$G$12+H8*$H$12+I8*$I$12+J8*$J$12</f>
        <v>937.87411764705894</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5159.1919830322331</v>
      </c>
      <c r="C10" s="569">
        <f t="shared" ref="C10:L10" si="0">SUM(C8:C9)</f>
        <v>4642.9411764705883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937.87411764705894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5637.8571428571431</v>
      </c>
      <c r="C17" s="581">
        <f>B102</f>
        <v>6632.7731092436979</v>
      </c>
      <c r="D17" s="582"/>
      <c r="E17" s="582">
        <f>E102</f>
        <v>0</v>
      </c>
      <c r="F17" s="583"/>
      <c r="G17" s="584"/>
      <c r="H17" s="581">
        <f>I102</f>
        <v>0</v>
      </c>
      <c r="I17" s="582">
        <f>G102+F102</f>
        <v>0</v>
      </c>
      <c r="J17" s="582">
        <f>H102+D102+C102</f>
        <v>0</v>
      </c>
      <c r="K17" s="582"/>
      <c r="L17" s="582"/>
      <c r="M17" s="582"/>
      <c r="N17" s="981"/>
      <c r="O17" s="585">
        <f>C17*$C$22+E17*$E$22+H17*$H$22+I17*$I$22+J17*$J$22+D17*$D$22+F17*$F$22+G17*$G$22+K17*$K$22+L17*$L$22</f>
        <v>1339.8201680672271</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5637.8571428571431</v>
      </c>
      <c r="C20" s="568">
        <f>SUM(C17:C19)</f>
        <v>6632.7731092436979</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1339.8201680672271</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42010</v>
      </c>
      <c r="C28" s="788">
        <v>9270</v>
      </c>
      <c r="D28" s="641" t="s">
        <v>965</v>
      </c>
      <c r="E28" s="640" t="s">
        <v>966</v>
      </c>
      <c r="F28" s="640" t="s">
        <v>967</v>
      </c>
      <c r="G28" s="640" t="s">
        <v>968</v>
      </c>
      <c r="H28" s="640" t="s">
        <v>969</v>
      </c>
      <c r="I28" s="640" t="s">
        <v>966</v>
      </c>
      <c r="J28" s="787">
        <v>40081</v>
      </c>
      <c r="K28" s="787">
        <v>40084</v>
      </c>
      <c r="L28" s="640" t="s">
        <v>970</v>
      </c>
      <c r="M28" s="640">
        <v>877</v>
      </c>
      <c r="N28" s="640">
        <v>3946.5</v>
      </c>
      <c r="O28" s="640">
        <v>5637.8571428571431</v>
      </c>
      <c r="P28" s="640">
        <v>11275.714285714286</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877</v>
      </c>
      <c r="N58" s="598">
        <f>SUM(N28:N57)</f>
        <v>3946.5</v>
      </c>
      <c r="O58" s="598">
        <f t="shared" ref="O58:W58" si="2">SUM(O28:O57)</f>
        <v>5637.8571428571431</v>
      </c>
      <c r="P58" s="598">
        <f t="shared" si="2"/>
        <v>11275.714285714286</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877</v>
      </c>
      <c r="N61" s="603">
        <f t="shared" si="4"/>
        <v>3946.5</v>
      </c>
      <c r="O61" s="603">
        <f t="shared" si="4"/>
        <v>5637.8571428571431</v>
      </c>
      <c r="P61" s="603">
        <f t="shared" si="4"/>
        <v>11275.714285714286</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4642.9411764705883</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6632.7731092436979</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27536.311132072773</v>
      </c>
      <c r="C4" s="460">
        <f>huishoudens!C8</f>
        <v>0</v>
      </c>
      <c r="D4" s="460">
        <f>huishoudens!D8</f>
        <v>35134.406137553138</v>
      </c>
      <c r="E4" s="460">
        <f>huishoudens!E8</f>
        <v>2466.6419058405781</v>
      </c>
      <c r="F4" s="460">
        <f>huishoudens!F8</f>
        <v>21260.683504456865</v>
      </c>
      <c r="G4" s="460">
        <f>huishoudens!G8</f>
        <v>0</v>
      </c>
      <c r="H4" s="460">
        <f>huishoudens!H8</f>
        <v>0</v>
      </c>
      <c r="I4" s="460">
        <f>huishoudens!I8</f>
        <v>0</v>
      </c>
      <c r="J4" s="460">
        <f>huishoudens!J8</f>
        <v>6557.6306545331399</v>
      </c>
      <c r="K4" s="460">
        <f>huishoudens!K8</f>
        <v>0</v>
      </c>
      <c r="L4" s="460">
        <f>huishoudens!L8</f>
        <v>0</v>
      </c>
      <c r="M4" s="460">
        <f>huishoudens!M8</f>
        <v>0</v>
      </c>
      <c r="N4" s="460">
        <f>huishoudens!N8</f>
        <v>8041.5107093420629</v>
      </c>
      <c r="O4" s="460">
        <f>huishoudens!O8</f>
        <v>112.56000000000002</v>
      </c>
      <c r="P4" s="461">
        <f>huishoudens!P8</f>
        <v>305.06666666666666</v>
      </c>
      <c r="Q4" s="462">
        <f>SUM(B4:P4)</f>
        <v>101414.81071046523</v>
      </c>
    </row>
    <row r="5" spans="1:17">
      <c r="A5" s="459" t="s">
        <v>156</v>
      </c>
      <c r="B5" s="460">
        <f ca="1">tertiair!B16</f>
        <v>10178.513166353805</v>
      </c>
      <c r="C5" s="460">
        <f ca="1">tertiair!C16</f>
        <v>0</v>
      </c>
      <c r="D5" s="460">
        <f ca="1">tertiair!D16</f>
        <v>8597.2071668874705</v>
      </c>
      <c r="E5" s="460">
        <f>tertiair!E16</f>
        <v>208.00870499218431</v>
      </c>
      <c r="F5" s="460">
        <f ca="1">tertiair!F16</f>
        <v>1809.4182682638359</v>
      </c>
      <c r="G5" s="460">
        <f>tertiair!G16</f>
        <v>0</v>
      </c>
      <c r="H5" s="460">
        <f>tertiair!H16</f>
        <v>0</v>
      </c>
      <c r="I5" s="460">
        <f>tertiair!I16</f>
        <v>0</v>
      </c>
      <c r="J5" s="460">
        <f>tertiair!J16</f>
        <v>0</v>
      </c>
      <c r="K5" s="460">
        <f>tertiair!K16</f>
        <v>0</v>
      </c>
      <c r="L5" s="460">
        <f ca="1">tertiair!L16</f>
        <v>0</v>
      </c>
      <c r="M5" s="460">
        <f>tertiair!M16</f>
        <v>0</v>
      </c>
      <c r="N5" s="460">
        <f ca="1">tertiair!N16</f>
        <v>265.50832054535516</v>
      </c>
      <c r="O5" s="460">
        <f>tertiair!O16</f>
        <v>1.5633333333333335</v>
      </c>
      <c r="P5" s="461">
        <f>tertiair!P16</f>
        <v>19.066666666666666</v>
      </c>
      <c r="Q5" s="459">
        <f t="shared" ref="Q5:Q14" ca="1" si="0">SUM(B5:P5)</f>
        <v>21079.285627042649</v>
      </c>
    </row>
    <row r="6" spans="1:17">
      <c r="A6" s="459" t="s">
        <v>194</v>
      </c>
      <c r="B6" s="460">
        <f>'openbare verlichting'!B8</f>
        <v>969.72500000000002</v>
      </c>
      <c r="C6" s="460"/>
      <c r="D6" s="460"/>
      <c r="E6" s="460"/>
      <c r="F6" s="460"/>
      <c r="G6" s="460"/>
      <c r="H6" s="460"/>
      <c r="I6" s="460"/>
      <c r="J6" s="460"/>
      <c r="K6" s="460"/>
      <c r="L6" s="460"/>
      <c r="M6" s="460"/>
      <c r="N6" s="460"/>
      <c r="O6" s="460"/>
      <c r="P6" s="461"/>
      <c r="Q6" s="459">
        <f t="shared" si="0"/>
        <v>969.72500000000002</v>
      </c>
    </row>
    <row r="7" spans="1:17">
      <c r="A7" s="459" t="s">
        <v>112</v>
      </c>
      <c r="B7" s="460">
        <f>landbouw!B8</f>
        <v>2542.0117229938328</v>
      </c>
      <c r="C7" s="460">
        <f>landbouw!C8</f>
        <v>5637.8571428571431</v>
      </c>
      <c r="D7" s="460">
        <f>landbouw!D8</f>
        <v>479.06642880289473</v>
      </c>
      <c r="E7" s="460">
        <f>landbouw!E8</f>
        <v>26.620497086287401</v>
      </c>
      <c r="F7" s="460">
        <f>landbouw!F8</f>
        <v>10881.741693108483</v>
      </c>
      <c r="G7" s="460">
        <f>landbouw!G8</f>
        <v>0</v>
      </c>
      <c r="H7" s="460">
        <f>landbouw!H8</f>
        <v>0</v>
      </c>
      <c r="I7" s="460">
        <f>landbouw!I8</f>
        <v>0</v>
      </c>
      <c r="J7" s="460">
        <f>landbouw!J8</f>
        <v>227.02443130311727</v>
      </c>
      <c r="K7" s="460">
        <f>landbouw!K8</f>
        <v>0</v>
      </c>
      <c r="L7" s="460">
        <f>landbouw!L8</f>
        <v>0</v>
      </c>
      <c r="M7" s="460">
        <f>landbouw!M8</f>
        <v>0</v>
      </c>
      <c r="N7" s="460">
        <f>landbouw!N8</f>
        <v>0</v>
      </c>
      <c r="O7" s="460">
        <f>landbouw!O8</f>
        <v>0</v>
      </c>
      <c r="P7" s="461">
        <f>landbouw!P8</f>
        <v>0</v>
      </c>
      <c r="Q7" s="459">
        <f t="shared" si="0"/>
        <v>19794.321916151759</v>
      </c>
    </row>
    <row r="8" spans="1:17">
      <c r="A8" s="459" t="s">
        <v>655</v>
      </c>
      <c r="B8" s="460">
        <f>industrie!B18</f>
        <v>4325.8034079808413</v>
      </c>
      <c r="C8" s="460">
        <f>industrie!C18</f>
        <v>0</v>
      </c>
      <c r="D8" s="460">
        <f>industrie!D18</f>
        <v>21383.902271343439</v>
      </c>
      <c r="E8" s="460">
        <f>industrie!E18</f>
        <v>47.067754689436335</v>
      </c>
      <c r="F8" s="460">
        <f>industrie!F18</f>
        <v>1316.4588083549427</v>
      </c>
      <c r="G8" s="460">
        <f>industrie!G18</f>
        <v>0</v>
      </c>
      <c r="H8" s="460">
        <f>industrie!H18</f>
        <v>0</v>
      </c>
      <c r="I8" s="460">
        <f>industrie!I18</f>
        <v>0</v>
      </c>
      <c r="J8" s="460">
        <f>industrie!J18</f>
        <v>22.036822347367782</v>
      </c>
      <c r="K8" s="460">
        <f>industrie!K18</f>
        <v>0</v>
      </c>
      <c r="L8" s="460">
        <f>industrie!L18</f>
        <v>0</v>
      </c>
      <c r="M8" s="460">
        <f>industrie!M18</f>
        <v>0</v>
      </c>
      <c r="N8" s="460">
        <f>industrie!N18</f>
        <v>119.52390323579533</v>
      </c>
      <c r="O8" s="460">
        <f>industrie!O18</f>
        <v>0</v>
      </c>
      <c r="P8" s="461">
        <f>industrie!P18</f>
        <v>0</v>
      </c>
      <c r="Q8" s="459">
        <f t="shared" si="0"/>
        <v>27214.792967951824</v>
      </c>
    </row>
    <row r="9" spans="1:17" s="465" customFormat="1">
      <c r="A9" s="463" t="s">
        <v>573</v>
      </c>
      <c r="B9" s="464">
        <f>transport!B14</f>
        <v>1.1292964621405066</v>
      </c>
      <c r="C9" s="464">
        <f>transport!C14</f>
        <v>0</v>
      </c>
      <c r="D9" s="464">
        <f>transport!D14</f>
        <v>5.8440880161096924</v>
      </c>
      <c r="E9" s="464">
        <f>transport!E14</f>
        <v>659.90903968050304</v>
      </c>
      <c r="F9" s="464">
        <f>transport!F14</f>
        <v>0</v>
      </c>
      <c r="G9" s="464">
        <f>transport!G14</f>
        <v>141938.70251217898</v>
      </c>
      <c r="H9" s="464">
        <f>transport!H14</f>
        <v>19904.377225492197</v>
      </c>
      <c r="I9" s="464">
        <f>transport!I14</f>
        <v>0</v>
      </c>
      <c r="J9" s="464">
        <f>transport!J14</f>
        <v>0</v>
      </c>
      <c r="K9" s="464">
        <f>transport!K14</f>
        <v>0</v>
      </c>
      <c r="L9" s="464">
        <f>transport!L14</f>
        <v>0</v>
      </c>
      <c r="M9" s="464">
        <f>transport!M14</f>
        <v>7050.1160799944801</v>
      </c>
      <c r="N9" s="464">
        <f>transport!N14</f>
        <v>0</v>
      </c>
      <c r="O9" s="464">
        <f>transport!O14</f>
        <v>0</v>
      </c>
      <c r="P9" s="464">
        <f>transport!P14</f>
        <v>0</v>
      </c>
      <c r="Q9" s="463">
        <f>SUM(B9:P9)</f>
        <v>169560.07824182441</v>
      </c>
    </row>
    <row r="10" spans="1:17">
      <c r="A10" s="459" t="s">
        <v>563</v>
      </c>
      <c r="B10" s="460">
        <f>transport!B54</f>
        <v>0</v>
      </c>
      <c r="C10" s="460">
        <f>transport!C54</f>
        <v>0</v>
      </c>
      <c r="D10" s="460">
        <f>transport!D54</f>
        <v>0</v>
      </c>
      <c r="E10" s="460">
        <f>transport!E54</f>
        <v>0</v>
      </c>
      <c r="F10" s="460">
        <f>transport!F54</f>
        <v>0</v>
      </c>
      <c r="G10" s="460">
        <f>transport!G54</f>
        <v>685.2037582776685</v>
      </c>
      <c r="H10" s="460">
        <f>transport!H54</f>
        <v>0</v>
      </c>
      <c r="I10" s="460">
        <f>transport!I54</f>
        <v>0</v>
      </c>
      <c r="J10" s="460">
        <f>transport!J54</f>
        <v>0</v>
      </c>
      <c r="K10" s="460">
        <f>transport!K54</f>
        <v>0</v>
      </c>
      <c r="L10" s="460">
        <f>transport!L54</f>
        <v>0</v>
      </c>
      <c r="M10" s="460">
        <f>transport!M54</f>
        <v>29.207259363705692</v>
      </c>
      <c r="N10" s="460">
        <f>transport!N54</f>
        <v>0</v>
      </c>
      <c r="O10" s="460">
        <f>transport!O54</f>
        <v>0</v>
      </c>
      <c r="P10" s="461">
        <f>transport!P54</f>
        <v>0</v>
      </c>
      <c r="Q10" s="459">
        <f t="shared" si="0"/>
        <v>714.4110176413742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1319.5157223573899</v>
      </c>
      <c r="C14" s="467"/>
      <c r="D14" s="467">
        <f>'SEAP template'!E25</f>
        <v>1531.92590338643</v>
      </c>
      <c r="E14" s="467"/>
      <c r="F14" s="467"/>
      <c r="G14" s="467"/>
      <c r="H14" s="467"/>
      <c r="I14" s="467"/>
      <c r="J14" s="467"/>
      <c r="K14" s="467"/>
      <c r="L14" s="467"/>
      <c r="M14" s="467"/>
      <c r="N14" s="467"/>
      <c r="O14" s="467"/>
      <c r="P14" s="468"/>
      <c r="Q14" s="459">
        <f t="shared" si="0"/>
        <v>2851.4416257438197</v>
      </c>
    </row>
    <row r="15" spans="1:17" s="472" customFormat="1">
      <c r="A15" s="469" t="s">
        <v>567</v>
      </c>
      <c r="B15" s="470">
        <f ca="1">SUM(B4:B14)</f>
        <v>46873.009448220786</v>
      </c>
      <c r="C15" s="470">
        <f t="shared" ref="C15:Q15" ca="1" si="1">SUM(C4:C14)</f>
        <v>5637.8571428571431</v>
      </c>
      <c r="D15" s="470">
        <f t="shared" ca="1" si="1"/>
        <v>67132.351995989477</v>
      </c>
      <c r="E15" s="470">
        <f t="shared" si="1"/>
        <v>3408.2479022889893</v>
      </c>
      <c r="F15" s="470">
        <f t="shared" ca="1" si="1"/>
        <v>35268.302274184127</v>
      </c>
      <c r="G15" s="470">
        <f t="shared" si="1"/>
        <v>142623.90627045665</v>
      </c>
      <c r="H15" s="470">
        <f t="shared" si="1"/>
        <v>19904.377225492197</v>
      </c>
      <c r="I15" s="470">
        <f t="shared" si="1"/>
        <v>0</v>
      </c>
      <c r="J15" s="470">
        <f t="shared" si="1"/>
        <v>6806.6919081836249</v>
      </c>
      <c r="K15" s="470">
        <f t="shared" si="1"/>
        <v>0</v>
      </c>
      <c r="L15" s="470">
        <f t="shared" ca="1" si="1"/>
        <v>0</v>
      </c>
      <c r="M15" s="470">
        <f t="shared" si="1"/>
        <v>7079.3233393581859</v>
      </c>
      <c r="N15" s="470">
        <f t="shared" ca="1" si="1"/>
        <v>8426.5429331232135</v>
      </c>
      <c r="O15" s="470">
        <f t="shared" si="1"/>
        <v>114.12333333333335</v>
      </c>
      <c r="P15" s="470">
        <f t="shared" si="1"/>
        <v>324.13333333333333</v>
      </c>
      <c r="Q15" s="470">
        <f t="shared" ca="1" si="1"/>
        <v>343598.86710682104</v>
      </c>
    </row>
    <row r="17" spans="1:17">
      <c r="A17" s="473" t="s">
        <v>568</v>
      </c>
      <c r="B17" s="777">
        <f ca="1">huishoudens!B10</f>
        <v>0.21668392742466114</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5966.6760428849457</v>
      </c>
      <c r="C22" s="460">
        <f t="shared" ref="C22:C32" ca="1" si="3">C4*$C$17</f>
        <v>0</v>
      </c>
      <c r="D22" s="460">
        <f t="shared" ref="D22:D32" si="4">D4*$D$17</f>
        <v>7097.1500397857344</v>
      </c>
      <c r="E22" s="460">
        <f t="shared" ref="E22:E32" si="5">E4*$E$17</f>
        <v>559.9277126258113</v>
      </c>
      <c r="F22" s="460">
        <f t="shared" ref="F22:F32" si="6">F4*$F$17</f>
        <v>5676.6024956899837</v>
      </c>
      <c r="G22" s="460">
        <f t="shared" ref="G22:G32" si="7">G4*$G$17</f>
        <v>0</v>
      </c>
      <c r="H22" s="460">
        <f t="shared" ref="H22:H32" si="8">H4*$H$17</f>
        <v>0</v>
      </c>
      <c r="I22" s="460">
        <f t="shared" ref="I22:I32" si="9">I4*$I$17</f>
        <v>0</v>
      </c>
      <c r="J22" s="460">
        <f t="shared" ref="J22:J32" si="10">J4*$J$17</f>
        <v>2321.4012517047313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21621.757542691204</v>
      </c>
    </row>
    <row r="23" spans="1:17">
      <c r="A23" s="459" t="s">
        <v>156</v>
      </c>
      <c r="B23" s="460">
        <f t="shared" ca="1" si="2"/>
        <v>2205.5202082291657</v>
      </c>
      <c r="C23" s="460">
        <f t="shared" ca="1" si="3"/>
        <v>0</v>
      </c>
      <c r="D23" s="460">
        <f t="shared" ca="1" si="4"/>
        <v>1736.6358477112692</v>
      </c>
      <c r="E23" s="460">
        <f t="shared" si="5"/>
        <v>47.217976033225838</v>
      </c>
      <c r="F23" s="460">
        <f t="shared" ca="1" si="6"/>
        <v>483.11467762644423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4472.4887096001057</v>
      </c>
    </row>
    <row r="24" spans="1:17">
      <c r="A24" s="459" t="s">
        <v>194</v>
      </c>
      <c r="B24" s="460">
        <f t="shared" ca="1" si="2"/>
        <v>210.12382152187953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210.12382152187953</v>
      </c>
    </row>
    <row r="25" spans="1:17">
      <c r="A25" s="459" t="s">
        <v>112</v>
      </c>
      <c r="B25" s="460">
        <f t="shared" ca="1" si="2"/>
        <v>550.81308369783346</v>
      </c>
      <c r="C25" s="460">
        <f t="shared" ca="1" si="3"/>
        <v>1339.8201680672271</v>
      </c>
      <c r="D25" s="460">
        <f t="shared" si="4"/>
        <v>96.77141861818474</v>
      </c>
      <c r="E25" s="460">
        <f t="shared" si="5"/>
        <v>6.0428528385872404</v>
      </c>
      <c r="F25" s="460">
        <f t="shared" si="6"/>
        <v>2905.4250320599649</v>
      </c>
      <c r="G25" s="460">
        <f t="shared" si="7"/>
        <v>0</v>
      </c>
      <c r="H25" s="460">
        <f t="shared" si="8"/>
        <v>0</v>
      </c>
      <c r="I25" s="460">
        <f t="shared" si="9"/>
        <v>0</v>
      </c>
      <c r="J25" s="460">
        <f t="shared" si="10"/>
        <v>80.366648681303502</v>
      </c>
      <c r="K25" s="460">
        <f t="shared" si="11"/>
        <v>0</v>
      </c>
      <c r="L25" s="460">
        <f t="shared" si="12"/>
        <v>0</v>
      </c>
      <c r="M25" s="460">
        <f t="shared" si="13"/>
        <v>0</v>
      </c>
      <c r="N25" s="460">
        <f t="shared" si="14"/>
        <v>0</v>
      </c>
      <c r="O25" s="460">
        <f t="shared" si="15"/>
        <v>0</v>
      </c>
      <c r="P25" s="461">
        <f t="shared" si="16"/>
        <v>0</v>
      </c>
      <c r="Q25" s="459">
        <f t="shared" ca="1" si="17"/>
        <v>4979.2392039631013</v>
      </c>
    </row>
    <row r="26" spans="1:17">
      <c r="A26" s="459" t="s">
        <v>655</v>
      </c>
      <c r="B26" s="460">
        <f t="shared" ca="1" si="2"/>
        <v>937.33207170827245</v>
      </c>
      <c r="C26" s="460">
        <f t="shared" ca="1" si="3"/>
        <v>0</v>
      </c>
      <c r="D26" s="460">
        <f t="shared" si="4"/>
        <v>4319.5482588113746</v>
      </c>
      <c r="E26" s="460">
        <f t="shared" si="5"/>
        <v>10.684380314502048</v>
      </c>
      <c r="F26" s="460">
        <f t="shared" si="6"/>
        <v>351.49450183076971</v>
      </c>
      <c r="G26" s="460">
        <f t="shared" si="7"/>
        <v>0</v>
      </c>
      <c r="H26" s="460">
        <f t="shared" si="8"/>
        <v>0</v>
      </c>
      <c r="I26" s="460">
        <f t="shared" si="9"/>
        <v>0</v>
      </c>
      <c r="J26" s="460">
        <f t="shared" si="10"/>
        <v>7.8010351109681944</v>
      </c>
      <c r="K26" s="460">
        <f t="shared" si="11"/>
        <v>0</v>
      </c>
      <c r="L26" s="460">
        <f t="shared" si="12"/>
        <v>0</v>
      </c>
      <c r="M26" s="460">
        <f t="shared" si="13"/>
        <v>0</v>
      </c>
      <c r="N26" s="460">
        <f t="shared" si="14"/>
        <v>0</v>
      </c>
      <c r="O26" s="460">
        <f t="shared" si="15"/>
        <v>0</v>
      </c>
      <c r="P26" s="461">
        <f t="shared" si="16"/>
        <v>0</v>
      </c>
      <c r="Q26" s="459">
        <f t="shared" ca="1" si="17"/>
        <v>5626.8602477758868</v>
      </c>
    </row>
    <row r="27" spans="1:17" s="465" customFormat="1">
      <c r="A27" s="463" t="s">
        <v>573</v>
      </c>
      <c r="B27" s="771">
        <f t="shared" ca="1" si="2"/>
        <v>0.24470039264338012</v>
      </c>
      <c r="C27" s="464">
        <f t="shared" ca="1" si="3"/>
        <v>0</v>
      </c>
      <c r="D27" s="464">
        <f t="shared" si="4"/>
        <v>1.180505779254158</v>
      </c>
      <c r="E27" s="464">
        <f t="shared" si="5"/>
        <v>149.7993520074742</v>
      </c>
      <c r="F27" s="464">
        <f t="shared" si="6"/>
        <v>0</v>
      </c>
      <c r="G27" s="464">
        <f t="shared" si="7"/>
        <v>37897.633570751786</v>
      </c>
      <c r="H27" s="464">
        <f t="shared" si="8"/>
        <v>4956.1899291475575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43005.048058078712</v>
      </c>
    </row>
    <row r="28" spans="1:17">
      <c r="A28" s="459" t="s">
        <v>563</v>
      </c>
      <c r="B28" s="460">
        <f t="shared" ca="1" si="2"/>
        <v>0</v>
      </c>
      <c r="C28" s="460">
        <f t="shared" ca="1" si="3"/>
        <v>0</v>
      </c>
      <c r="D28" s="460">
        <f t="shared" si="4"/>
        <v>0</v>
      </c>
      <c r="E28" s="460">
        <f t="shared" si="5"/>
        <v>0</v>
      </c>
      <c r="F28" s="460">
        <f t="shared" si="6"/>
        <v>0</v>
      </c>
      <c r="G28" s="460">
        <f t="shared" si="7"/>
        <v>182.94940346013749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182.94940346013749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285.91784901898797</v>
      </c>
      <c r="C32" s="460">
        <f t="shared" ca="1" si="3"/>
        <v>0</v>
      </c>
      <c r="D32" s="460">
        <f t="shared" si="4"/>
        <v>309.44903248405888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595.3668815030469</v>
      </c>
    </row>
    <row r="33" spans="1:17" s="472" customFormat="1">
      <c r="A33" s="469" t="s">
        <v>567</v>
      </c>
      <c r="B33" s="470">
        <f ca="1">SUM(B22:B32)</f>
        <v>10156.627777453727</v>
      </c>
      <c r="C33" s="470">
        <f t="shared" ref="C33:Q33" ca="1" si="19">SUM(C22:C32)</f>
        <v>1339.8201680672271</v>
      </c>
      <c r="D33" s="470">
        <f t="shared" ca="1" si="19"/>
        <v>13560.735103189878</v>
      </c>
      <c r="E33" s="470">
        <f t="shared" si="19"/>
        <v>773.6722738196006</v>
      </c>
      <c r="F33" s="470">
        <f t="shared" ca="1" si="19"/>
        <v>9416.6367072071625</v>
      </c>
      <c r="G33" s="470">
        <f t="shared" si="19"/>
        <v>38080.582974211924</v>
      </c>
      <c r="H33" s="470">
        <f t="shared" si="19"/>
        <v>4956.1899291475575</v>
      </c>
      <c r="I33" s="470">
        <f t="shared" si="19"/>
        <v>0</v>
      </c>
      <c r="J33" s="470">
        <f t="shared" si="19"/>
        <v>2409.5689354970032</v>
      </c>
      <c r="K33" s="470">
        <f t="shared" si="19"/>
        <v>0</v>
      </c>
      <c r="L33" s="470">
        <f t="shared" ca="1" si="19"/>
        <v>0</v>
      </c>
      <c r="M33" s="470">
        <f t="shared" si="19"/>
        <v>0</v>
      </c>
      <c r="N33" s="470">
        <f t="shared" ca="1" si="19"/>
        <v>0</v>
      </c>
      <c r="O33" s="470">
        <f t="shared" si="19"/>
        <v>0</v>
      </c>
      <c r="P33" s="470">
        <f t="shared" si="19"/>
        <v>0</v>
      </c>
      <c r="Q33" s="470">
        <f t="shared" ca="1" si="19"/>
        <v>80693.833868594083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1212.6919830322331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3946.5</v>
      </c>
      <c r="D8" s="1028">
        <f>'SEAP template'!D76</f>
        <v>4642.9411764705883</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937.87411764705894</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1212.6919830322331</v>
      </c>
      <c r="C10" s="1032">
        <f>SUM(C4:C9)</f>
        <v>3946.5</v>
      </c>
      <c r="D10" s="1032">
        <f t="shared" ref="D10:H10" si="0">SUM(D8:D9)</f>
        <v>4642.9411764705883</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937.87411764705894</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0.21668392742466114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5637.8571428571431</v>
      </c>
      <c r="D17" s="1029">
        <f>'SEAP template'!D87</f>
        <v>6632.7731092436979</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1339.8201680672271</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5637.8571428571431</v>
      </c>
      <c r="D20" s="1032">
        <f t="shared" ref="D20:H20" si="2">SUM(D17:D19)</f>
        <v>6632.7731092436979</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1339.8201680672271</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0.21668392742466114</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2019-08-12T09:21:50Z</dcterms:modified>
</cp:coreProperties>
</file>