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K18"/>
  <c r="J18"/>
  <c r="I18"/>
  <c r="H18"/>
  <c r="G18"/>
  <c r="G20" s="1"/>
  <c r="F18"/>
  <c r="F20" s="1"/>
  <c r="E18"/>
  <c r="D18"/>
  <c r="C18"/>
  <c r="B18"/>
  <c r="L9"/>
  <c r="K9"/>
  <c r="I9"/>
  <c r="G9"/>
  <c r="F9"/>
  <c r="F10" s="1"/>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S89"/>
  <c r="E9" s="1"/>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D20"/>
  <c r="K20"/>
  <c r="G12"/>
  <c r="F12"/>
  <c r="E12"/>
  <c r="D12"/>
  <c r="C12"/>
  <c r="L10"/>
  <c r="K10"/>
  <c r="G10"/>
  <c r="B6"/>
  <c r="B5"/>
  <c r="B4"/>
  <c r="O9" l="1"/>
  <c r="C98"/>
  <c r="B101" s="1"/>
  <c r="C8" s="1"/>
  <c r="D76" i="14" s="1"/>
  <c r="O18" i="18"/>
  <c r="B8"/>
  <c r="B10" s="1"/>
  <c r="L20"/>
  <c r="B17"/>
  <c r="B20" s="1"/>
  <c r="O19"/>
  <c r="I101"/>
  <c r="H8" s="1"/>
  <c r="H10" s="1"/>
  <c r="I102"/>
  <c r="H17" s="1"/>
  <c r="H20" s="1"/>
  <c r="E102"/>
  <c r="E17" s="1"/>
  <c r="E20" s="1"/>
  <c r="H102"/>
  <c r="D102"/>
  <c r="G102"/>
  <c r="C102"/>
  <c r="F102"/>
  <c r="B102"/>
  <c r="C17" s="1"/>
  <c r="O32" i="48"/>
  <c r="P7"/>
  <c r="O7"/>
  <c r="O25" s="1"/>
  <c r="M7"/>
  <c r="K7"/>
  <c r="I7"/>
  <c r="H7"/>
  <c r="G7"/>
  <c r="P10"/>
  <c r="O10"/>
  <c r="O28" s="1"/>
  <c r="N10"/>
  <c r="L10"/>
  <c r="K10"/>
  <c r="J10"/>
  <c r="I10"/>
  <c r="H10"/>
  <c r="F10"/>
  <c r="E10"/>
  <c r="D10"/>
  <c r="C10"/>
  <c r="P9"/>
  <c r="O9"/>
  <c r="N9"/>
  <c r="L9"/>
  <c r="K9"/>
  <c r="J9"/>
  <c r="I9"/>
  <c r="F9"/>
  <c r="C9"/>
  <c r="P13"/>
  <c r="O13"/>
  <c r="N13"/>
  <c r="L13"/>
  <c r="K13"/>
  <c r="J13"/>
  <c r="I13"/>
  <c r="F13"/>
  <c r="E13"/>
  <c r="D13"/>
  <c r="C13"/>
  <c r="B13"/>
  <c r="M8"/>
  <c r="K8"/>
  <c r="I8"/>
  <c r="H8"/>
  <c r="G8"/>
  <c r="B12"/>
  <c r="P17"/>
  <c r="P30" s="1"/>
  <c r="O17"/>
  <c r="O24" s="1"/>
  <c r="M4"/>
  <c r="L4"/>
  <c r="K4"/>
  <c r="I4"/>
  <c r="H4"/>
  <c r="G4"/>
  <c r="P11"/>
  <c r="O11"/>
  <c r="N11"/>
  <c r="M11"/>
  <c r="L11"/>
  <c r="K11"/>
  <c r="J11"/>
  <c r="I11"/>
  <c r="H11"/>
  <c r="G11"/>
  <c r="F11"/>
  <c r="E11"/>
  <c r="D11"/>
  <c r="C11"/>
  <c r="B11"/>
  <c r="P25"/>
  <c r="O29"/>
  <c r="B19" i="6"/>
  <c r="B18"/>
  <c r="B5"/>
  <c r="C29" i="14" s="1"/>
  <c r="B6" i="6"/>
  <c r="C64" i="14" s="1"/>
  <c r="O89"/>
  <c r="O19" i="55" s="1"/>
  <c r="N89" i="14"/>
  <c r="N19" i="55" s="1"/>
  <c r="M89" i="14"/>
  <c r="M19" i="55" s="1"/>
  <c r="L89" i="14"/>
  <c r="L19" i="55" s="1"/>
  <c r="K89" i="14"/>
  <c r="K19" i="55" s="1"/>
  <c r="J89" i="14"/>
  <c r="J19" i="55" s="1"/>
  <c r="I89" i="14"/>
  <c r="I19" i="55" s="1"/>
  <c r="H89" i="14"/>
  <c r="H19" i="55" s="1"/>
  <c r="G89" i="14"/>
  <c r="G19" i="55"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L87" i="14"/>
  <c r="L17" i="55" s="1"/>
  <c r="K87" i="14"/>
  <c r="K17" i="55" s="1"/>
  <c r="H87" i="14"/>
  <c r="H17" i="55" s="1"/>
  <c r="G87" i="14"/>
  <c r="G17" i="55" s="1"/>
  <c r="F87" i="14"/>
  <c r="F17" i="55" s="1"/>
  <c r="E87" i="14"/>
  <c r="E17" i="55" s="1"/>
  <c r="O77" i="14"/>
  <c r="N77"/>
  <c r="M77"/>
  <c r="M9" i="55" s="1"/>
  <c r="L77" i="14"/>
  <c r="L9" i="55" s="1"/>
  <c r="K77" i="14"/>
  <c r="K9" i="55" s="1"/>
  <c r="J77" i="14"/>
  <c r="J9" i="55" s="1"/>
  <c r="I77" i="14"/>
  <c r="I9" i="55" s="1"/>
  <c r="H77" i="14"/>
  <c r="H9" i="55" s="1"/>
  <c r="H10" s="1"/>
  <c r="G77" i="14"/>
  <c r="F77"/>
  <c r="E77"/>
  <c r="E9" i="55" s="1"/>
  <c r="D77" i="14"/>
  <c r="D9" i="55" s="1"/>
  <c r="O76" i="14"/>
  <c r="O8" i="55" s="1"/>
  <c r="N76" i="14"/>
  <c r="N8" i="55" s="1"/>
  <c r="L76" i="14"/>
  <c r="K76"/>
  <c r="K8" i="55" s="1"/>
  <c r="K10" s="1"/>
  <c r="H76" i="14"/>
  <c r="H8" i="55" s="1"/>
  <c r="G76" i="14"/>
  <c r="G8" i="55" s="1"/>
  <c r="E76" i="14"/>
  <c r="E8" i="55" s="1"/>
  <c r="E10" s="1"/>
  <c r="B75" i="14"/>
  <c r="B7" i="55" s="1"/>
  <c r="B74" i="14"/>
  <c r="B6" i="55" s="1"/>
  <c r="B73" i="14"/>
  <c r="B5" i="55" s="1"/>
  <c r="B72" i="14"/>
  <c r="B4" i="55" s="1"/>
  <c r="Q54" i="14"/>
  <c r="P54"/>
  <c r="L54"/>
  <c r="L56" s="1"/>
  <c r="J54"/>
  <c r="J56" s="1"/>
  <c r="I54"/>
  <c r="H54"/>
  <c r="H56" s="1"/>
  <c r="Q24"/>
  <c r="P24"/>
  <c r="N24"/>
  <c r="L24"/>
  <c r="L26" s="1"/>
  <c r="J24"/>
  <c r="J26" s="1"/>
  <c r="I24"/>
  <c r="H24"/>
  <c r="Q50"/>
  <c r="P50"/>
  <c r="O50"/>
  <c r="M50"/>
  <c r="L50"/>
  <c r="K50"/>
  <c r="J50"/>
  <c r="G50"/>
  <c r="D50"/>
  <c r="Q49"/>
  <c r="Q52" s="1"/>
  <c r="P49"/>
  <c r="Q20"/>
  <c r="P20"/>
  <c r="O20"/>
  <c r="M20"/>
  <c r="L20"/>
  <c r="K20"/>
  <c r="J20"/>
  <c r="G20"/>
  <c r="D20"/>
  <c r="Q19"/>
  <c r="P19"/>
  <c r="O19"/>
  <c r="O22" s="1"/>
  <c r="M19"/>
  <c r="L19"/>
  <c r="K19"/>
  <c r="J19"/>
  <c r="I19"/>
  <c r="G19"/>
  <c r="G22" s="1"/>
  <c r="F19"/>
  <c r="E19"/>
  <c r="D19"/>
  <c r="Q48"/>
  <c r="P48"/>
  <c r="O48"/>
  <c r="M48"/>
  <c r="L48"/>
  <c r="K48"/>
  <c r="J48"/>
  <c r="G48"/>
  <c r="D48"/>
  <c r="Q18"/>
  <c r="P18"/>
  <c r="O18"/>
  <c r="M18"/>
  <c r="M22" s="1"/>
  <c r="L18"/>
  <c r="K18"/>
  <c r="J18"/>
  <c r="G18"/>
  <c r="F18"/>
  <c r="E18"/>
  <c r="D18"/>
  <c r="C18"/>
  <c r="L43"/>
  <c r="J43"/>
  <c r="I43"/>
  <c r="H43"/>
  <c r="N13"/>
  <c r="L13"/>
  <c r="J13"/>
  <c r="I13"/>
  <c r="H13"/>
  <c r="C12"/>
  <c r="R12" s="1"/>
  <c r="L41"/>
  <c r="J41"/>
  <c r="I41"/>
  <c r="H41"/>
  <c r="N11"/>
  <c r="M11"/>
  <c r="L11"/>
  <c r="J11"/>
  <c r="I11"/>
  <c r="H11"/>
  <c r="P39"/>
  <c r="I39"/>
  <c r="H39"/>
  <c r="Q9"/>
  <c r="P9"/>
  <c r="O9"/>
  <c r="N9"/>
  <c r="M9"/>
  <c r="L9"/>
  <c r="K9"/>
  <c r="J9"/>
  <c r="I9"/>
  <c r="H9"/>
  <c r="G9"/>
  <c r="F9"/>
  <c r="E9"/>
  <c r="D9"/>
  <c r="C9"/>
  <c r="C25"/>
  <c r="B14" i="48" s="1"/>
  <c r="Q14" s="1"/>
  <c r="R90" i="14"/>
  <c r="R78"/>
  <c r="E55"/>
  <c r="Q56"/>
  <c r="P56"/>
  <c r="I56"/>
  <c r="P52"/>
  <c r="R44"/>
  <c r="P26"/>
  <c r="H26"/>
  <c r="E25"/>
  <c r="D14" i="48" s="1"/>
  <c r="Q26" i="14"/>
  <c r="N26"/>
  <c r="I26"/>
  <c r="J22"/>
  <c r="D5" i="17"/>
  <c r="D8" i="55" l="1"/>
  <c r="G78" i="14"/>
  <c r="G9" i="55"/>
  <c r="G10" s="1"/>
  <c r="C77" i="14"/>
  <c r="C9" i="55" s="1"/>
  <c r="F9"/>
  <c r="N78" i="14"/>
  <c r="N9" i="55"/>
  <c r="N10" s="1"/>
  <c r="R25" i="14"/>
  <c r="G20" i="55"/>
  <c r="H101" i="18"/>
  <c r="J8" s="1"/>
  <c r="M87" i="14"/>
  <c r="P32" i="48"/>
  <c r="G101" i="18"/>
  <c r="K22" i="14"/>
  <c r="D22"/>
  <c r="L22"/>
  <c r="L20" i="55"/>
  <c r="P31" i="48"/>
  <c r="C101" i="18"/>
  <c r="E90" i="14"/>
  <c r="E18" i="55"/>
  <c r="E20" s="1"/>
  <c r="L78" i="14"/>
  <c r="L8" i="55"/>
  <c r="L10" s="1"/>
  <c r="O78" i="14"/>
  <c r="O9" i="55"/>
  <c r="P22" i="14"/>
  <c r="M76"/>
  <c r="M8" i="55" s="1"/>
  <c r="M10" s="1"/>
  <c r="H90" i="14"/>
  <c r="D101" i="18"/>
  <c r="Q22" i="14"/>
  <c r="D10" i="55"/>
  <c r="K20"/>
  <c r="F101" i="18"/>
  <c r="F90" i="14"/>
  <c r="F18" i="55"/>
  <c r="F20" s="1"/>
  <c r="N90" i="14"/>
  <c r="N18" i="55"/>
  <c r="N20" s="1"/>
  <c r="E101" i="18"/>
  <c r="E8" s="1"/>
  <c r="L90" i="14"/>
  <c r="O20" i="55"/>
  <c r="R9" i="14"/>
  <c r="O10" i="55"/>
  <c r="H20"/>
  <c r="P24" i="48"/>
  <c r="B77" i="14"/>
  <c r="B9" i="55" s="1"/>
  <c r="H78" i="14"/>
  <c r="C88"/>
  <c r="C18" i="55" s="1"/>
  <c r="C20" i="18"/>
  <c r="E78" i="14"/>
  <c r="D87"/>
  <c r="D17" i="55" s="1"/>
  <c r="D20" s="1"/>
  <c r="G90" i="14"/>
  <c r="O90"/>
  <c r="J17" i="18"/>
  <c r="Q88" i="14"/>
  <c r="P18" i="55" s="1"/>
  <c r="Q89" i="14"/>
  <c r="P19" i="55" s="1"/>
  <c r="C10" i="18"/>
  <c r="K78" i="14"/>
  <c r="B88"/>
  <c r="B18" i="55" s="1"/>
  <c r="C89" i="14"/>
  <c r="C19" i="55" s="1"/>
  <c r="B89" i="14"/>
  <c r="B19" i="55" s="1"/>
  <c r="I17" i="18"/>
  <c r="I8"/>
  <c r="O27" i="48"/>
  <c r="O31"/>
  <c r="P27"/>
  <c r="P28"/>
  <c r="P29"/>
  <c r="Q11"/>
  <c r="Q12"/>
  <c r="O30"/>
  <c r="Q77" i="14"/>
  <c r="D78"/>
  <c r="K90"/>
  <c r="E10" i="18" l="1"/>
  <c r="F76" i="14"/>
  <c r="P9" i="55"/>
  <c r="O17" i="18"/>
  <c r="O20" s="1"/>
  <c r="M90" i="14"/>
  <c r="M17" i="55"/>
  <c r="M20" s="1"/>
  <c r="M78" i="14"/>
  <c r="I10" i="18"/>
  <c r="I76" i="14"/>
  <c r="I8" i="55" s="1"/>
  <c r="I10" s="1"/>
  <c r="J20" i="18"/>
  <c r="J87" i="14"/>
  <c r="I20" i="18"/>
  <c r="I87" i="14"/>
  <c r="I17" i="55" s="1"/>
  <c r="I20" s="1"/>
  <c r="O8" i="18"/>
  <c r="O10" s="1"/>
  <c r="J10"/>
  <c r="J76" i="14"/>
  <c r="Q87"/>
  <c r="D90"/>
  <c r="J90" l="1"/>
  <c r="J17" i="55"/>
  <c r="J20" s="1"/>
  <c r="J78" i="14"/>
  <c r="J8" i="55"/>
  <c r="J10" s="1"/>
  <c r="F8"/>
  <c r="F10" s="1"/>
  <c r="F78" i="14"/>
  <c r="Q76"/>
  <c r="Q90"/>
  <c r="B17" i="6" s="1"/>
  <c r="P17" i="55"/>
  <c r="P20" s="1"/>
  <c r="I78" i="14"/>
  <c r="C76"/>
  <c r="B76"/>
  <c r="I90"/>
  <c r="B87"/>
  <c r="C87"/>
  <c r="H14" i="15"/>
  <c r="H16" s="1"/>
  <c r="G14"/>
  <c r="G16" s="1"/>
  <c r="G5" i="48" l="1"/>
  <c r="H10" i="14"/>
  <c r="H16" s="1"/>
  <c r="B78"/>
  <c r="B4" i="6" s="1"/>
  <c r="B8" i="55"/>
  <c r="B10" s="1"/>
  <c r="H5" i="48"/>
  <c r="I10" i="14"/>
  <c r="I16" s="1"/>
  <c r="C78"/>
  <c r="C8" i="55"/>
  <c r="C10" s="1"/>
  <c r="B90" i="14"/>
  <c r="B17" i="55"/>
  <c r="B20" s="1"/>
  <c r="P8"/>
  <c r="P10" s="1"/>
  <c r="Q78" i="14"/>
  <c r="B9" i="6" s="1"/>
  <c r="C90" i="14"/>
  <c r="C17" i="55"/>
  <c r="C20" s="1"/>
  <c r="N25" i="22"/>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B4" i="48" l="1"/>
  <c r="C11" i="14"/>
  <c r="E32" i="48"/>
  <c r="E30"/>
  <c r="E24"/>
  <c r="E28"/>
  <c r="E29"/>
  <c r="E31"/>
  <c r="M32"/>
  <c r="M26"/>
  <c r="M30"/>
  <c r="M24"/>
  <c r="M25"/>
  <c r="M22"/>
  <c r="M29"/>
  <c r="L30"/>
  <c r="L32"/>
  <c r="L28"/>
  <c r="L22"/>
  <c r="L24"/>
  <c r="L31"/>
  <c r="L29"/>
  <c r="L27"/>
  <c r="J10" i="14"/>
  <c r="J16" s="1"/>
  <c r="J27" s="1"/>
  <c r="I5" i="48"/>
  <c r="J32"/>
  <c r="J24"/>
  <c r="J30"/>
  <c r="J28"/>
  <c r="J29"/>
  <c r="J31"/>
  <c r="J27"/>
  <c r="Q11" i="14"/>
  <c r="P4" i="48"/>
  <c r="B8" i="9"/>
  <c r="B6" i="48" s="1"/>
  <c r="Q6" s="1"/>
  <c r="N10" i="14"/>
  <c r="N16" s="1"/>
  <c r="M5" i="48"/>
  <c r="N32"/>
  <c r="N28"/>
  <c r="N27"/>
  <c r="N29"/>
  <c r="N24"/>
  <c r="N31"/>
  <c r="N30"/>
  <c r="B7"/>
  <c r="C24" i="14"/>
  <c r="C26" s="1"/>
  <c r="D22" i="48"/>
  <c r="D30"/>
  <c r="D24"/>
  <c r="D32"/>
  <c r="D28"/>
  <c r="D29"/>
  <c r="D31"/>
  <c r="K30"/>
  <c r="K32"/>
  <c r="K29"/>
  <c r="K26"/>
  <c r="K24"/>
  <c r="K31"/>
  <c r="K22"/>
  <c r="K27"/>
  <c r="K25"/>
  <c r="K28"/>
  <c r="B10"/>
  <c r="C19" i="14"/>
  <c r="O4" i="48"/>
  <c r="P11" i="14"/>
  <c r="D4" i="48"/>
  <c r="E11" i="14"/>
  <c r="H30" i="48"/>
  <c r="H32"/>
  <c r="H25"/>
  <c r="H28"/>
  <c r="H22"/>
  <c r="H26"/>
  <c r="H24"/>
  <c r="H29"/>
  <c r="H23"/>
  <c r="C18" i="16"/>
  <c r="D13" i="14" s="1"/>
  <c r="F32" i="48"/>
  <c r="F31"/>
  <c r="F30"/>
  <c r="F28"/>
  <c r="F27"/>
  <c r="F29"/>
  <c r="F24"/>
  <c r="K5"/>
  <c r="L10" i="14"/>
  <c r="L16" s="1"/>
  <c r="L27" s="1"/>
  <c r="Q10"/>
  <c r="P5" i="48"/>
  <c r="P23" s="1"/>
  <c r="I30"/>
  <c r="I24"/>
  <c r="I27"/>
  <c r="I28"/>
  <c r="I32"/>
  <c r="I25"/>
  <c r="I29"/>
  <c r="I22"/>
  <c r="I31"/>
  <c r="I26"/>
  <c r="H12" i="22"/>
  <c r="H13" i="48"/>
  <c r="H31" s="1"/>
  <c r="I18" i="14"/>
  <c r="C4" i="48"/>
  <c r="D11" i="14"/>
  <c r="G30" i="48"/>
  <c r="G32"/>
  <c r="G26"/>
  <c r="G22"/>
  <c r="G24"/>
  <c r="G29"/>
  <c r="G25"/>
  <c r="G23"/>
  <c r="B11" i="16"/>
  <c r="B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H14" i="22"/>
  <c r="F8" i="17"/>
  <c r="M19" i="19"/>
  <c r="N39" i="14" s="1"/>
  <c r="J7" i="15"/>
  <c r="O5" i="16"/>
  <c r="C16" i="15"/>
  <c r="L6" i="17"/>
  <c r="N13" i="15"/>
  <c r="L13"/>
  <c r="L16" s="1"/>
  <c r="K20"/>
  <c r="L40" i="14" s="1"/>
  <c r="G27" i="20"/>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C78" i="22"/>
  <c r="E7" i="15"/>
  <c r="E12"/>
  <c r="O5"/>
  <c r="O16" s="1"/>
  <c r="M20"/>
  <c r="N40" i="14"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G12" i="22" l="1"/>
  <c r="G13" i="48"/>
  <c r="H18" i="14"/>
  <c r="I23" i="48"/>
  <c r="I15"/>
  <c r="O22"/>
  <c r="P22"/>
  <c r="P10" i="14"/>
  <c r="O5" i="48"/>
  <c r="O23" s="1"/>
  <c r="N18" i="14"/>
  <c r="M13" i="48"/>
  <c r="M31" s="1"/>
  <c r="G31" i="20"/>
  <c r="H48" i="14" s="1"/>
  <c r="J46"/>
  <c r="J61" s="1"/>
  <c r="J63" s="1"/>
  <c r="Q16"/>
  <c r="Q27" s="1"/>
  <c r="I33" i="48"/>
  <c r="H9"/>
  <c r="I20" i="14"/>
  <c r="I22" s="1"/>
  <c r="I27" s="1"/>
  <c r="F4" i="48"/>
  <c r="F22" s="1"/>
  <c r="G11" i="14"/>
  <c r="M23" i="48"/>
  <c r="N46" i="14"/>
  <c r="C8" i="48"/>
  <c r="D16" i="15"/>
  <c r="E10" i="14" s="1"/>
  <c r="L46"/>
  <c r="L61" s="1"/>
  <c r="L63" s="1"/>
  <c r="P22" i="16"/>
  <c r="Q43" i="14" s="1"/>
  <c r="Q13"/>
  <c r="P8" i="48"/>
  <c r="P26" s="1"/>
  <c r="K23"/>
  <c r="K33" s="1"/>
  <c r="K15"/>
  <c r="J7"/>
  <c r="J25" s="1"/>
  <c r="K24" i="14"/>
  <c r="K26" s="1"/>
  <c r="C7" i="48"/>
  <c r="D24" i="14"/>
  <c r="E24"/>
  <c r="E26" s="1"/>
  <c r="D7" i="48"/>
  <c r="D25" s="1"/>
  <c r="M13" i="14"/>
  <c r="L8" i="48"/>
  <c r="L26" s="1"/>
  <c r="G24" i="14"/>
  <c r="G26" s="1"/>
  <c r="F7" i="48"/>
  <c r="F25" s="1"/>
  <c r="D12" i="17"/>
  <c r="E54" i="14" s="1"/>
  <c r="E56" s="1"/>
  <c r="M10"/>
  <c r="L5" i="48"/>
  <c r="D10" i="14"/>
  <c r="C5" i="48"/>
  <c r="D5"/>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I52" s="1"/>
  <c r="I61" s="1"/>
  <c r="M5" i="22"/>
  <c r="G5"/>
  <c r="E5" i="15"/>
  <c r="O20"/>
  <c r="P40" i="14" s="1"/>
  <c r="P20" i="15"/>
  <c r="Q40" i="14" s="1"/>
  <c r="Q46" s="1"/>
  <c r="Q61" s="1"/>
  <c r="Q63" s="1"/>
  <c r="J5" i="15"/>
  <c r="D20"/>
  <c r="E40" i="14" s="1"/>
  <c r="F5" i="15"/>
  <c r="F16" s="1"/>
  <c r="B5"/>
  <c r="B16" s="1"/>
  <c r="B5" i="16"/>
  <c r="B18" s="1"/>
  <c r="N5" i="15"/>
  <c r="N16" s="1"/>
  <c r="F12" i="13"/>
  <c r="G41" i="14" s="1"/>
  <c r="F13" i="16"/>
  <c r="E13"/>
  <c r="N13"/>
  <c r="J13"/>
  <c r="B47" i="13"/>
  <c r="N12" i="16"/>
  <c r="J12"/>
  <c r="F12"/>
  <c r="E12"/>
  <c r="B48" i="13"/>
  <c r="C48" s="1"/>
  <c r="N5" s="1"/>
  <c r="N8" s="1"/>
  <c r="C50"/>
  <c r="J5" s="1"/>
  <c r="J8" s="1"/>
  <c r="I63" i="14" l="1"/>
  <c r="G10" i="48"/>
  <c r="H19" i="14"/>
  <c r="R19" s="1"/>
  <c r="G31" i="48"/>
  <c r="Q13"/>
  <c r="P15"/>
  <c r="P33"/>
  <c r="R18" i="14"/>
  <c r="M10" i="48"/>
  <c r="M28" s="1"/>
  <c r="N19" i="14"/>
  <c r="J4" i="48"/>
  <c r="J22" s="1"/>
  <c r="K11" i="14"/>
  <c r="C20"/>
  <c r="B9" i="48"/>
  <c r="E9"/>
  <c r="E27" s="1"/>
  <c r="F20" i="14"/>
  <c r="F22" s="1"/>
  <c r="G14" i="22"/>
  <c r="P46" i="14"/>
  <c r="P61" s="1"/>
  <c r="C15" i="48"/>
  <c r="N4"/>
  <c r="N22" s="1"/>
  <c r="O11" i="14"/>
  <c r="E12" i="13"/>
  <c r="F41" i="14" s="1"/>
  <c r="F11"/>
  <c r="R11" s="1"/>
  <c r="E4" i="48"/>
  <c r="H27"/>
  <c r="H33" s="1"/>
  <c r="H15"/>
  <c r="D9"/>
  <c r="D27" s="1"/>
  <c r="E20" i="14"/>
  <c r="E22" s="1"/>
  <c r="P13"/>
  <c r="P16" s="1"/>
  <c r="P27" s="1"/>
  <c r="O8" i="48"/>
  <c r="O26" s="1"/>
  <c r="O33"/>
  <c r="O15"/>
  <c r="E7"/>
  <c r="E25" s="1"/>
  <c r="F24" i="14"/>
  <c r="F26" s="1"/>
  <c r="E12" i="17"/>
  <c r="F54" i="14" s="1"/>
  <c r="F56" s="1"/>
  <c r="B8" i="48"/>
  <c r="C13" i="14"/>
  <c r="D22" i="16"/>
  <c r="E43" i="14" s="1"/>
  <c r="E13"/>
  <c r="D8" i="48"/>
  <c r="D26" s="1"/>
  <c r="D26" i="14"/>
  <c r="O24"/>
  <c r="O26" s="1"/>
  <c r="N7" i="48"/>
  <c r="N25" s="1"/>
  <c r="L7"/>
  <c r="L25" s="1"/>
  <c r="M24" i="14"/>
  <c r="M26" s="1"/>
  <c r="C10"/>
  <c r="B5" i="48"/>
  <c r="G10" i="14"/>
  <c r="F5" i="48"/>
  <c r="O10" i="14"/>
  <c r="N5" i="48"/>
  <c r="L12" i="17"/>
  <c r="M54" i="14" s="1"/>
  <c r="M56" s="1"/>
  <c r="N12" i="17"/>
  <c r="O54" i="14" s="1"/>
  <c r="O56" s="1"/>
  <c r="E16" i="15"/>
  <c r="J16"/>
  <c r="M14" i="22"/>
  <c r="O22" i="16"/>
  <c r="P43" i="14" s="1"/>
  <c r="D18" i="22"/>
  <c r="E50" i="14" s="1"/>
  <c r="E52" s="1"/>
  <c r="E18" i="22"/>
  <c r="F50" i="14" s="1"/>
  <c r="F52" s="1"/>
  <c r="M58" i="22"/>
  <c r="N49" i="14" s="1"/>
  <c r="G18" i="22"/>
  <c r="H50" i="14" s="1"/>
  <c r="G58" i="22"/>
  <c r="H49" i="14" s="1"/>
  <c r="H52" s="1"/>
  <c r="H61" s="1"/>
  <c r="J20" i="15"/>
  <c r="K40" i="14" s="1"/>
  <c r="N20" i="15"/>
  <c r="O40" i="14" s="1"/>
  <c r="F20" i="15"/>
  <c r="G40" i="14" s="1"/>
  <c r="N5" i="16"/>
  <c r="E5"/>
  <c r="J5"/>
  <c r="C35" i="13"/>
  <c r="F5" i="16"/>
  <c r="C36" i="13"/>
  <c r="N12"/>
  <c r="O41" i="14" s="1"/>
  <c r="C38" i="13"/>
  <c r="C39"/>
  <c r="C32"/>
  <c r="C34"/>
  <c r="J12"/>
  <c r="K41" i="14" s="1"/>
  <c r="L20" i="15"/>
  <c r="M40" i="14" s="1"/>
  <c r="G9" i="48" l="1"/>
  <c r="H20" i="14"/>
  <c r="H22" s="1"/>
  <c r="H27" s="1"/>
  <c r="H63" s="1"/>
  <c r="G28" i="48"/>
  <c r="Q10"/>
  <c r="E22"/>
  <c r="Q4"/>
  <c r="C22" i="14"/>
  <c r="M18" i="22"/>
  <c r="N50" i="14" s="1"/>
  <c r="N52" s="1"/>
  <c r="N61" s="1"/>
  <c r="N20"/>
  <c r="N22" s="1"/>
  <c r="N27" s="1"/>
  <c r="M9" i="48"/>
  <c r="B15"/>
  <c r="P63" i="14"/>
  <c r="D15" i="48"/>
  <c r="J5"/>
  <c r="K10" i="14"/>
  <c r="E20" i="15"/>
  <c r="F40" i="14" s="1"/>
  <c r="E5" i="48"/>
  <c r="F10" i="14"/>
  <c r="L15" i="48"/>
  <c r="Q7"/>
  <c r="R24" i="14"/>
  <c r="R26" s="1"/>
  <c r="J18" i="16"/>
  <c r="N18"/>
  <c r="E18"/>
  <c r="F18"/>
  <c r="F22" s="1"/>
  <c r="G43" i="14" s="1"/>
  <c r="N63" l="1"/>
  <c r="G27" i="48"/>
  <c r="G33" s="1"/>
  <c r="G15"/>
  <c r="M27"/>
  <c r="M33" s="1"/>
  <c r="M15"/>
  <c r="Q9"/>
  <c r="R20" i="14"/>
  <c r="R22" s="1"/>
  <c r="E22" i="16"/>
  <c r="F43" i="14" s="1"/>
  <c r="E8" i="48"/>
  <c r="E26" s="1"/>
  <c r="F13" i="14"/>
  <c r="F16" s="1"/>
  <c r="F27" s="1"/>
  <c r="F46"/>
  <c r="F61" s="1"/>
  <c r="K13"/>
  <c r="K16" s="1"/>
  <c r="K27" s="1"/>
  <c r="K63" s="1"/>
  <c r="J8" i="48"/>
  <c r="J26" s="1"/>
  <c r="J23"/>
  <c r="E23"/>
  <c r="E15"/>
  <c r="F8"/>
  <c r="G13" i="14"/>
  <c r="N8" i="48"/>
  <c r="O13" i="14"/>
  <c r="N22" i="16"/>
  <c r="O43" i="14" s="1"/>
  <c r="J22" i="16"/>
  <c r="K43" i="14" s="1"/>
  <c r="K46" s="1"/>
  <c r="K61" s="1"/>
  <c r="E33" i="48" l="1"/>
  <c r="F63" i="14"/>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<sst xmlns="http://schemas.openxmlformats.org/spreadsheetml/2006/main" count="2496" uniqueCount="965">
  <si>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</si>
  <si>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</si>
  <si>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</si>
  <si>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</si>
  <si>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</si>
  <si>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</si>
  <si>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</si>
  <si>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</si>
  <si>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</si>
  <si>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</si>
  <si>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</si>
  <si>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</si>
  <si>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</si>
  <si>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</si>
  <si>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</si>
  <si>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</si>
  <si>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</si>
  <si>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</si>
  <si>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</si>
  <si>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</si>
  <si>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</si>
  <si>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</si>
  <si>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</si>
  <si>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</si>
  <si>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</si>
  <si>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</si>
  <si>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</si>
  <si>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</si>
  <si>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</si>
  <si>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</si>
  <si>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</si>
  <si>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</si>
  <si>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</si>
  <si>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</si>
  <si>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</si>
  <si>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</si>
  <si>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</si>
  <si>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</si>
  <si>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</si>
  <si>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</si>
  <si>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</si>
  <si>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</si>
  <si>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</si>
  <si>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</si>
  <si>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</si>
  <si>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</si>
  <si>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</si>
  <si>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</si>
  <si>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</si>
  <si>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</si>
  <si>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</si>
  <si>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</si>
  <si>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</si>
  <si>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</si>
  <si>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</si>
  <si>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</si>
  <si>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</si>
  <si>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</si>
  <si>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</si>
  <si>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</si>
  <si>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</si>
  <si>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</si>
  <si>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</si>
  <si>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</si>
  <si>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</si>
  <si>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</si>
  <si>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</si>
  <si>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</si>
  <si>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</si>
  <si>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</si>
  <si>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</si>
  <si>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</si>
  <si>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</si>
  <si>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</si>
  <si>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</si>
  <si>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</si>
  <si>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</si>
  <si>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</si>
  <si>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</si>
  <si>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</si>
  <si>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</si>
  <si>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</si>
  <si>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</si>
  <si>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</si>
  <si>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</si>
  <si>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</si>
  <si>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</si>
  <si>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</si>
  <si>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</si>
  <si>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</si>
  <si>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</si>
  <si>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</si>
  <si>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</si>
  <si>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</si>
  <si>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</si>
  <si>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</si>
  <si>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</si>
  <si>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</si>
  <si>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</si>
  <si>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</si>
  <si>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</si>
  <si>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</si>
  <si>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</si>
  <si>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</si>
  <si>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</si>
  <si>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</si>
  <si>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</si>
  <si>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</si>
  <si>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</si>
  <si>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</si>
  <si>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</si>
  <si>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</si>
  <si>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</si>
  <si>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</si>
  <si>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</si>
  <si>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</si>
  <si>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</si>
  <si>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</si>
  <si>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</si>
  <si>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</si>
  <si>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</si>
  <si>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</si>
  <si>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</si>
  <si>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</si>
  <si>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</si>
  <si>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</si>
  <si>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</si>
  <si>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</si>
  <si>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</si>
  <si>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</si>
  <si>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</si>
  <si>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</si>
  <si>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</si>
  <si>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</si>
  <si>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</si>
  <si>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</si>
  <si>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</si>
  <si>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</si>
  <si>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</si>
  <si>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</si>
  <si>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</si>
  <si>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</si>
  <si>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</si>
  <si>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</si>
  <si>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</si>
  <si>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</si>
  <si>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</si>
  <si>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</si>
  <si>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</si>
  <si>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</si>
  <si>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</si>
  <si>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</si>
  <si>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</si>
  <si>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</si>
  <si>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</si>
  <si>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</si>
  <si>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</si>
  <si>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</si>
  <si>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</si>
  <si>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</si>
  <si>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</si>
  <si>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</si>
  <si>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</si>
  <si>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</si>
  <si>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</si>
  <si>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</si>
  <si>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</si>
  <si>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</si>
  <si>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</si>
  <si>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</si>
  <si>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</si>
  <si>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</si>
  <si>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</si>
  <si>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</si>
  <si>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</si>
  <si>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</si>
  <si>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</si>
  <si>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</si>
  <si>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</si>
  <si>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</si>
  <si>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</si>
  <si>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</si>
  <si>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</si>
  <si>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</si>
  <si>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</si>
  <si>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</si>
  <si>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</si>
  <si>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</si>
  <si>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</si>
  <si>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</si>
  <si>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</si>
  <si>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</si>
  <si>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</si>
  <si>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</si>
  <si>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</si>
  <si>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</si>
  <si>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</si>
  <si>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</si>
  <si>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</si>
  <si>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</si>
  <si>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</si>
  <si>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</si>
  <si>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</si>
  <si>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</si>
  <si>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</si>
  <si>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</si>
  <si>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</si>
  <si>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</si>
  <si>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</si>
  <si>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</si>
  <si>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</si>
  <si>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</si>
  <si>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</si>
  <si>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</si>
  <si>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</si>
  <si>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</si>
  <si>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</si>
  <si>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</si>
  <si>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</si>
  <si>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</si>
  <si>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</si>
  <si>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</si>
  <si>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</si>
  <si>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</si>
  <si>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</si>
  <si>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</si>
  <si>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</si>
  <si>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</si>
  <si>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</si>
  <si>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</si>
  <si>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</si>
  <si>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</si>
  <si>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</si>
  <si>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</si>
  <si>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</si>
  <si>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</si>
  <si>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</si>
  <si>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</si>
  <si>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</si>
  <si>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</si>
  <si>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</si>
  <si>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</si>
  <si>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</si>
  <si>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</si>
  <si>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</si>
  <si>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</si>
  <si>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</si>
  <si>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</si>
  <si>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</si>
  <si>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</si>
  <si>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</si>
  <si>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</si>
  <si>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</si>
  <si>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</si>
  <si>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</si>
  <si>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</si>
  <si>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</si>
  <si>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</si>
  <si>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</si>
  <si>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</si>
  <si>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</si>
  <si>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</si>
  <si>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</si>
  <si>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</si>
  <si>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</si>
  <si>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</si>
  <si>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</si>
  <si>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</si>
  <si>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</si>
  <si>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</si>
  <si>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</si>
  <si>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</si>
  <si>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</si>
  <si>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</si>
  <si>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</si>
  <si>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</si>
  <si>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</si>
  <si>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</si>
  <si>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</si>
  <si>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</si>
  <si>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</si>
  <si>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</si>
  <si>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</si>
  <si>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</si>
  <si>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</si>
  <si>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</si>
  <si>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</si>
  <si>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</si>
  <si>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</si>
  <si>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</si>
  <si>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</si>
  <si>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</si>
  <si>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</si>
  <si>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</si>
  <si>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</si>
  <si>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</si>
  <si>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</si>
  <si>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</si>
  <si>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</si>
  <si>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</si>
  <si>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</si>
  <si>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</si>
  <si>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</si>
  <si>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</si>
  <si>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</si>
  <si>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</si>
  <si>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</si>
  <si>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</si>
  <si>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</si>
  <si>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</si>
  <si>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</si>
  <si>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</si>
  <si>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</si>
  <si>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</si>
  <si>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</si>
  <si>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</si>
  <si>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</si>
  <si>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</si>
  <si>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</si>
  <si>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</si>
  <si>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</si>
  <si>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</si>
  <si>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</si>
  <si>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</si>
  <si>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</si>
  <si>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</si>
  <si>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</si>
  <si>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</si>
  <si>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</si>
  <si>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</si>
  <si>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</si>
  <si>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</si>
  <si>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</si>
  <si>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</si>
  <si>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</si>
  <si>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</si>
  <si>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</si>
  <si>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</si>
  <si>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</si>
  <si>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</si>
  <si>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</si>
  <si>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</si>
  <si>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</si>
  <si>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</si>
  <si>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</si>
  <si>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</si>
  <si>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</si>
  <si>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</si>
  <si>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</si>
  <si>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</si>
  <si>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</si>
  <si>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</si>
  <si>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</si>
  <si>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</si>
  <si>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</si>
  <si>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</si>
  <si>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</si>
  <si>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</si>
  <si>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</si>
  <si>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</si>
  <si>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</si>
  <si>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</si>
  <si>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</si>
  <si>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</si>
  <si>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</si>
  <si>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</si>
  <si>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</si>
  <si>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</si>
  <si>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</si>
  <si>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</si>
  <si>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</si>
  <si>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</si>
  <si>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</si>
  <si>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</si>
  <si>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</si>
  <si>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</si>
  <si>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</si>
  <si>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</si>
  <si>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</si>
  <si>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</si>
  <si>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</si>
  <si>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</si>
  <si>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</si>
  <si>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</si>
  <si>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</si>
  <si>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</si>
  <si>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</si>
  <si>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</si>
  <si>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</si>
  <si>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</si>
  <si>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</si>
  <si>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</si>
  <si>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</si>
  <si>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</si>
  <si>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</si>
  <si>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</si>
  <si>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</si>
  <si>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</si>
  <si>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</si>
  <si>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</si>
  <si>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</si>
  <si>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</si>
  <si>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</si>
  <si>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</si>
  <si>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</si>
  <si>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</si>
  <si>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</si>
  <si>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</si>
  <si>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</si>
  <si>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</si>
  <si>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</si>
  <si>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</si>
  <si>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</si>
  <si>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</si>
  <si>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</si>
  <si>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</si>
  <si>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</si>
  <si>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</si>
  <si>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</si>
  <si>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</si>
  <si>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</si>
  <si>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</si>
  <si>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</si>
  <si>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</si>
  <si>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</si>
  <si>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</si>
  <si>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</si>
  <si>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</si>
  <si>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</si>
  <si>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</si>
  <si>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</si>
  <si>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</si>
  <si>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</si>
  <si>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</si>
  <si>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</si>
  <si>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</si>
  <si>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</si>
  <si>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</si>
  <si>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</si>
  <si>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</si>
  <si>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</si>
  <si>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</si>
  <si>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</si>
  <si>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</si>
  <si>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</si>
  <si>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</si>
  <si>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</si>
  <si>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</si>
  <si>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</si>
  <si>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</si>
  <si>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</si>
  <si>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</si>
  <si>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</si>
  <si>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</si>
  <si>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</si>
  <si>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</si>
  <si>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</si>
  <si>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</si>
  <si>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</si>
  <si>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</si>
  <si>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</si>
  <si>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</si>
  <si>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</si>
  <si>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</si>
  <si>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</si>
  <si>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</si>
  <si>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</si>
  <si>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</si>
  <si>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</si>
  <si>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</si>
  <si>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</si>
  <si>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</si>
  <si>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</si>
  <si>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</si>
  <si>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</si>
  <si>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</si>
  <si>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</si>
  <si>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</si>
  <si>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</si>
  <si>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</si>
  <si>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</si>
  <si>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</si>
  <si>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</si>
  <si>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</si>
  <si>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</si>
  <si>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</si>
  <si>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</si>
  <si>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</si>
  <si>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</si>
  <si>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</si>
  <si>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</si>
  <si>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</si>
  <si>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</si>
  <si>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</si>
  <si>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</si>
  <si>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</si>
  <si>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</si>
  <si>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</si>
  <si>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</si>
  <si>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</si>
  <si>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</si>
  <si>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</si>
  <si>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</si>
  <si>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</si>
  <si>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</si>
  <si>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</si>
  <si>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</si>
  <si>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</si>
  <si>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</si>
  <si>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</si>
  <si>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</si>
  <si>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</si>
  <si>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</si>
  <si>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</si>
  <si>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</si>
  <si>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</si>
  <si>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</si>
  <si>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</si>
  <si>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</si>
  <si>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</si>
  <si>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</si>
  <si>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</si>
  <si>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</si>
  <si>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</si>
  <si>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</si>
  <si>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</si>
  <si>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</si>
  <si>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</si>
  <si>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</si>
  <si>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</si>
  <si>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</si>
  <si>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</si>
  <si>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</si>
  <si>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</si>
  <si>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</si>
  <si>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</si>
  <si>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</si>
  <si>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</si>
  <si>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</si>
  <si>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</si>
  <si>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</si>
  <si>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</si>
  <si>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</si>
  <si>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</si>
  <si>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</si>
  <si>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</si>
  <si>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</si>
  <si>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</si>
  <si>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</si>
  <si>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</si>
  <si>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</si>
  <si>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</si>
  <si>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</si>
  <si>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</si>
  <si>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</si>
  <si>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</si>
  <si>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</si>
  <si>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</si>
  <si>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</si>
  <si>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</si>
  <si>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</si>
  <si>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</si>
  <si>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</si>
  <si>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</si>
  <si>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</si>
  <si>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</si>
  <si>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</si>
  <si>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</si>
  <si>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</si>
  <si>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</si>
  <si>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</si>
  <si>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</si>
  <si>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</si>
  <si>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</si>
  <si>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</si>
  <si>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</si>
  <si>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</si>
  <si>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</si>
  <si>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</si>
  <si>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</si>
  <si>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</si>
  <si>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</si>
  <si>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</si>
  <si>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</si>
  <si>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</si>
  <si>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</si>
  <si>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</si>
  <si>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</si>
  <si>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</si>
  <si>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</si>
  <si>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</si>
  <si>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</si>
  <si>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</si>
  <si>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</si>
  <si>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</si>
  <si>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</si>
  <si>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</si>
  <si>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</si>
  <si>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</si>
  <si>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</si>
  <si>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</si>
  <si>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</si>
  <si>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</si>
  <si>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</si>
  <si>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</si>
  <si>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</si>
  <si>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</si>
  <si>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</si>
  <si>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</si>
  <si>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</si>
  <si>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</si>
  <si>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</si>
  <si>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</si>
  <si>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</si>
  <si>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</si>
  <si>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</si>
  <si>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</si>
  <si>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</si>
  <si>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</si>
  <si>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</si>
  <si>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</si>
  <si>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</si>
  <si>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</si>
  <si>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</si>
  <si>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</si>
  <si>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</si>
  <si>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</si>
  <si>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</si>
  <si>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</si>
  <si>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</si>
  <si>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</si>
  <si>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</si>
  <si>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</si>
  <si>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</si>
  <si>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</si>
  <si>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</si>
  <si>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</si>
  <si>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</si>
  <si>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</si>
  <si>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</si>
  <si>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</si>
  <si>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</si>
  <si>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</si>
  <si>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</si>
  <si>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</si>
  <si>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</si>
  <si>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</si>
  <si>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</si>
  <si>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</si>
  <si>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</si>
  <si>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</si>
  <si>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</si>
  <si>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</si>
  <si>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</si>
  <si>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</si>
  <si>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</si>
  <si>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</si>
  <si>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</si>
  <si>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</si>
  <si>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</si>
  <si>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</si>
  <si>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</si>
  <si>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</si>
  <si>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</si>
  <si>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</si>
  <si>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</si>
  <si>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</si>
  <si>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</si>
  <si>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</si>
  <si>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</si>
  <si>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</si>
  <si>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</si>
  <si>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</si>
  <si>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</si>
  <si>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</si>
  <si>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</si>
  <si>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</si>
  <si>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</si>
  <si>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</si>
  <si>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</si>
  <si>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</si>
  <si>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</si>
  <si>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</si>
  <si>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</si>
  <si>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</si>
  <si>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</si>
  <si>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</si>
  <si>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</si>
  <si>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</si>
  <si>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</si>
  <si>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</si>
  <si>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</si>
  <si>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</si>
  <si>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</si>
  <si>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</si>
  <si>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</si>
  <si>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</si>
  <si>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</si>
  <si>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</si>
  <si>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</si>
  <si>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</si>
  <si>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</si>
  <si>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</si>
  <si>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</si>
  <si>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</si>
  <si>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</si>
  <si>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</si>
  <si>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</si>
  <si>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</si>
  <si>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</si>
  <si>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</si>
  <si>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</si>
  <si>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</si>
  <si>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</si>
  <si>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</si>
  <si>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</si>
  <si>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</si>
  <si>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</si>
  <si>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</si>
  <si>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</si>
  <si>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</si>
  <si>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</si>
  <si>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</si>
  <si>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</si>
  <si>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</si>
  <si>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</si>
  <si>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</si>
  <si>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</si>
  <si>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</si>
  <si>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</si>
  <si>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</si>
  <si>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</si>
  <si>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</si>
  <si>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</si>
  <si>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</si>
  <si>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</si>
  <si>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</si>
  <si>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</si>
  <si>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</si>
  <si>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</si>
  <si>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</si>
  <si>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</si>
  <si>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</si>
  <si>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</si>
  <si>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</si>
  <si>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</si>
  <si>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</si>
  <si>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</si>
  <si>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</si>
  <si>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</si>
  <si>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</si>
  <si>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</si>
  <si>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</si>
  <si>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</si>
  <si>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</si>
  <si>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</si>
  <si>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</si>
  <si>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</si>
  <si>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</si>
  <si>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</si>
  <si>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</si>
  <si>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</si>
  <si>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</si>
  <si>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</si>
  <si>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</si>
  <si>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</si>
  <si>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</si>
  <si>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</si>
  <si>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</si>
  <si>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</si>
  <si>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</si>
  <si>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</si>
  <si>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</si>
  <si>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</si>
  <si>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</si>
  <si>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</si>
  <si>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</si>
  <si>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</si>
  <si>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</si>
  <si>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</si>
  <si>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</si>
  <si>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</si>
  <si>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</si>
  <si>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</si>
  <si>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</si>
  <si>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</si>
  <si>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</si>
  <si>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</si>
  <si>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</si>
  <si>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</si>
  <si>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</si>
  <si>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</si>
  <si>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</si>
  <si>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</si>
  <si>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</si>
  <si>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</si>
  <si>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</si>
  <si>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</si>
  <si>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</si>
  <si>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</si>
  <si>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</si>
  <si>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</si>
  <si>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</si>
  <si>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</si>
  <si>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</si>
  <si>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</si>
  <si>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</si>
  <si>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</si>
  <si>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</si>
  <si>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</si>
  <si>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</si>
  <si>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</si>
  <si>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</si>
  <si>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</si>
  <si>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</si>
  <si>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</si>
  <si>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</si>
  <si>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</si>
  <si>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</si>
  <si>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</si>
  <si>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</si>
  <si>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</si>
  <si>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</si>
  <si>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</si>
  <si>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</si>
  <si>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</si>
  <si>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</si>
  <si>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</si>
  <si>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</si>
  <si>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</si>
  <si>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</si>
  <si>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</si>
  <si>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</si>
  <si>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</si>
  <si>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</si>
  <si>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</si>
  <si>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</si>
  <si>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</si>
  <si>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</si>
  <si>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</si>
  <si>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</si>
  <si>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</si>
  <si>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</si>
  <si>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</si>
  <si>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</si>
  <si>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</si>
  <si>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</si>
  <si>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</si>
  <si>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</si>
  <si>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</si>
  <si>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</si>
  <si>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</si>
  <si>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</si>
  <si>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</si>
  <si>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</si>
  <si>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</si>
  <si>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</si>
  <si>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</si>
  <si>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</si>
  <si>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</si>
  <si>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</si>
  <si>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</si>
  <si>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</si>
  <si>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</si>
  <si>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</si>
  <si>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</si>
  <si>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</si>
  <si>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</si>
  <si>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</si>
  <si>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</si>
  <si>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</si>
  <si>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</si>
  <si>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</si>
  <si>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</si>
  <si>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</si>
  <si>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</si>
  <si>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</si>
  <si>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</si>
  <si>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</si>
  <si>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</si>
  <si>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</si>
  <si>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</si>
  <si>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</si>
  <si>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</si>
  <si>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</si>
  <si>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</si>
  <si>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</si>
  <si>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</si>
  <si>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</si>
  <si>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</si>
  <si>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</si>
  <si>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</si>
  <si>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</si>
  <si>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</si>
  <si>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</si>
  <si>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</si>
  <si>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</si>
  <si>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</si>
  <si>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</si>
  <si>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</si>
  <si>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</si>
  <si>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</si>
  <si>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</si>
  <si>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</si>
  <si>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</si>
  <si>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</si>
  <si>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</si>
  <si>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</si>
  <si>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</si>
  <si>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</si>
  <si>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</si>
  <si>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</si>
  <si>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</si>
  <si>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</si>
  <si>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</si>
  <si>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</si>
  <si>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</si>
  <si>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</si>
  <si>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</si>
  <si>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</si>
  <si>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</si>
  <si>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</si>
  <si>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</si>
  <si>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</si>
  <si>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</si>
  <si>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</si>
  <si>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</si>
  <si>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</si>
  <si>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</si>
  <si>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</si>
  <si>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</si>
  <si>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</si>
  <si>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</si>
  <si>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</si>
  <si>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</si>
  <si>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</si>
  <si>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</si>
  <si>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</si>
  <si>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</si>
  <si>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</si>
  <si>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</si>
  <si>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</si>
  <si>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</si>
  <si>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</si>
  <si>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</si>
  <si>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</si>
  <si>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</si>
  <si>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</si>
  <si>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</si>
  <si>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</si>
  <si>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</si>
  <si>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</si>
  <si>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</si>
  <si>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</si>
  <si>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2011_15</t>
  </si>
  <si>
    <t>versie: 2011_15</t>
  </si>
  <si>
    <t>41027</t>
  </si>
  <si>
    <t>HERZELE</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</si>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</sst>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5" fillId="0" borderId="0" xfId="0" applyNumberFormat="1" applyFont="1" applyFill="1" applyBorder="1" applyAlignment="1">
      <alignment horizontal="left" vertical="center" wrapText="1"/>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1" fontId="56" fillId="12" borderId="42"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topLeftCell="A46"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955</v>
      </c>
      <c r="B4" s="106"/>
      <c r="C4" s="107"/>
    </row>
    <row r="5" spans="1:7" s="394" customFormat="1" ht="15.75" customHeight="1">
      <c r="A5" s="391" t="s">
        <v>0</v>
      </c>
      <c r="B5" s="392"/>
      <c r="C5" s="393"/>
    </row>
    <row r="6" spans="1:7" s="394" customFormat="1" ht="15" customHeight="1">
      <c r="A6" s="395" t="str">
        <f>txtNIS</f>
        <v>41027</v>
      </c>
      <c r="B6" s="396"/>
      <c r="C6" s="397"/>
    </row>
    <row r="7" spans="1:7" s="394" customFormat="1" ht="15.75" customHeight="1">
      <c r="A7" s="398" t="str">
        <f>txtMunicipality</f>
        <v>HERZELE</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0.21392438513208864</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0.21392438513208864</v>
      </c>
      <c r="C29" s="510">
        <f ca="1">'EF ele_warmte'!B22</f>
        <v>0</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41027</v>
      </c>
      <c r="B1" s="1266"/>
      <c r="C1" s="1266"/>
      <c r="D1" s="1266"/>
      <c r="E1" s="1266"/>
      <c r="F1" s="1267"/>
    </row>
    <row r="3" spans="1:6" ht="19.5">
      <c r="A3" s="1268" t="s">
        <v>0</v>
      </c>
    </row>
    <row r="4" spans="1:6" ht="22.5">
      <c r="A4" s="1269" t="s">
        <v>956</v>
      </c>
    </row>
    <row r="5" spans="1:6" ht="22.5">
      <c r="A5" s="1269" t="s">
        <v>957</v>
      </c>
    </row>
    <row r="6" spans="1:6" ht="15.75" thickBot="1"/>
    <row r="7" spans="1:6" ht="20.25" thickBot="1">
      <c r="A7" s="1270" t="s">
        <v>1</v>
      </c>
      <c r="B7" s="334" t="s">
        <v>396</v>
      </c>
      <c r="C7" s="334" t="s">
        <v>958</v>
      </c>
      <c r="D7" s="334"/>
      <c r="E7" s="334"/>
      <c r="F7" s="335"/>
    </row>
    <row r="8" spans="1:6" ht="16.5" thickTop="1" thickBot="1">
      <c r="A8" s="1271" t="s">
        <v>4</v>
      </c>
      <c r="B8" s="1272">
        <v>2011</v>
      </c>
      <c r="C8" s="1272">
        <v>2020</v>
      </c>
      <c r="D8" s="1266"/>
      <c r="E8" s="1266"/>
      <c r="F8" s="1267"/>
    </row>
    <row r="9" spans="1:6">
      <c r="A9" s="1273" t="s">
        <v>2</v>
      </c>
      <c r="B9" s="336">
        <v>7057</v>
      </c>
      <c r="C9" s="336">
        <v>7695</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2837</v>
      </c>
    </row>
    <row r="15" spans="1:6">
      <c r="A15" s="1277" t="s">
        <v>184</v>
      </c>
      <c r="B15" s="333">
        <v>175</v>
      </c>
    </row>
    <row r="16" spans="1:6">
      <c r="A16" s="1277" t="s">
        <v>6</v>
      </c>
      <c r="B16" s="333">
        <v>1131</v>
      </c>
    </row>
    <row r="17" spans="1:6">
      <c r="A17" s="1277" t="s">
        <v>7</v>
      </c>
      <c r="B17" s="333">
        <v>747</v>
      </c>
    </row>
    <row r="18" spans="1:6">
      <c r="A18" s="1277" t="s">
        <v>8</v>
      </c>
      <c r="B18" s="333">
        <v>1224</v>
      </c>
    </row>
    <row r="19" spans="1:6">
      <c r="A19" s="1277" t="s">
        <v>9</v>
      </c>
      <c r="B19" s="333">
        <v>1144</v>
      </c>
    </row>
    <row r="20" spans="1:6">
      <c r="A20" s="1277" t="s">
        <v>10</v>
      </c>
      <c r="B20" s="333">
        <v>908</v>
      </c>
    </row>
    <row r="21" spans="1:6">
      <c r="A21" s="1277" t="s">
        <v>11</v>
      </c>
      <c r="B21" s="333">
        <v>116</v>
      </c>
    </row>
    <row r="22" spans="1:6">
      <c r="A22" s="1277" t="s">
        <v>12</v>
      </c>
      <c r="B22" s="333">
        <v>710</v>
      </c>
    </row>
    <row r="23" spans="1:6">
      <c r="A23" s="1277" t="s">
        <v>13</v>
      </c>
      <c r="B23" s="333">
        <v>0</v>
      </c>
    </row>
    <row r="24" spans="1:6">
      <c r="A24" s="1277" t="s">
        <v>14</v>
      </c>
      <c r="B24" s="333">
        <v>0</v>
      </c>
    </row>
    <row r="25" spans="1:6">
      <c r="A25" s="1277" t="s">
        <v>15</v>
      </c>
      <c r="B25" s="333">
        <v>27</v>
      </c>
    </row>
    <row r="26" spans="1:6">
      <c r="A26" s="1277" t="s">
        <v>16</v>
      </c>
      <c r="B26" s="333">
        <v>172</v>
      </c>
    </row>
    <row r="27" spans="1:6">
      <c r="A27" s="1277" t="s">
        <v>17</v>
      </c>
      <c r="B27" s="333">
        <v>8</v>
      </c>
    </row>
    <row r="28" spans="1:6">
      <c r="A28" s="1277" t="s">
        <v>18</v>
      </c>
      <c r="B28" s="333">
        <v>13502</v>
      </c>
    </row>
    <row r="29" spans="1:6">
      <c r="A29" s="1277" t="s">
        <v>959</v>
      </c>
      <c r="B29" s="333">
        <v>167</v>
      </c>
    </row>
    <row r="30" spans="1:6">
      <c r="A30" s="1273" t="s">
        <v>960</v>
      </c>
      <c r="B30" s="1273">
        <v>36</v>
      </c>
      <c r="C30" s="336"/>
      <c r="D30" s="336"/>
      <c r="E30" s="336"/>
      <c r="F30" s="336"/>
    </row>
    <row r="31" spans="1:6" ht="15.75" thickBot="1">
      <c r="A31" s="337"/>
    </row>
    <row r="32" spans="1:6" ht="20.25" thickBot="1">
      <c r="A32" s="1270" t="s">
        <v>19</v>
      </c>
      <c r="B32" s="334" t="s">
        <v>396</v>
      </c>
      <c r="C32" s="334" t="s">
        <v>961</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0</v>
      </c>
      <c r="F36" s="333">
        <v>0</v>
      </c>
    </row>
    <row r="37" spans="1:6">
      <c r="A37" s="1277" t="s">
        <v>25</v>
      </c>
      <c r="B37" s="1277" t="s">
        <v>28</v>
      </c>
      <c r="C37" s="333">
        <v>0</v>
      </c>
      <c r="D37" s="333">
        <v>0</v>
      </c>
      <c r="E37" s="333">
        <v>0</v>
      </c>
      <c r="F37" s="333">
        <v>0</v>
      </c>
    </row>
    <row r="38" spans="1:6">
      <c r="A38" s="1277" t="s">
        <v>25</v>
      </c>
      <c r="B38" s="1277" t="s">
        <v>29</v>
      </c>
      <c r="C38" s="333">
        <v>1</v>
      </c>
      <c r="D38" s="333">
        <v>27659.842044553701</v>
      </c>
      <c r="E38" s="333">
        <v>3</v>
      </c>
      <c r="F38" s="333">
        <v>11868.3206063863</v>
      </c>
    </row>
    <row r="39" spans="1:6">
      <c r="A39" s="1277" t="s">
        <v>30</v>
      </c>
      <c r="B39" s="1277" t="s">
        <v>31</v>
      </c>
      <c r="C39" s="333">
        <v>2572</v>
      </c>
      <c r="D39" s="333">
        <v>40902057.418886103</v>
      </c>
      <c r="E39" s="333">
        <v>6900</v>
      </c>
      <c r="F39" s="333">
        <v>33075976.891349599</v>
      </c>
    </row>
    <row r="40" spans="1:6">
      <c r="A40" s="1277" t="s">
        <v>30</v>
      </c>
      <c r="B40" s="1277" t="s">
        <v>29</v>
      </c>
      <c r="C40" s="333">
        <v>0</v>
      </c>
      <c r="D40" s="333">
        <v>0</v>
      </c>
      <c r="E40" s="333">
        <v>0</v>
      </c>
      <c r="F40" s="333">
        <v>0</v>
      </c>
    </row>
    <row r="41" spans="1:6">
      <c r="A41" s="1277" t="s">
        <v>32</v>
      </c>
      <c r="B41" s="1277" t="s">
        <v>33</v>
      </c>
      <c r="C41" s="333">
        <v>21</v>
      </c>
      <c r="D41" s="333">
        <v>439954.73077813699</v>
      </c>
      <c r="E41" s="333">
        <v>112</v>
      </c>
      <c r="F41" s="333">
        <v>723703.78073088697</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0</v>
      </c>
      <c r="D44" s="333">
        <v>0</v>
      </c>
      <c r="E44" s="333">
        <v>3</v>
      </c>
      <c r="F44" s="333">
        <v>39068.130426021104</v>
      </c>
    </row>
    <row r="45" spans="1:6">
      <c r="A45" s="1277" t="s">
        <v>32</v>
      </c>
      <c r="B45" s="1277" t="s">
        <v>37</v>
      </c>
      <c r="C45" s="333">
        <v>0</v>
      </c>
      <c r="D45" s="333">
        <v>0</v>
      </c>
      <c r="E45" s="333">
        <v>0</v>
      </c>
      <c r="F45" s="333">
        <v>0</v>
      </c>
    </row>
    <row r="46" spans="1:6">
      <c r="A46" s="1277" t="s">
        <v>32</v>
      </c>
      <c r="B46" s="1277" t="s">
        <v>38</v>
      </c>
      <c r="C46" s="333">
        <v>0</v>
      </c>
      <c r="D46" s="333">
        <v>0</v>
      </c>
      <c r="E46" s="333">
        <v>0</v>
      </c>
      <c r="F46" s="333">
        <v>0</v>
      </c>
    </row>
    <row r="47" spans="1:6">
      <c r="A47" s="1277" t="s">
        <v>32</v>
      </c>
      <c r="B47" s="1277" t="s">
        <v>39</v>
      </c>
      <c r="C47" s="333">
        <v>0</v>
      </c>
      <c r="D47" s="333">
        <v>0</v>
      </c>
      <c r="E47" s="333">
        <v>3</v>
      </c>
      <c r="F47" s="333">
        <v>45150.4837192212</v>
      </c>
    </row>
    <row r="48" spans="1:6">
      <c r="A48" s="1277" t="s">
        <v>32</v>
      </c>
      <c r="B48" s="1277" t="s">
        <v>29</v>
      </c>
      <c r="C48" s="333">
        <v>14</v>
      </c>
      <c r="D48" s="333">
        <v>578549.933567681</v>
      </c>
      <c r="E48" s="333">
        <v>42</v>
      </c>
      <c r="F48" s="333">
        <v>1486374.9904036501</v>
      </c>
    </row>
    <row r="49" spans="1:6">
      <c r="A49" s="1277" t="s">
        <v>32</v>
      </c>
      <c r="B49" s="1277" t="s">
        <v>40</v>
      </c>
      <c r="C49" s="333">
        <v>0</v>
      </c>
      <c r="D49" s="333">
        <v>0</v>
      </c>
      <c r="E49" s="333">
        <v>0</v>
      </c>
      <c r="F49" s="333">
        <v>0</v>
      </c>
    </row>
    <row r="50" spans="1:6">
      <c r="A50" s="1277" t="s">
        <v>32</v>
      </c>
      <c r="B50" s="1277" t="s">
        <v>41</v>
      </c>
      <c r="C50" s="333">
        <v>5</v>
      </c>
      <c r="D50" s="333">
        <v>504615.65088495001</v>
      </c>
      <c r="E50" s="333">
        <v>15</v>
      </c>
      <c r="F50" s="333">
        <v>459943.34215861099</v>
      </c>
    </row>
    <row r="51" spans="1:6">
      <c r="A51" s="1277" t="s">
        <v>42</v>
      </c>
      <c r="B51" s="1277" t="s">
        <v>43</v>
      </c>
      <c r="C51" s="333">
        <v>3</v>
      </c>
      <c r="D51" s="333">
        <v>55557.737565285599</v>
      </c>
      <c r="E51" s="333">
        <v>75</v>
      </c>
      <c r="F51" s="333">
        <v>1046624.8887357099</v>
      </c>
    </row>
    <row r="52" spans="1:6">
      <c r="A52" s="1277" t="s">
        <v>42</v>
      </c>
      <c r="B52" s="1277" t="s">
        <v>29</v>
      </c>
      <c r="C52" s="333">
        <v>3</v>
      </c>
      <c r="D52" s="333">
        <v>97320.3889555442</v>
      </c>
      <c r="E52" s="333">
        <v>7</v>
      </c>
      <c r="F52" s="333">
        <v>108364.563694479</v>
      </c>
    </row>
    <row r="53" spans="1:6">
      <c r="A53" s="1277" t="s">
        <v>44</v>
      </c>
      <c r="B53" s="1277" t="s">
        <v>45</v>
      </c>
      <c r="C53" s="333">
        <v>68</v>
      </c>
      <c r="D53" s="333">
        <v>1216251.53842469</v>
      </c>
      <c r="E53" s="333">
        <v>205</v>
      </c>
      <c r="F53" s="333">
        <v>1010232.91786879</v>
      </c>
    </row>
    <row r="54" spans="1:6">
      <c r="A54" s="1277" t="s">
        <v>46</v>
      </c>
      <c r="B54" s="1277" t="s">
        <v>47</v>
      </c>
      <c r="C54" s="333">
        <v>0</v>
      </c>
      <c r="D54" s="333">
        <v>0</v>
      </c>
      <c r="E54" s="333">
        <v>1</v>
      </c>
      <c r="F54" s="333">
        <v>1433284</v>
      </c>
    </row>
    <row r="55" spans="1:6">
      <c r="A55" s="1277" t="s">
        <v>46</v>
      </c>
      <c r="B55" s="1277" t="s">
        <v>29</v>
      </c>
      <c r="C55" s="333">
        <v>0</v>
      </c>
      <c r="D55" s="333">
        <v>0</v>
      </c>
      <c r="E55" s="333">
        <v>0</v>
      </c>
      <c r="F55" s="333">
        <v>0</v>
      </c>
    </row>
    <row r="56" spans="1:6">
      <c r="A56" s="1277" t="s">
        <v>48</v>
      </c>
      <c r="B56" s="1277" t="s">
        <v>29</v>
      </c>
      <c r="C56" s="333">
        <v>0</v>
      </c>
      <c r="D56" s="333">
        <v>0</v>
      </c>
      <c r="E56" s="333">
        <v>0</v>
      </c>
      <c r="F56" s="333">
        <v>0</v>
      </c>
    </row>
    <row r="57" spans="1:6">
      <c r="A57" s="1277" t="s">
        <v>49</v>
      </c>
      <c r="B57" s="1277" t="s">
        <v>50</v>
      </c>
      <c r="C57" s="333">
        <v>12</v>
      </c>
      <c r="D57" s="333">
        <v>316738.44629258401</v>
      </c>
      <c r="E57" s="333">
        <v>95</v>
      </c>
      <c r="F57" s="333">
        <v>1180228.0523494801</v>
      </c>
    </row>
    <row r="58" spans="1:6">
      <c r="A58" s="1277" t="s">
        <v>49</v>
      </c>
      <c r="B58" s="1277" t="s">
        <v>51</v>
      </c>
      <c r="C58" s="333">
        <v>0</v>
      </c>
      <c r="D58" s="333">
        <v>0</v>
      </c>
      <c r="E58" s="333">
        <v>18</v>
      </c>
      <c r="F58" s="333">
        <v>371390.965519013</v>
      </c>
    </row>
    <row r="59" spans="1:6">
      <c r="A59" s="1277" t="s">
        <v>49</v>
      </c>
      <c r="B59" s="1277" t="s">
        <v>52</v>
      </c>
      <c r="C59" s="333">
        <v>37</v>
      </c>
      <c r="D59" s="333">
        <v>1139774.1629047301</v>
      </c>
      <c r="E59" s="333">
        <v>127</v>
      </c>
      <c r="F59" s="333">
        <v>3728671.26124524</v>
      </c>
    </row>
    <row r="60" spans="1:6">
      <c r="A60" s="1277" t="s">
        <v>49</v>
      </c>
      <c r="B60" s="1277" t="s">
        <v>53</v>
      </c>
      <c r="C60" s="333">
        <v>17</v>
      </c>
      <c r="D60" s="333">
        <v>485026.039139784</v>
      </c>
      <c r="E60" s="333">
        <v>55</v>
      </c>
      <c r="F60" s="333">
        <v>1017726.01089616</v>
      </c>
    </row>
    <row r="61" spans="1:6">
      <c r="A61" s="1277" t="s">
        <v>49</v>
      </c>
      <c r="B61" s="1277" t="s">
        <v>54</v>
      </c>
      <c r="C61" s="333">
        <v>52</v>
      </c>
      <c r="D61" s="333">
        <v>3875173.9120105999</v>
      </c>
      <c r="E61" s="333">
        <v>147</v>
      </c>
      <c r="F61" s="333">
        <v>1594383.1310457699</v>
      </c>
    </row>
    <row r="62" spans="1:6">
      <c r="A62" s="1277" t="s">
        <v>49</v>
      </c>
      <c r="B62" s="1277" t="s">
        <v>55</v>
      </c>
      <c r="C62" s="333">
        <v>4</v>
      </c>
      <c r="D62" s="333">
        <v>274514.88534682803</v>
      </c>
      <c r="E62" s="333">
        <v>10</v>
      </c>
      <c r="F62" s="333">
        <v>248753.75527373</v>
      </c>
    </row>
    <row r="63" spans="1:6">
      <c r="A63" s="1277" t="s">
        <v>49</v>
      </c>
      <c r="B63" s="1277" t="s">
        <v>29</v>
      </c>
      <c r="C63" s="333">
        <v>79</v>
      </c>
      <c r="D63" s="333">
        <v>2235196.1540761301</v>
      </c>
      <c r="E63" s="333">
        <v>151</v>
      </c>
      <c r="F63" s="333">
        <v>2048222.18481917</v>
      </c>
    </row>
    <row r="64" spans="1:6">
      <c r="A64" s="1277" t="s">
        <v>56</v>
      </c>
      <c r="B64" s="1277" t="s">
        <v>57</v>
      </c>
      <c r="C64" s="333">
        <v>0</v>
      </c>
      <c r="D64" s="333">
        <v>0</v>
      </c>
      <c r="E64" s="333">
        <v>0</v>
      </c>
      <c r="F64" s="333">
        <v>0</v>
      </c>
    </row>
    <row r="65" spans="1:6">
      <c r="A65" s="1277" t="s">
        <v>56</v>
      </c>
      <c r="B65" s="1277" t="s">
        <v>29</v>
      </c>
      <c r="C65" s="333">
        <v>0</v>
      </c>
      <c r="D65" s="333">
        <v>0</v>
      </c>
      <c r="E65" s="333">
        <v>4</v>
      </c>
      <c r="F65" s="333">
        <v>97272.040086294495</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0</v>
      </c>
      <c r="D68" s="333">
        <v>0</v>
      </c>
      <c r="E68" s="333">
        <v>5</v>
      </c>
      <c r="F68" s="333">
        <v>69720.896515197397</v>
      </c>
    </row>
    <row r="69" spans="1:6" ht="15.75" thickBot="1">
      <c r="A69" s="337"/>
    </row>
    <row r="70" spans="1:6" ht="19.5">
      <c r="A70" s="1270" t="s">
        <v>61</v>
      </c>
      <c r="B70" s="334"/>
      <c r="C70" s="334" t="s">
        <v>962</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56248540</v>
      </c>
      <c r="E73" s="333">
        <v>62889025.724979915</v>
      </c>
      <c r="F73" s="333">
        <v>57804299</v>
      </c>
    </row>
    <row r="74" spans="1:6">
      <c r="A74" s="1277" t="s">
        <v>64</v>
      </c>
      <c r="B74" s="1277" t="s">
        <v>774</v>
      </c>
      <c r="C74" s="1288" t="s">
        <v>775</v>
      </c>
      <c r="D74" s="333">
        <v>5891983.7220355477</v>
      </c>
      <c r="E74" s="333">
        <v>6625297.7013071608</v>
      </c>
      <c r="F74" s="333">
        <v>6066945.9854459139</v>
      </c>
    </row>
    <row r="75" spans="1:6">
      <c r="A75" s="1277" t="s">
        <v>65</v>
      </c>
      <c r="B75" s="1277" t="s">
        <v>772</v>
      </c>
      <c r="C75" s="1288" t="s">
        <v>776</v>
      </c>
      <c r="D75" s="333">
        <v>28392008</v>
      </c>
      <c r="E75" s="333">
        <v>30735783.947697274</v>
      </c>
      <c r="F75" s="333">
        <v>28721588</v>
      </c>
    </row>
    <row r="76" spans="1:6">
      <c r="A76" s="1277" t="s">
        <v>65</v>
      </c>
      <c r="B76" s="1277" t="s">
        <v>774</v>
      </c>
      <c r="C76" s="1288" t="s">
        <v>777</v>
      </c>
      <c r="D76" s="333">
        <v>1063477.7220355475</v>
      </c>
      <c r="E76" s="333">
        <v>1189075.6243224654</v>
      </c>
      <c r="F76" s="333">
        <v>1086624.9854459134</v>
      </c>
    </row>
    <row r="77" spans="1:6">
      <c r="A77" s="1277" t="s">
        <v>66</v>
      </c>
      <c r="B77" s="1277" t="s">
        <v>772</v>
      </c>
      <c r="C77" s="1288" t="s">
        <v>778</v>
      </c>
      <c r="D77" s="333">
        <v>0</v>
      </c>
      <c r="E77" s="333">
        <v>0</v>
      </c>
      <c r="F77" s="333">
        <v>0</v>
      </c>
    </row>
    <row r="78" spans="1:6">
      <c r="A78" s="1273" t="s">
        <v>66</v>
      </c>
      <c r="B78" s="1273" t="s">
        <v>774</v>
      </c>
      <c r="C78" s="1273" t="s">
        <v>779</v>
      </c>
      <c r="D78" s="1273">
        <v>0</v>
      </c>
      <c r="E78" s="1273">
        <v>0</v>
      </c>
      <c r="F78" s="336">
        <v>0</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266810.55592890497</v>
      </c>
      <c r="C83" s="333">
        <v>243765.52632806424</v>
      </c>
      <c r="D83" s="333">
        <v>240254.02910817307</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963</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1583.5953293073073</v>
      </c>
    </row>
    <row r="92" spans="1:6">
      <c r="A92" s="1273" t="s">
        <v>69</v>
      </c>
      <c r="B92" s="336">
        <v>55.718035593164537</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1016</v>
      </c>
    </row>
    <row r="98" spans="1:6">
      <c r="A98" s="1277" t="s">
        <v>72</v>
      </c>
      <c r="B98" s="333">
        <v>1</v>
      </c>
    </row>
    <row r="99" spans="1:6">
      <c r="A99" s="1277" t="s">
        <v>73</v>
      </c>
      <c r="B99" s="333">
        <v>101</v>
      </c>
    </row>
    <row r="100" spans="1:6">
      <c r="A100" s="1277" t="s">
        <v>74</v>
      </c>
      <c r="B100" s="333">
        <v>581</v>
      </c>
    </row>
    <row r="101" spans="1:6">
      <c r="A101" s="1277" t="s">
        <v>75</v>
      </c>
      <c r="B101" s="333">
        <v>141</v>
      </c>
    </row>
    <row r="102" spans="1:6">
      <c r="A102" s="1277" t="s">
        <v>76</v>
      </c>
      <c r="B102" s="333">
        <v>117</v>
      </c>
    </row>
    <row r="103" spans="1:6">
      <c r="A103" s="1277" t="s">
        <v>77</v>
      </c>
      <c r="B103" s="333">
        <v>374</v>
      </c>
    </row>
    <row r="104" spans="1:6">
      <c r="A104" s="1277" t="s">
        <v>78</v>
      </c>
      <c r="B104" s="333">
        <v>4020</v>
      </c>
    </row>
    <row r="105" spans="1:6">
      <c r="A105" s="1273" t="s">
        <v>79</v>
      </c>
      <c r="B105" s="1273">
        <v>3</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0</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964</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9</v>
      </c>
      <c r="C123" s="333">
        <v>14</v>
      </c>
    </row>
    <row r="124" spans="1:6">
      <c r="A124" s="1273" t="s">
        <v>89</v>
      </c>
      <c r="B124" s="333">
        <v>0</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50</v>
      </c>
    </row>
    <row r="130" spans="1:6">
      <c r="A130" s="1277" t="s">
        <v>295</v>
      </c>
      <c r="B130" s="333">
        <v>0</v>
      </c>
    </row>
    <row r="131" spans="1:6">
      <c r="A131" s="1277" t="s">
        <v>296</v>
      </c>
      <c r="B131" s="333">
        <v>1</v>
      </c>
    </row>
    <row r="132" spans="1:6">
      <c r="A132" s="1273" t="s">
        <v>297</v>
      </c>
      <c r="B132" s="336">
        <v>6</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5" sqref="B5"/>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51202.370452074843</v>
      </c>
      <c r="C3" s="43" t="s">
        <v>170</v>
      </c>
      <c r="D3" s="43"/>
      <c r="E3" s="156"/>
      <c r="F3" s="43"/>
      <c r="G3" s="43"/>
      <c r="H3" s="43"/>
      <c r="I3" s="43"/>
      <c r="J3" s="43"/>
      <c r="K3" s="96"/>
    </row>
    <row r="4" spans="1:11">
      <c r="A4" s="364" t="s">
        <v>171</v>
      </c>
      <c r="B4" s="49">
        <f>IF(ISERROR('SEAP template'!B78+'SEAP template'!C78),0,'SEAP template'!B78+'SEAP template'!C78)</f>
        <v>1639.3133649004719</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0</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0.21392438513208864</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0</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0</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1433.2840000000001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1433.2840000000001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0.21392438513208864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306.61439841966057</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33075.976891349601</v>
      </c>
      <c r="C5" s="17">
        <f>IF(ISERROR('Eigen informatie GS &amp; warmtenet'!B57),0,'Eigen informatie GS &amp; warmtenet'!B57)</f>
        <v>0</v>
      </c>
      <c r="D5" s="30">
        <f>(SUM(HH_hh_gas_kWh,HH_rest_gas_kWh)/1000)*0.902</f>
        <v>36893.655791835263</v>
      </c>
      <c r="E5" s="17">
        <f>B46*B57</f>
        <v>4119.7347988609699</v>
      </c>
      <c r="F5" s="17">
        <f>B51*B62</f>
        <v>59732.396512521678</v>
      </c>
      <c r="G5" s="18"/>
      <c r="H5" s="17"/>
      <c r="I5" s="17"/>
      <c r="J5" s="17">
        <f>B50*B61+C50*C61</f>
        <v>6265.0329612862542</v>
      </c>
      <c r="K5" s="17"/>
      <c r="L5" s="17"/>
      <c r="M5" s="17"/>
      <c r="N5" s="17">
        <f>B48*B59+C48*C59</f>
        <v>16640.520240850547</v>
      </c>
      <c r="O5" s="17">
        <f>B69*B70*B71</f>
        <v>100.05333333333334</v>
      </c>
      <c r="P5" s="17">
        <f>B77*B78*B79/1000-B77*B78*B79/1000/B80</f>
        <v>286</v>
      </c>
    </row>
    <row r="6" spans="1:16">
      <c r="A6" s="16" t="s">
        <v>632</v>
      </c>
      <c r="B6" s="779">
        <f>kWh_PV_kleiner_dan_10kW</f>
        <v>1583.5953293073073</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34659.572220656912</v>
      </c>
      <c r="C8" s="21">
        <f>C5</f>
        <v>0</v>
      </c>
      <c r="D8" s="21">
        <f>D5</f>
        <v>36893.655791835263</v>
      </c>
      <c r="E8" s="21">
        <f>E5</f>
        <v>4119.7347988609699</v>
      </c>
      <c r="F8" s="21">
        <f>F5</f>
        <v>59732.396512521678</v>
      </c>
      <c r="G8" s="21"/>
      <c r="H8" s="21"/>
      <c r="I8" s="21"/>
      <c r="J8" s="21">
        <f>J5</f>
        <v>6265.0329612862542</v>
      </c>
      <c r="K8" s="21"/>
      <c r="L8" s="21">
        <f>L5</f>
        <v>0</v>
      </c>
      <c r="M8" s="21">
        <f>M5</f>
        <v>0</v>
      </c>
      <c r="N8" s="21">
        <f>N5</f>
        <v>16640.520240850547</v>
      </c>
      <c r="O8" s="21">
        <f>O5</f>
        <v>100.05333333333334</v>
      </c>
      <c r="P8" s="21">
        <f>P5</f>
        <v>286</v>
      </c>
    </row>
    <row r="9" spans="1:16">
      <c r="B9" s="19"/>
      <c r="C9" s="19"/>
      <c r="D9" s="260"/>
      <c r="E9" s="19"/>
      <c r="F9" s="19"/>
      <c r="G9" s="19"/>
      <c r="H9" s="19"/>
      <c r="I9" s="19"/>
      <c r="J9" s="19"/>
      <c r="K9" s="19"/>
      <c r="L9" s="19"/>
      <c r="M9" s="19"/>
      <c r="N9" s="19"/>
      <c r="O9" s="19"/>
      <c r="P9" s="19"/>
    </row>
    <row r="10" spans="1:16">
      <c r="A10" s="24" t="s">
        <v>214</v>
      </c>
      <c r="B10" s="25">
        <f ca="1">'EF ele_warmte'!B12</f>
        <v>0.21392438513208864</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7414.5276762452495</v>
      </c>
      <c r="C12" s="23">
        <f ca="1">C10*C8</f>
        <v>0</v>
      </c>
      <c r="D12" s="23">
        <f>D8*D10</f>
        <v>7452.5184699507236</v>
      </c>
      <c r="E12" s="23">
        <f>E10*E8</f>
        <v>935.17979934144023</v>
      </c>
      <c r="F12" s="23">
        <f>F10*F8</f>
        <v>15948.549868843289</v>
      </c>
      <c r="G12" s="23"/>
      <c r="H12" s="23"/>
      <c r="I12" s="23"/>
      <c r="J12" s="23">
        <f>J10*J8</f>
        <v>2217.8216682953339</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1016</v>
      </c>
      <c r="C18" s="167" t="s">
        <v>111</v>
      </c>
      <c r="D18" s="229"/>
      <c r="E18" s="15"/>
    </row>
    <row r="19" spans="1:7">
      <c r="A19" s="172" t="s">
        <v>72</v>
      </c>
      <c r="B19" s="37">
        <f>aantalw2001_ander</f>
        <v>1</v>
      </c>
      <c r="C19" s="167" t="s">
        <v>111</v>
      </c>
      <c r="D19" s="230"/>
      <c r="E19" s="15"/>
    </row>
    <row r="20" spans="1:7">
      <c r="A20" s="172" t="s">
        <v>73</v>
      </c>
      <c r="B20" s="37">
        <f>aantalw2001_propaan</f>
        <v>101</v>
      </c>
      <c r="C20" s="168">
        <f>IF(ISERROR(B20/SUM($B$20,$B$21,$B$22)*100),0,B20/SUM($B$20,$B$21,$B$22)*100)</f>
        <v>12.272174969623331</v>
      </c>
      <c r="D20" s="230"/>
      <c r="E20" s="15"/>
    </row>
    <row r="21" spans="1:7">
      <c r="A21" s="172" t="s">
        <v>74</v>
      </c>
      <c r="B21" s="37">
        <f>aantalw2001_elektriciteit</f>
        <v>581</v>
      </c>
      <c r="C21" s="168">
        <f>IF(ISERROR(B21/SUM($B$20,$B$21,$B$22)*100),0,B21/SUM($B$20,$B$21,$B$22)*100)</f>
        <v>70.59538274605103</v>
      </c>
      <c r="D21" s="230"/>
      <c r="E21" s="15"/>
    </row>
    <row r="22" spans="1:7">
      <c r="A22" s="172" t="s">
        <v>75</v>
      </c>
      <c r="B22" s="37">
        <f>aantalw2001_hout</f>
        <v>141</v>
      </c>
      <c r="C22" s="168">
        <f>IF(ISERROR(B22/SUM($B$20,$B$21,$B$22)*100),0,B22/SUM($B$20,$B$21,$B$22)*100)</f>
        <v>17.132442284325638</v>
      </c>
      <c r="D22" s="230"/>
      <c r="E22" s="15"/>
    </row>
    <row r="23" spans="1:7">
      <c r="A23" s="172" t="s">
        <v>76</v>
      </c>
      <c r="B23" s="37">
        <f>aantalw2001_niet_gespec</f>
        <v>117</v>
      </c>
      <c r="C23" s="167" t="s">
        <v>111</v>
      </c>
      <c r="D23" s="229"/>
      <c r="E23" s="15"/>
    </row>
    <row r="24" spans="1:7">
      <c r="A24" s="172" t="s">
        <v>77</v>
      </c>
      <c r="B24" s="37">
        <f>aantalw2001_steenkool</f>
        <v>374</v>
      </c>
      <c r="C24" s="167" t="s">
        <v>111</v>
      </c>
      <c r="D24" s="230"/>
      <c r="E24" s="15"/>
    </row>
    <row r="25" spans="1:7">
      <c r="A25" s="172" t="s">
        <v>78</v>
      </c>
      <c r="B25" s="37">
        <f>aantalw2001_stookolie</f>
        <v>4020</v>
      </c>
      <c r="C25" s="167" t="s">
        <v>111</v>
      </c>
      <c r="D25" s="229"/>
      <c r="E25" s="52"/>
    </row>
    <row r="26" spans="1:7">
      <c r="A26" s="172" t="s">
        <v>79</v>
      </c>
      <c r="B26" s="37">
        <f>aantalw2001_WP</f>
        <v>3</v>
      </c>
      <c r="C26" s="167" t="s">
        <v>111</v>
      </c>
      <c r="D26" s="229"/>
      <c r="E26" s="15"/>
    </row>
    <row r="27" spans="1:7" s="15" customFormat="1">
      <c r="A27" s="172"/>
      <c r="B27" s="29"/>
      <c r="C27" s="36"/>
      <c r="D27" s="229"/>
    </row>
    <row r="28" spans="1:7" s="15" customFormat="1">
      <c r="A28" s="231" t="s">
        <v>712</v>
      </c>
      <c r="B28" s="37">
        <f>aantalHuishoudens2011</f>
        <v>7057</v>
      </c>
      <c r="C28" s="36"/>
      <c r="D28" s="229"/>
    </row>
    <row r="29" spans="1:7" s="15" customFormat="1">
      <c r="A29" s="231" t="s">
        <v>713</v>
      </c>
      <c r="B29" s="37">
        <f>SUM(HH_hh_gas_aantal,HH_rest_gas_aantal)</f>
        <v>2572</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2572</v>
      </c>
      <c r="C32" s="168">
        <f>IF(ISERROR(B32/SUM($B$32,$B$34,$B$35,$B$36,$B$38,$B$39)*100),0,B32/SUM($B$32,$B$34,$B$35,$B$36,$B$38,$B$39)*100)</f>
        <v>36.523714853734731</v>
      </c>
      <c r="D32" s="234"/>
      <c r="G32" s="15"/>
    </row>
    <row r="33" spans="1:7">
      <c r="A33" s="172" t="s">
        <v>72</v>
      </c>
      <c r="B33" s="34" t="s">
        <v>111</v>
      </c>
      <c r="C33" s="168"/>
      <c r="D33" s="234"/>
      <c r="G33" s="15"/>
    </row>
    <row r="34" spans="1:7">
      <c r="A34" s="172" t="s">
        <v>73</v>
      </c>
      <c r="B34" s="33">
        <f>IF((($B$28-$B$32-$B$39-$B$77-$B$38)*C20/100)&lt;0,0,($B$28-$B$32-$B$39-$B$77-$B$38)*C20/100)</f>
        <v>200.28189550425276</v>
      </c>
      <c r="C34" s="168">
        <f>IF(ISERROR(B34/SUM($B$32,$B$34,$B$35,$B$36,$B$38,$B$39)*100),0,B34/SUM($B$32,$B$34,$B$35,$B$36,$B$38,$B$39)*100)</f>
        <v>2.8441053039513315</v>
      </c>
      <c r="D34" s="234"/>
      <c r="G34" s="15"/>
    </row>
    <row r="35" spans="1:7">
      <c r="A35" s="172" t="s">
        <v>74</v>
      </c>
      <c r="B35" s="33">
        <f>IF((($B$28-$B$32-$B$39-$B$77-$B$38)*C21/100)&lt;0,0,($B$28-$B$32-$B$39-$B$77-$B$38)*C21/100)</f>
        <v>1152.1166464155529</v>
      </c>
      <c r="C35" s="168">
        <f>IF(ISERROR(B35/SUM($B$32,$B$34,$B$35,$B$36,$B$38,$B$39)*100),0,B35/SUM($B$32,$B$34,$B$35,$B$36,$B$38,$B$39)*100)</f>
        <v>16.360645362333894</v>
      </c>
      <c r="D35" s="234"/>
      <c r="G35" s="15"/>
    </row>
    <row r="36" spans="1:7">
      <c r="A36" s="172" t="s">
        <v>75</v>
      </c>
      <c r="B36" s="33">
        <f>IF((($B$28-$B$32-$B$39-$B$77-$B$38)*C22/100)&lt;0,0,($B$28-$B$32-$B$39-$B$77-$B$38)*C22/100)</f>
        <v>279.60145808019445</v>
      </c>
      <c r="C36" s="168">
        <f>IF(ISERROR(B36/SUM($B$32,$B$34,$B$35,$B$36,$B$38,$B$39)*100),0,B36/SUM($B$32,$B$34,$B$35,$B$36,$B$38,$B$39)*100)</f>
        <v>3.9704836421498788</v>
      </c>
      <c r="D36" s="234"/>
      <c r="G36" s="15"/>
    </row>
    <row r="37" spans="1:7">
      <c r="A37" s="172" t="s">
        <v>76</v>
      </c>
      <c r="B37" s="34" t="s">
        <v>111</v>
      </c>
      <c r="C37" s="168"/>
      <c r="D37" s="174"/>
      <c r="G37" s="15"/>
    </row>
    <row r="38" spans="1:7">
      <c r="A38" s="172" t="s">
        <v>77</v>
      </c>
      <c r="B38" s="33">
        <f>IF((B24-(B29-B18)*0.1)&lt;0,0,B24-(B29-B18)*0.1)</f>
        <v>218.39999999999998</v>
      </c>
      <c r="C38" s="168">
        <f>IF(ISERROR(B38/SUM($B$32,$B$34,$B$35,$B$36,$B$38,$B$39)*100),0,B38/SUM($B$32,$B$34,$B$35,$B$36,$B$38,$B$39)*100)</f>
        <v>3.1013916500994032</v>
      </c>
      <c r="D38" s="235"/>
      <c r="G38" s="15"/>
    </row>
    <row r="39" spans="1:7">
      <c r="A39" s="172" t="s">
        <v>78</v>
      </c>
      <c r="B39" s="33">
        <f>IF((B25-(B29-B18))&lt;0,0,B25-(B29-B18)*0.9)</f>
        <v>2619.6</v>
      </c>
      <c r="C39" s="168">
        <f>IF(ISERROR(B39/SUM($B$32,$B$34,$B$35,$B$36,$B$38,$B$39)*100),0,B39/SUM($B$32,$B$34,$B$35,$B$36,$B$38,$B$39)*100)</f>
        <v>37.199659187730752</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2572</v>
      </c>
      <c r="C44" s="34" t="s">
        <v>111</v>
      </c>
      <c r="D44" s="175"/>
    </row>
    <row r="45" spans="1:7">
      <c r="A45" s="172" t="s">
        <v>72</v>
      </c>
      <c r="B45" s="33" t="str">
        <f t="shared" si="0"/>
        <v>-</v>
      </c>
      <c r="C45" s="34" t="s">
        <v>111</v>
      </c>
      <c r="D45" s="175"/>
    </row>
    <row r="46" spans="1:7">
      <c r="A46" s="172" t="s">
        <v>73</v>
      </c>
      <c r="B46" s="33">
        <f t="shared" si="0"/>
        <v>200.28189550425276</v>
      </c>
      <c r="C46" s="34" t="s">
        <v>111</v>
      </c>
      <c r="D46" s="175"/>
    </row>
    <row r="47" spans="1:7">
      <c r="A47" s="172" t="s">
        <v>74</v>
      </c>
      <c r="B47" s="33">
        <f t="shared" si="0"/>
        <v>1152.1166464155529</v>
      </c>
      <c r="C47" s="34" t="s">
        <v>111</v>
      </c>
      <c r="D47" s="175"/>
    </row>
    <row r="48" spans="1:7">
      <c r="A48" s="172" t="s">
        <v>75</v>
      </c>
      <c r="B48" s="33">
        <f t="shared" si="0"/>
        <v>279.60145808019445</v>
      </c>
      <c r="C48" s="33">
        <f>B48*10</f>
        <v>2796.0145808019442</v>
      </c>
      <c r="D48" s="235"/>
    </row>
    <row r="49" spans="1:6">
      <c r="A49" s="172" t="s">
        <v>76</v>
      </c>
      <c r="B49" s="33" t="str">
        <f t="shared" si="0"/>
        <v>-</v>
      </c>
      <c r="C49" s="34" t="s">
        <v>111</v>
      </c>
      <c r="D49" s="235"/>
    </row>
    <row r="50" spans="1:6">
      <c r="A50" s="172" t="s">
        <v>77</v>
      </c>
      <c r="B50" s="33">
        <f t="shared" si="0"/>
        <v>218.39999999999998</v>
      </c>
      <c r="C50" s="33">
        <f>B50*2</f>
        <v>436.79999999999995</v>
      </c>
      <c r="D50" s="235"/>
    </row>
    <row r="51" spans="1:6">
      <c r="A51" s="172" t="s">
        <v>78</v>
      </c>
      <c r="B51" s="33">
        <f t="shared" si="0"/>
        <v>2619.6</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64</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15</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10189.375361148563</v>
      </c>
      <c r="C5" s="17">
        <f>IF(ISERROR('Eigen informatie GS &amp; warmtenet'!B58),0,'Eigen informatie GS &amp; warmtenet'!B58)</f>
        <v>0</v>
      </c>
      <c r="D5" s="30">
        <f>SUM(D6:D12)</f>
        <v>7510.4340869931311</v>
      </c>
      <c r="E5" s="17">
        <f>SUM(E6:E12)</f>
        <v>183.83211308535198</v>
      </c>
      <c r="F5" s="17">
        <f>SUM(F6:F12)</f>
        <v>1982.4650553915203</v>
      </c>
      <c r="G5" s="18"/>
      <c r="H5" s="17"/>
      <c r="I5" s="17"/>
      <c r="J5" s="17">
        <f>SUM(J6:J12)</f>
        <v>0</v>
      </c>
      <c r="K5" s="17"/>
      <c r="L5" s="17"/>
      <c r="M5" s="17"/>
      <c r="N5" s="17">
        <f>SUM(N6:N12)</f>
        <v>348.12112637527969</v>
      </c>
      <c r="O5" s="17">
        <f>B38*B39*B40</f>
        <v>0</v>
      </c>
      <c r="P5" s="17">
        <f>B46*B47*B48/1000-B46*B47*B48/1000/B49</f>
        <v>19.066666666666666</v>
      </c>
      <c r="R5" s="32"/>
    </row>
    <row r="6" spans="1:18">
      <c r="A6" s="32" t="s">
        <v>54</v>
      </c>
      <c r="B6" s="37">
        <f>B26</f>
        <v>1594.3831310457699</v>
      </c>
      <c r="C6" s="33"/>
      <c r="D6" s="37">
        <f>IF(ISERROR(TER_kantoor_gas_kWh/1000),0,TER_kantoor_gas_kWh/1000)*0.902</f>
        <v>3495.4068686335613</v>
      </c>
      <c r="E6" s="33">
        <f>$C$26*'E Balans VL '!I12/100/3.6*1000000</f>
        <v>55.809681485878983</v>
      </c>
      <c r="F6" s="33">
        <f>$C$26*('E Balans VL '!L12+'E Balans VL '!N12)/100/3.6*1000000</f>
        <v>241.74271373692849</v>
      </c>
      <c r="G6" s="34"/>
      <c r="H6" s="33"/>
      <c r="I6" s="33"/>
      <c r="J6" s="33">
        <f>$C$26*('E Balans VL '!D12+'E Balans VL '!E12)/100/3.6*1000000</f>
        <v>0</v>
      </c>
      <c r="K6" s="33"/>
      <c r="L6" s="33"/>
      <c r="M6" s="33"/>
      <c r="N6" s="33">
        <f>$C$26*'E Balans VL '!Y12/100/3.6*1000000</f>
        <v>12.324082574797655</v>
      </c>
      <c r="O6" s="33"/>
      <c r="P6" s="33"/>
      <c r="R6" s="32"/>
    </row>
    <row r="7" spans="1:18">
      <c r="A7" s="32" t="s">
        <v>53</v>
      </c>
      <c r="B7" s="37">
        <f t="shared" ref="B7:B12" si="0">B27</f>
        <v>1017.72601089616</v>
      </c>
      <c r="C7" s="33"/>
      <c r="D7" s="37">
        <f>IF(ISERROR(TER_horeca_gas_kWh/1000),0,TER_horeca_gas_kWh/1000)*0.902</f>
        <v>437.49348730408519</v>
      </c>
      <c r="E7" s="33">
        <f>$C$27*'E Balans VL '!I9/100/3.6*1000000</f>
        <v>57.413279474775848</v>
      </c>
      <c r="F7" s="33">
        <f>$C$27*('E Balans VL '!L9+'E Balans VL '!N9)/100/3.6*1000000</f>
        <v>177.29350326616901</v>
      </c>
      <c r="G7" s="34"/>
      <c r="H7" s="33"/>
      <c r="I7" s="33"/>
      <c r="J7" s="33">
        <f>$C$27*('E Balans VL '!D9+'E Balans VL '!E9)/100/3.6*1000000</f>
        <v>0</v>
      </c>
      <c r="K7" s="33"/>
      <c r="L7" s="33"/>
      <c r="M7" s="33"/>
      <c r="N7" s="33">
        <f>$C$27*'E Balans VL '!Y9/100/3.6*1000000</f>
        <v>0</v>
      </c>
      <c r="O7" s="33"/>
      <c r="P7" s="33"/>
      <c r="R7" s="32"/>
    </row>
    <row r="8" spans="1:18">
      <c r="A8" s="6" t="s">
        <v>52</v>
      </c>
      <c r="B8" s="37">
        <f t="shared" si="0"/>
        <v>3728.6712612452402</v>
      </c>
      <c r="C8" s="33"/>
      <c r="D8" s="37">
        <f>IF(ISERROR(TER_handel_gas_kWh/1000),0,TER_handel_gas_kWh/1000)*0.902</f>
        <v>1028.0762949400664</v>
      </c>
      <c r="E8" s="33">
        <f>$C$28*'E Balans VL '!I13/100/3.6*1000000</f>
        <v>19.142619427727194</v>
      </c>
      <c r="F8" s="33">
        <f>$C$28*('E Balans VL '!L13+'E Balans VL '!N13)/100/3.6*1000000</f>
        <v>574.90349459870629</v>
      </c>
      <c r="G8" s="34"/>
      <c r="H8" s="33"/>
      <c r="I8" s="33"/>
      <c r="J8" s="33">
        <f>$C$28*('E Balans VL '!D13+'E Balans VL '!E13)/100/3.6*1000000</f>
        <v>0</v>
      </c>
      <c r="K8" s="33"/>
      <c r="L8" s="33"/>
      <c r="M8" s="33"/>
      <c r="N8" s="33">
        <f>$C$28*'E Balans VL '!Y13/100/3.6*1000000</f>
        <v>1.7439450634435725</v>
      </c>
      <c r="O8" s="33"/>
      <c r="P8" s="33"/>
      <c r="R8" s="32"/>
    </row>
    <row r="9" spans="1:18">
      <c r="A9" s="32" t="s">
        <v>51</v>
      </c>
      <c r="B9" s="37">
        <f t="shared" si="0"/>
        <v>371.39096551901298</v>
      </c>
      <c r="C9" s="33"/>
      <c r="D9" s="37">
        <f>IF(ISERROR(TER_gezond_gas_kWh/1000),0,TER_gezond_gas_kWh/1000)*0.902</f>
        <v>0</v>
      </c>
      <c r="E9" s="33">
        <f>$C$29*'E Balans VL '!I10/100/3.6*1000000</f>
        <v>0.15393891025596898</v>
      </c>
      <c r="F9" s="33">
        <f>$C$29*('E Balans VL '!L10+'E Balans VL '!N10)/100/3.6*1000000</f>
        <v>91.468268350377798</v>
      </c>
      <c r="G9" s="34"/>
      <c r="H9" s="33"/>
      <c r="I9" s="33"/>
      <c r="J9" s="33">
        <f>$C$29*('E Balans VL '!D10+'E Balans VL '!E10)/100/3.6*1000000</f>
        <v>0</v>
      </c>
      <c r="K9" s="33"/>
      <c r="L9" s="33"/>
      <c r="M9" s="33"/>
      <c r="N9" s="33">
        <f>$C$29*'E Balans VL '!Y10/100/3.6*1000000</f>
        <v>3.2097371811915694</v>
      </c>
      <c r="O9" s="33"/>
      <c r="P9" s="33"/>
      <c r="R9" s="32"/>
    </row>
    <row r="10" spans="1:18">
      <c r="A10" s="32" t="s">
        <v>50</v>
      </c>
      <c r="B10" s="37">
        <f t="shared" si="0"/>
        <v>1180.2280523494801</v>
      </c>
      <c r="C10" s="33"/>
      <c r="D10" s="37">
        <f>IF(ISERROR(TER_ander_gas_kWh/1000),0,TER_ander_gas_kWh/1000)*0.902</f>
        <v>285.6980785559108</v>
      </c>
      <c r="E10" s="33">
        <f>$C$30*'E Balans VL '!I14/100/3.6*1000000</f>
        <v>7.1946993265320902</v>
      </c>
      <c r="F10" s="33">
        <f>$C$30*('E Balans VL '!L14+'E Balans VL '!N14)/100/3.6*1000000</f>
        <v>312.89462396822887</v>
      </c>
      <c r="G10" s="34"/>
      <c r="H10" s="33"/>
      <c r="I10" s="33"/>
      <c r="J10" s="33">
        <f>$C$30*('E Balans VL '!D14+'E Balans VL '!E14)/100/3.6*1000000</f>
        <v>0</v>
      </c>
      <c r="K10" s="33"/>
      <c r="L10" s="33"/>
      <c r="M10" s="33"/>
      <c r="N10" s="33">
        <f>$C$30*'E Balans VL '!Y14/100/3.6*1000000</f>
        <v>272.01706321546129</v>
      </c>
      <c r="O10" s="33"/>
      <c r="P10" s="33"/>
      <c r="R10" s="32"/>
    </row>
    <row r="11" spans="1:18">
      <c r="A11" s="32" t="s">
        <v>55</v>
      </c>
      <c r="B11" s="37">
        <f t="shared" si="0"/>
        <v>248.75375527373001</v>
      </c>
      <c r="C11" s="33"/>
      <c r="D11" s="37">
        <f>IF(ISERROR(TER_onderwijs_gas_kWh/1000),0,TER_onderwijs_gas_kWh/1000)*0.902</f>
        <v>247.61242658283888</v>
      </c>
      <c r="E11" s="33">
        <f>$C$31*'E Balans VL '!I11/100/3.6*1000000</f>
        <v>0.18956331426345652</v>
      </c>
      <c r="F11" s="33">
        <f>$C$31*('E Balans VL '!L11+'E Balans VL '!N11)/100/3.6*1000000</f>
        <v>180.0118495890693</v>
      </c>
      <c r="G11" s="34"/>
      <c r="H11" s="33"/>
      <c r="I11" s="33"/>
      <c r="J11" s="33">
        <f>$C$31*('E Balans VL '!D11+'E Balans VL '!E11)/100/3.6*1000000</f>
        <v>0</v>
      </c>
      <c r="K11" s="33"/>
      <c r="L11" s="33"/>
      <c r="M11" s="33"/>
      <c r="N11" s="33">
        <f>$C$31*'E Balans VL '!Y11/100/3.6*1000000</f>
        <v>0.73313676785587756</v>
      </c>
      <c r="O11" s="33"/>
      <c r="P11" s="33"/>
      <c r="R11" s="32"/>
    </row>
    <row r="12" spans="1:18">
      <c r="A12" s="32" t="s">
        <v>260</v>
      </c>
      <c r="B12" s="37">
        <f t="shared" si="0"/>
        <v>2048.2221848191703</v>
      </c>
      <c r="C12" s="33"/>
      <c r="D12" s="37">
        <f>IF(ISERROR(TER_rest_gas_kWh/1000),0,TER_rest_gas_kWh/1000)*0.902</f>
        <v>2016.1469309766692</v>
      </c>
      <c r="E12" s="33">
        <f>$C$32*'E Balans VL '!I8/100/3.6*1000000</f>
        <v>43.928331145918449</v>
      </c>
      <c r="F12" s="33">
        <f>$C$32*('E Balans VL '!L8+'E Balans VL '!N8)/100/3.6*1000000</f>
        <v>404.15060188204075</v>
      </c>
      <c r="G12" s="34"/>
      <c r="H12" s="33"/>
      <c r="I12" s="33"/>
      <c r="J12" s="33">
        <f>$C$32*('E Balans VL '!D8+'E Balans VL '!E8)/100/3.6*1000000</f>
        <v>0</v>
      </c>
      <c r="K12" s="33"/>
      <c r="L12" s="33"/>
      <c r="M12" s="33"/>
      <c r="N12" s="33">
        <f>$C$32*'E Balans VL '!Y8/100/3.6*1000000</f>
        <v>58.093161572529766</v>
      </c>
      <c r="O12" s="33"/>
      <c r="P12" s="33"/>
      <c r="R12" s="32"/>
    </row>
    <row r="13" spans="1:18">
      <c r="A13" s="16" t="s">
        <v>496</v>
      </c>
      <c r="B13" s="248">
        <f ca="1">'lokale energieproductie'!N91+'lokale energieproductie'!N60</f>
        <v>0</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10189.375361148563</v>
      </c>
      <c r="C16" s="21">
        <f ca="1">C5+C13+C14</f>
        <v>0</v>
      </c>
      <c r="D16" s="21">
        <f t="shared" ref="D16:N16" ca="1" si="1">MAX((D5+D13+D14),0)</f>
        <v>7510.4340869931311</v>
      </c>
      <c r="E16" s="21">
        <f t="shared" si="1"/>
        <v>183.83211308535198</v>
      </c>
      <c r="F16" s="21">
        <f t="shared" ca="1" si="1"/>
        <v>1982.4650553915203</v>
      </c>
      <c r="G16" s="21">
        <f t="shared" si="1"/>
        <v>0</v>
      </c>
      <c r="H16" s="21">
        <f t="shared" si="1"/>
        <v>0</v>
      </c>
      <c r="I16" s="21">
        <f t="shared" si="1"/>
        <v>0</v>
      </c>
      <c r="J16" s="21">
        <f t="shared" si="1"/>
        <v>0</v>
      </c>
      <c r="K16" s="21">
        <f t="shared" si="1"/>
        <v>0</v>
      </c>
      <c r="L16" s="21">
        <f t="shared" ca="1" si="1"/>
        <v>0</v>
      </c>
      <c r="M16" s="21">
        <f t="shared" si="1"/>
        <v>0</v>
      </c>
      <c r="N16" s="21">
        <f t="shared" ca="1" si="1"/>
        <v>348.12112637527969</v>
      </c>
      <c r="O16" s="21">
        <f>O5</f>
        <v>0</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0.21392438513208864</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2179.7558590137601</v>
      </c>
      <c r="C20" s="23">
        <f t="shared" ref="C20:P20" ca="1" si="2">C16*C18</f>
        <v>0</v>
      </c>
      <c r="D20" s="23">
        <f t="shared" ca="1" si="2"/>
        <v>1517.1076855726126</v>
      </c>
      <c r="E20" s="23">
        <f t="shared" si="2"/>
        <v>41.729889670374902</v>
      </c>
      <c r="F20" s="23">
        <f t="shared" ca="1" si="2"/>
        <v>529.318169789536</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1594.3831310457699</v>
      </c>
      <c r="C26" s="39">
        <f>IF(ISERROR(B26*3.6/1000000/'E Balans VL '!Z12*100),0,B26*3.6/1000000/'E Balans VL '!Z12*100)</f>
        <v>3.3551148907462081E-2</v>
      </c>
      <c r="D26" s="238" t="s">
        <v>719</v>
      </c>
      <c r="F26" s="6"/>
    </row>
    <row r="27" spans="1:18">
      <c r="A27" s="232" t="s">
        <v>53</v>
      </c>
      <c r="B27" s="33">
        <f>IF(ISERROR(TER_horeca_ele_kWh/1000),0,TER_horeca_ele_kWh/1000)</f>
        <v>1017.72601089616</v>
      </c>
      <c r="C27" s="39">
        <f>IF(ISERROR(B27*3.6/1000000/'E Balans VL '!Z9*100),0,B27*3.6/1000000/'E Balans VL '!Z9*100)</f>
        <v>8.6168001558970642E-2</v>
      </c>
      <c r="D27" s="238" t="s">
        <v>719</v>
      </c>
      <c r="F27" s="6"/>
    </row>
    <row r="28" spans="1:18">
      <c r="A28" s="172" t="s">
        <v>52</v>
      </c>
      <c r="B28" s="33">
        <f>IF(ISERROR(TER_handel_ele_kWh/1000),0,TER_handel_ele_kWh/1000)</f>
        <v>3728.6712612452402</v>
      </c>
      <c r="C28" s="39">
        <f>IF(ISERROR(B28*3.6/1000000/'E Balans VL '!Z13*100),0,B28*3.6/1000000/'E Balans VL '!Z13*100)</f>
        <v>0.1032277482704707</v>
      </c>
      <c r="D28" s="238" t="s">
        <v>719</v>
      </c>
      <c r="F28" s="6"/>
    </row>
    <row r="29" spans="1:18">
      <c r="A29" s="232" t="s">
        <v>51</v>
      </c>
      <c r="B29" s="33">
        <f>IF(ISERROR(TER_gezond_ele_kWh/1000),0,TER_gezond_ele_kWh/1000)</f>
        <v>371.39096551901298</v>
      </c>
      <c r="C29" s="39">
        <f>IF(ISERROR(B29*3.6/1000000/'E Balans VL '!Z10*100),0,B29*3.6/1000000/'E Balans VL '!Z10*100)</f>
        <v>4.8276708168578354E-2</v>
      </c>
      <c r="D29" s="238" t="s">
        <v>719</v>
      </c>
      <c r="F29" s="6"/>
    </row>
    <row r="30" spans="1:18">
      <c r="A30" s="232" t="s">
        <v>50</v>
      </c>
      <c r="B30" s="33">
        <f>IF(ISERROR(TER_ander_ele_kWh/1000),0,TER_ander_ele_kWh/1000)</f>
        <v>1180.2280523494801</v>
      </c>
      <c r="C30" s="39">
        <f>IF(ISERROR(B30*3.6/1000000/'E Balans VL '!Z14*100),0,B30*3.6/1000000/'E Balans VL '!Z14*100)</f>
        <v>9.1478497575144313E-2</v>
      </c>
      <c r="D30" s="238" t="s">
        <v>719</v>
      </c>
      <c r="F30" s="6"/>
    </row>
    <row r="31" spans="1:18">
      <c r="A31" s="232" t="s">
        <v>55</v>
      </c>
      <c r="B31" s="33">
        <f>IF(ISERROR(TER_onderwijs_ele_kWh/1000),0,TER_onderwijs_ele_kWh/1000)</f>
        <v>248.75375527373001</v>
      </c>
      <c r="C31" s="39">
        <f>IF(ISERROR(B31*3.6/1000000/'E Balans VL '!Z11*100),0,B31*3.6/1000000/'E Balans VL '!Z11*100)</f>
        <v>4.759083205815498E-2</v>
      </c>
      <c r="D31" s="238" t="s">
        <v>719</v>
      </c>
    </row>
    <row r="32" spans="1:18">
      <c r="A32" s="232" t="s">
        <v>260</v>
      </c>
      <c r="B32" s="33">
        <f>IF(ISERROR(TER_rest_ele_kWh/1000),0,TER_rest_ele_kWh/1000)</f>
        <v>2048.2221848191703</v>
      </c>
      <c r="C32" s="39">
        <f>IF(ISERROR(B32*3.6/1000000/'E Balans VL '!Z8*100),0,B32*3.6/1000000/'E Balans VL '!Z8*100)</f>
        <v>1.6889164775526766E-2</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0</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1</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2754.2407274383904</v>
      </c>
      <c r="C5" s="17">
        <f>IF(ISERROR('Eigen informatie GS &amp; warmtenet'!B59),0,'Eigen informatie GS &amp; warmtenet'!B59)</f>
        <v>0</v>
      </c>
      <c r="D5" s="30">
        <f>SUM(D6:D15)</f>
        <v>1373.8545243381527</v>
      </c>
      <c r="E5" s="17">
        <f>SUM(E6:E15)</f>
        <v>31.42969193542865</v>
      </c>
      <c r="F5" s="17">
        <f>SUM(F6:F15)</f>
        <v>950.9684176716903</v>
      </c>
      <c r="G5" s="18"/>
      <c r="H5" s="17"/>
      <c r="I5" s="17"/>
      <c r="J5" s="17">
        <f>SUM(J6:J15)</f>
        <v>12.773966012578544</v>
      </c>
      <c r="K5" s="17"/>
      <c r="L5" s="17"/>
      <c r="M5" s="17"/>
      <c r="N5" s="17">
        <f>SUM(N6:N15)</f>
        <v>87.261691209808973</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39.068130426021106</v>
      </c>
      <c r="C8" s="33"/>
      <c r="D8" s="37">
        <f>IF( ISERROR(IND_metaal_Gas_kWH/1000),0,IND_metaal_Gas_kWH/1000)*0.902</f>
        <v>0</v>
      </c>
      <c r="E8" s="33">
        <f>C30*'E Balans VL '!I18/100/3.6*1000000</f>
        <v>0.27452313251167693</v>
      </c>
      <c r="F8" s="33">
        <f>C30*'E Balans VL '!L18/100/3.6*1000000+C30*'E Balans VL '!N18/100/3.6*1000000</f>
        <v>4.2894521497162099</v>
      </c>
      <c r="G8" s="34"/>
      <c r="H8" s="33"/>
      <c r="I8" s="33"/>
      <c r="J8" s="40">
        <f>C30*'E Balans VL '!D18/100/3.6*1000000+C30*'E Balans VL '!E18/100/3.6*1000000</f>
        <v>0.80605973781569906</v>
      </c>
      <c r="K8" s="33"/>
      <c r="L8" s="33"/>
      <c r="M8" s="33"/>
      <c r="N8" s="33">
        <f>C30*'E Balans VL '!Y18/100/3.6*1000000</f>
        <v>0.1464301665204624</v>
      </c>
      <c r="O8" s="33"/>
      <c r="P8" s="33"/>
      <c r="R8" s="32"/>
    </row>
    <row r="9" spans="1:18">
      <c r="A9" s="6" t="s">
        <v>33</v>
      </c>
      <c r="B9" s="37">
        <f t="shared" si="0"/>
        <v>723.70378073088693</v>
      </c>
      <c r="C9" s="33"/>
      <c r="D9" s="37">
        <f>IF( ISERROR(IND_andere_gas_kWh/1000),0,IND_andere_gas_kWh/1000)*0.902</f>
        <v>396.83916716187957</v>
      </c>
      <c r="E9" s="33">
        <f>C31*'E Balans VL '!I19/100/3.6*1000000</f>
        <v>12.155491562813101</v>
      </c>
      <c r="F9" s="33">
        <f>C31*'E Balans VL '!L19/100/3.6*1000000+C31*'E Balans VL '!N19/100/3.6*1000000</f>
        <v>565.75039668578643</v>
      </c>
      <c r="G9" s="34"/>
      <c r="H9" s="33"/>
      <c r="I9" s="33"/>
      <c r="J9" s="40">
        <f>C31*'E Balans VL '!D19/100/3.6*1000000+C31*'E Balans VL '!E19/100/3.6*1000000</f>
        <v>6.5271692610089985E-2</v>
      </c>
      <c r="K9" s="33"/>
      <c r="L9" s="33"/>
      <c r="M9" s="33"/>
      <c r="N9" s="33">
        <f>C31*'E Balans VL '!Y19/100/3.6*1000000</f>
        <v>53.638060957137</v>
      </c>
      <c r="O9" s="33"/>
      <c r="P9" s="33"/>
      <c r="R9" s="32"/>
    </row>
    <row r="10" spans="1:18">
      <c r="A10" s="6" t="s">
        <v>41</v>
      </c>
      <c r="B10" s="37">
        <f t="shared" si="0"/>
        <v>459.94334215861102</v>
      </c>
      <c r="C10" s="33"/>
      <c r="D10" s="37">
        <f>IF( ISERROR(IND_voed_gas_kWh/1000),0,IND_voed_gas_kWh/1000)*0.902</f>
        <v>455.16331709822492</v>
      </c>
      <c r="E10" s="33">
        <f>C32*'E Balans VL '!I20/100/3.6*1000000</f>
        <v>4.196331924408522</v>
      </c>
      <c r="F10" s="33">
        <f>C32*'E Balans VL '!L20/100/3.6*1000000+C32*'E Balans VL '!N20/100/3.6*1000000</f>
        <v>74.203247276017777</v>
      </c>
      <c r="G10" s="34"/>
      <c r="H10" s="33"/>
      <c r="I10" s="33"/>
      <c r="J10" s="40">
        <f>C32*'E Balans VL '!D20/100/3.6*1000000+C32*'E Balans VL '!E20/100/3.6*1000000</f>
        <v>1.8943482364609978</v>
      </c>
      <c r="K10" s="33"/>
      <c r="L10" s="33"/>
      <c r="M10" s="33"/>
      <c r="N10" s="33">
        <f>C32*'E Balans VL '!Y20/100/3.6*1000000</f>
        <v>6.728608420276311</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45.150483719221199</v>
      </c>
      <c r="C13" s="33"/>
      <c r="D13" s="37">
        <f>IF( ISERROR(IND_papier_gas_kWh/1000),0,IND_papier_gas_kWh/1000)*0.902</f>
        <v>0</v>
      </c>
      <c r="E13" s="33">
        <f>C35*'E Balans VL '!I23/100/3.6*1000000</f>
        <v>1.389162551772366</v>
      </c>
      <c r="F13" s="33">
        <f>C35*'E Balans VL '!L23/100/3.6*1000000+C35*'E Balans VL '!N23/100/3.6*1000000</f>
        <v>9.5870256097695918</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1486.3749904036501</v>
      </c>
      <c r="C15" s="33"/>
      <c r="D15" s="37">
        <f>IF( ISERROR(IND_rest_gas_kWh/1000),0,IND_rest_gas_kWh/1000)*0.902</f>
        <v>521.85204007804828</v>
      </c>
      <c r="E15" s="33">
        <f>C37*'E Balans VL '!I15/100/3.6*1000000</f>
        <v>13.414182763922987</v>
      </c>
      <c r="F15" s="33">
        <f>C37*'E Balans VL '!L15/100/3.6*1000000+C37*'E Balans VL '!N15/100/3.6*1000000</f>
        <v>297.13829595040022</v>
      </c>
      <c r="G15" s="34"/>
      <c r="H15" s="33"/>
      <c r="I15" s="33"/>
      <c r="J15" s="40">
        <f>C37*'E Balans VL '!D15/100/3.6*1000000+C37*'E Balans VL '!E15/100/3.6*1000000</f>
        <v>10.008286345691758</v>
      </c>
      <c r="K15" s="33"/>
      <c r="L15" s="33"/>
      <c r="M15" s="33"/>
      <c r="N15" s="33">
        <f>C37*'E Balans VL '!Y15/100/3.6*1000000</f>
        <v>26.748591665875207</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2754.2407274383904</v>
      </c>
      <c r="C18" s="21">
        <f>C5+C16</f>
        <v>0</v>
      </c>
      <c r="D18" s="21">
        <f>MAX((D5+D16),0)</f>
        <v>1373.8545243381527</v>
      </c>
      <c r="E18" s="21">
        <f>MAX((E5+E16),0)</f>
        <v>31.42969193542865</v>
      </c>
      <c r="F18" s="21">
        <f>MAX((F5+F16),0)</f>
        <v>950.9684176716903</v>
      </c>
      <c r="G18" s="21"/>
      <c r="H18" s="21"/>
      <c r="I18" s="21"/>
      <c r="J18" s="21">
        <f>MAX((J5+J16),0)</f>
        <v>12.773966012578544</v>
      </c>
      <c r="K18" s="21"/>
      <c r="L18" s="21">
        <f>MAX((L5+L16),0)</f>
        <v>0</v>
      </c>
      <c r="M18" s="21"/>
      <c r="N18" s="21">
        <f>MAX((N5+N16),0)</f>
        <v>87.261691209808973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0.21392438513208864</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589.19925412301416</v>
      </c>
      <c r="C22" s="23">
        <f ca="1">C18*C20</f>
        <v>0</v>
      </c>
      <c r="D22" s="23">
        <f>D18*D20</f>
        <v>277.51861391630689</v>
      </c>
      <c r="E22" s="23">
        <f>E18*E20</f>
        <v>7.1345400693423038</v>
      </c>
      <c r="F22" s="23">
        <f>F18*F20</f>
        <v>253.90856751834133</v>
      </c>
      <c r="G22" s="23"/>
      <c r="H22" s="23"/>
      <c r="I22" s="23"/>
      <c r="J22" s="23">
        <f>J18*J20</f>
        <v>4.5219839684528047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39.068130426021106</v>
      </c>
      <c r="C30" s="39">
        <f>IF(ISERROR(B30*3.6/1000000/'E Balans VL '!Z18*100),0,B30*3.6/1000000/'E Balans VL '!Z18*100)</f>
        <v>2.6007892994598376E-3</v>
      </c>
      <c r="D30" s="238" t="s">
        <v>719</v>
      </c>
    </row>
    <row r="31" spans="1:18">
      <c r="A31" s="6" t="s">
        <v>33</v>
      </c>
      <c r="B31" s="37">
        <f>IF( ISERROR(IND_ander_ele_kWh/1000),0,IND_ander_ele_kWh/1000)</f>
        <v>723.70378073088693</v>
      </c>
      <c r="C31" s="39">
        <f>IF(ISERROR(B31*3.6/1000000/'E Balans VL '!Z19*100),0,B31*3.6/1000000/'E Balans VL '!Z19*100)</f>
        <v>3.2078920600180742E-2</v>
      </c>
      <c r="D31" s="238" t="s">
        <v>719</v>
      </c>
    </row>
    <row r="32" spans="1:18">
      <c r="A32" s="172" t="s">
        <v>41</v>
      </c>
      <c r="B32" s="37">
        <f>IF( ISERROR(IND_voed_ele_kWh/1000),0,IND_voed_ele_kWh/1000)</f>
        <v>459.94334215861102</v>
      </c>
      <c r="C32" s="39">
        <f>IF(ISERROR(B32*3.6/1000000/'E Balans VL '!Z20*100),0,B32*3.6/1000000/'E Balans VL '!Z20*100)</f>
        <v>1.5363427034781663E-2</v>
      </c>
      <c r="D32" s="238" t="s">
        <v>719</v>
      </c>
    </row>
    <row r="33" spans="1:5">
      <c r="A33" s="172" t="s">
        <v>40</v>
      </c>
      <c r="B33" s="37">
        <f>IF( ISERROR(IND_textiel_ele_kWh/1000),0,IND_textiel_ele_kWh/1000)</f>
        <v>0</v>
      </c>
      <c r="C33" s="39">
        <f>IF(ISERROR(B33*3.6/1000000/'E Balans VL '!Z21*100),0,B33*3.6/1000000/'E Balans VL '!Z21*100)</f>
        <v>0</v>
      </c>
      <c r="D33" s="238" t="s">
        <v>719</v>
      </c>
    </row>
    <row r="34" spans="1:5">
      <c r="A34" s="172" t="s">
        <v>37</v>
      </c>
      <c r="B34" s="37">
        <f>IF( ISERROR(IND_min_ele_kWh/1000),0,IND_min_ele_kWh/1000)</f>
        <v>0</v>
      </c>
      <c r="C34" s="39">
        <f>IF(ISERROR(B34*3.6/1000000/'E Balans VL '!Z22*100),0,B34*3.6/1000000/'E Balans VL '!Z22*100)</f>
        <v>0</v>
      </c>
      <c r="D34" s="238" t="s">
        <v>719</v>
      </c>
    </row>
    <row r="35" spans="1:5">
      <c r="A35" s="172" t="s">
        <v>39</v>
      </c>
      <c r="B35" s="37">
        <f>IF( ISERROR(IND_papier_ele_kWh/1000),0,IND_papier_ele_kWh/1000)</f>
        <v>45.150483719221199</v>
      </c>
      <c r="C35" s="39">
        <f>IF(ISERROR(B35*3.6/1000000/'E Balans VL '!Z22*100),0,B35*3.6/1000000/'E Balans VL '!Z22*100)</f>
        <v>8.7812731335163638E-3</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1486.3749904036501</v>
      </c>
      <c r="C37" s="39">
        <f>IF(ISERROR(B37*3.6/1000000/'E Balans VL '!Z15*100),0,B37*3.6/1000000/'E Balans VL '!Z15*100)</f>
        <v>1.1056208416609484E-2</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1154.989452430189</v>
      </c>
      <c r="C5" s="17">
        <f>'Eigen informatie GS &amp; warmtenet'!B60</f>
        <v>0</v>
      </c>
      <c r="D5" s="30">
        <f>IF(ISERROR(SUM(LB_lb_gas_kWh,LB_rest_gas_kWh)/1000),0,SUM(LB_lb_gas_kWh,LB_rest_gas_kWh)/1000)*0.902</f>
        <v>137.89607012178848</v>
      </c>
      <c r="E5" s="17">
        <f>B17*'E Balans VL '!I25/3.6*1000000/100</f>
        <v>12.095299590868613</v>
      </c>
      <c r="F5" s="17">
        <f>B17*('E Balans VL '!L25/3.6*1000000+'E Balans VL '!N25/3.6*1000000)/100</f>
        <v>4944.2324619997889</v>
      </c>
      <c r="G5" s="18"/>
      <c r="H5" s="17"/>
      <c r="I5" s="17"/>
      <c r="J5" s="17">
        <f>('E Balans VL '!D25+'E Balans VL '!E25)/3.6*1000000*landbouw!B17/100</f>
        <v>103.15091044908553</v>
      </c>
      <c r="K5" s="17"/>
      <c r="L5" s="17">
        <f>L6*(-1)</f>
        <v>0</v>
      </c>
      <c r="M5" s="17"/>
      <c r="N5" s="17">
        <f>N6*(-1)</f>
        <v>0</v>
      </c>
      <c r="O5" s="17"/>
      <c r="P5" s="17"/>
      <c r="R5" s="32"/>
    </row>
    <row r="6" spans="1:18">
      <c r="A6" s="16" t="s">
        <v>496</v>
      </c>
      <c r="B6" s="17" t="s">
        <v>211</v>
      </c>
      <c r="C6" s="17">
        <f>'lokale energieproductie'!O92+'lokale energieproductie'!O61</f>
        <v>0</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1154.989452430189</v>
      </c>
      <c r="C8" s="21">
        <f>C5+C6</f>
        <v>0</v>
      </c>
      <c r="D8" s="21">
        <f>MAX((D5+D6),0)</f>
        <v>137.89607012178848</v>
      </c>
      <c r="E8" s="21">
        <f>MAX((E5+E6),0)</f>
        <v>12.095299590868613</v>
      </c>
      <c r="F8" s="21">
        <f>MAX((F5+F6),0)</f>
        <v>4944.2324619997889</v>
      </c>
      <c r="G8" s="21"/>
      <c r="H8" s="21"/>
      <c r="I8" s="21"/>
      <c r="J8" s="21">
        <f>MAX((J5+J6),0)</f>
        <v>103.15091044908553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0.21392438513208864</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247.08040844517592</v>
      </c>
      <c r="C12" s="23">
        <f ca="1">C8*C10</f>
        <v>0</v>
      </c>
      <c r="D12" s="23">
        <f>D8*D10</f>
        <v>27.855006164601274</v>
      </c>
      <c r="E12" s="23">
        <f>E8*E10</f>
        <v>2.7456330071271755</v>
      </c>
      <c r="F12" s="23">
        <f>F8*F10</f>
        <v>1320.1100673539438</v>
      </c>
      <c r="G12" s="23"/>
      <c r="H12" s="23"/>
      <c r="I12" s="23"/>
      <c r="J12" s="23">
        <f>J8*J10</f>
        <v>36.515422298976276</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0.17777517214559613</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372.18160188388941</v>
      </c>
      <c r="C26" s="248">
        <f>B26*'GWP N2O_CH4'!B5</f>
        <v>7815.8136395616775</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64.124913527753861</v>
      </c>
      <c r="C27" s="248">
        <f>B27*'GWP N2O_CH4'!B5</f>
        <v>1346.6231840828311</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4.8845101387370553</v>
      </c>
      <c r="C28" s="248">
        <f>B28*'GWP N2O_CH4'!B4</f>
        <v>1514.1981430084872</v>
      </c>
      <c r="D28" s="50"/>
    </row>
    <row r="29" spans="1:4">
      <c r="A29" s="41" t="s">
        <v>277</v>
      </c>
      <c r="B29" s="248">
        <f>B34*'ha_N2O bodem landbouw'!B4</f>
        <v>25.52466593179966</v>
      </c>
      <c r="C29" s="248">
        <f>B29*'GWP N2O_CH4'!B4</f>
        <v>7912.6464388578943</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4.2182862784515005E-3</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2.4327811151815844E-6</v>
      </c>
      <c r="C5" s="446" t="s">
        <v>211</v>
      </c>
      <c r="D5" s="431">
        <f>SUM(D6:D11)</f>
        <v>1.3280757402312704E-5</v>
      </c>
      <c r="E5" s="431">
        <f>SUM(E6:E11)</f>
        <v>1.3247017546537303E-3</v>
      </c>
      <c r="F5" s="444" t="s">
        <v>211</v>
      </c>
      <c r="G5" s="431">
        <f>SUM(G6:G11)</f>
        <v>0.22806175270739007</v>
      </c>
      <c r="H5" s="431">
        <f>SUM(H6:H11)</f>
        <v>4.3804615323560295E-2</v>
      </c>
      <c r="I5" s="446" t="s">
        <v>211</v>
      </c>
      <c r="J5" s="446" t="s">
        <v>211</v>
      </c>
      <c r="K5" s="446" t="s">
        <v>211</v>
      </c>
      <c r="L5" s="446" t="s">
        <v>211</v>
      </c>
      <c r="M5" s="431">
        <f>SUM(M6:M11)</f>
        <v>1.1874855660692442E-2</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1.6167237701312608E-6</v>
      </c>
      <c r="C6" s="432"/>
      <c r="D6" s="432">
        <f>vkm_2011_GW_PW*SUMIFS(TableVerdeelsleutelVkm[CNG],TableVerdeelsleutelVkm[Voertuigtype],"Lichte voertuigen")*SUMIFS(TableECFTransport[EnergieConsumptieFactor (PJ per km)],TableECFTransport[Index],CONCATENATE($A6,"_CNG_CNG"))</f>
        <v>6.9695082452723169E-6</v>
      </c>
      <c r="E6" s="434">
        <f>vkm_2011_GW_PW*SUMIFS(TableVerdeelsleutelVkm[LPG],TableVerdeelsleutelVkm[Voertuigtype],"Lichte voertuigen")*SUMIFS(TableECFTransport[EnergieConsumptieFactor (PJ per km)],TableECFTransport[Index],CONCATENATE($A6,"_LPG_LPG"))</f>
        <v>7.2513456891552764E-4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8.9193542673231846E-2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2.3482811426286835E-2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4.9380180277837568E-3</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5.5100148175359402E-2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1.8893077250913294E-5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2.3802231614007251E-3</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8.1605734505032347E-7</v>
      </c>
      <c r="C8" s="432"/>
      <c r="D8" s="434">
        <f>vkm_2011_NGW_PW*SUMIFS(TableVerdeelsleutelVkm[CNG],TableVerdeelsleutelVkm[Voertuigtype],"Lichte voertuigen")*SUMIFS(TableECFTransport[EnergieConsumptieFactor (PJ per km)],TableECFTransport[Index],CONCATENATE($A8,"_CNG_CNG"))</f>
        <v>6.3112491570403875E-6</v>
      </c>
      <c r="E8" s="434">
        <f>vkm_2011_NGW_PW*SUMIFS(TableVerdeelsleutelVkm[LPG],TableVerdeelsleutelVkm[Voertuigtype],"Lichte voertuigen")*SUMIFS(TableECFTransport[EnergieConsumptieFactor (PJ per km)],TableECFTransport[Index],CONCATENATE($A8,"_LPG_LPG"))</f>
        <v>5.9956718573820277E-4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6.9948687499038861E-2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2.0298794391450652E-2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3.9596721712007602E-3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1.3819374359759978E-2</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4.1164285718981375E-6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5.9694230030719973E-4</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2"/>
      <c r="D10" s="434">
        <f>vkm_2011_SW_PW*SUMIFS(TableVerdeelsleutelVkm[CNG],TableVerdeelsleutelVkm[Voertuigtype],"Lichte voertuigen")*SUMIFS(TableECFTransport[EnergieConsumptieFactor (PJ per km)],TableECFTransport[Index],CONCATENATE($A10,"_CNG_CNG"))</f>
        <v>0</v>
      </c>
      <c r="E10" s="434">
        <f>vkm_2011_SW_PW*SUMIFS(TableVerdeelsleutelVkm[LPG],TableVerdeelsleutelVkm[Voertuigtype],"Lichte voertuigen")*SUMIFS(TableECFTransport[EnergieConsumptieFactor (PJ per km)],TableECFTransport[Index],CONCATENATE($A10,"_LPG_LPG"))</f>
        <v>0</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0.67577253199488463</v>
      </c>
      <c r="C14" s="21"/>
      <c r="D14" s="21">
        <f t="shared" ref="D14:M14" si="0">((D5)*10^9/3600)+D12</f>
        <v>3.6890992784201955</v>
      </c>
      <c r="E14" s="21">
        <f t="shared" si="0"/>
        <v>367.97270962603619</v>
      </c>
      <c r="F14" s="21"/>
      <c r="G14" s="21">
        <f t="shared" si="0"/>
        <v>63350.486863163911</v>
      </c>
      <c r="H14" s="21">
        <f t="shared" si="0"/>
        <v>12167.948700988971</v>
      </c>
      <c r="I14" s="21"/>
      <c r="J14" s="21"/>
      <c r="K14" s="21"/>
      <c r="L14" s="21"/>
      <c r="M14" s="21">
        <f t="shared" si="0"/>
        <v>3298.5710168590117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0.21392438513208864</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0.1445642233961604</v>
      </c>
      <c r="C18" s="23"/>
      <c r="D18" s="23">
        <f t="shared" ref="D18:M18" si="1">D14*D16</f>
        <v>0.74519805424087948</v>
      </c>
      <c r="E18" s="23">
        <f t="shared" si="1"/>
        <v>83.529805085110212</v>
      </c>
      <c r="F18" s="23"/>
      <c r="G18" s="23">
        <f t="shared" si="1"/>
        <v>16914.579992464765</v>
      </c>
      <c r="H18" s="23">
        <f t="shared" si="1"/>
        <v>3029.8192265462535</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3.5033252843241127E-3</v>
      </c>
      <c r="H50" s="322">
        <f t="shared" si="2"/>
        <v>0</v>
      </c>
      <c r="I50" s="322">
        <f t="shared" si="2"/>
        <v>0</v>
      </c>
      <c r="J50" s="322">
        <f t="shared" si="2"/>
        <v>0</v>
      </c>
      <c r="K50" s="322">
        <f t="shared" si="2"/>
        <v>0</v>
      </c>
      <c r="L50" s="322">
        <f t="shared" si="2"/>
        <v>0</v>
      </c>
      <c r="M50" s="322">
        <f t="shared" si="2"/>
        <v>1.4933153675613333E-4</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3.5033252843241127E-3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1.4933153675613333E-4</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973.14591231225359</v>
      </c>
      <c r="H54" s="21">
        <f t="shared" si="3"/>
        <v>0</v>
      </c>
      <c r="I54" s="21">
        <f t="shared" si="3"/>
        <v>0</v>
      </c>
      <c r="J54" s="21">
        <f t="shared" si="3"/>
        <v>0</v>
      </c>
      <c r="K54" s="21">
        <f t="shared" si="3"/>
        <v>0</v>
      </c>
      <c r="L54" s="21">
        <f t="shared" si="3"/>
        <v>0</v>
      </c>
      <c r="M54" s="21">
        <f t="shared" si="3"/>
        <v>41.480982432259253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0.21392438513208864</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259.82995858737172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053" t="s">
        <v>221</v>
      </c>
      <c r="B2" s="1053"/>
      <c r="C2" s="1053"/>
      <c r="D2" s="59"/>
      <c r="E2" s="59"/>
      <c r="F2" s="59"/>
      <c r="G2" s="59"/>
      <c r="H2" s="60"/>
      <c r="I2" s="60"/>
      <c r="J2" s="61"/>
      <c r="K2" s="61"/>
      <c r="L2" s="60"/>
      <c r="M2" s="60"/>
      <c r="N2" s="60"/>
      <c r="O2" s="60"/>
      <c r="P2" s="60"/>
      <c r="Q2" s="60"/>
      <c r="R2" s="60"/>
    </row>
    <row r="3" spans="1:19">
      <c r="A3" s="1054"/>
      <c r="B3" s="1054"/>
      <c r="C3" s="1054"/>
      <c r="D3" s="1054"/>
      <c r="E3" s="1054"/>
      <c r="F3" s="1054"/>
      <c r="G3" s="1054"/>
      <c r="H3" s="1054"/>
      <c r="I3" s="1054"/>
      <c r="J3" s="1054"/>
      <c r="K3" s="1054"/>
      <c r="L3" s="1054"/>
      <c r="M3" s="1054"/>
      <c r="N3" s="1054"/>
      <c r="O3" s="1054"/>
      <c r="P3" s="1054"/>
      <c r="Q3" s="1054"/>
      <c r="R3" s="1054"/>
    </row>
    <row r="4" spans="1:19" ht="15.75" thickBot="1">
      <c r="A4" s="455"/>
      <c r="B4" s="455"/>
      <c r="C4" s="63"/>
      <c r="D4" s="63"/>
      <c r="E4" s="63"/>
      <c r="F4" s="63"/>
      <c r="G4" s="63"/>
      <c r="H4" s="63"/>
      <c r="I4" s="63"/>
      <c r="J4" s="63"/>
      <c r="K4" s="63"/>
      <c r="L4" s="63"/>
      <c r="M4" s="63"/>
      <c r="N4" s="63"/>
      <c r="O4" s="63"/>
      <c r="P4" s="63"/>
      <c r="Q4" s="63"/>
      <c r="R4" s="63"/>
    </row>
    <row r="5" spans="1:19" ht="16.5" thickBot="1">
      <c r="A5" s="1055" t="s">
        <v>222</v>
      </c>
      <c r="B5" s="793"/>
      <c r="C5" s="1058" t="s">
        <v>343</v>
      </c>
      <c r="D5" s="1059"/>
      <c r="E5" s="1059"/>
      <c r="F5" s="1059"/>
      <c r="G5" s="1059"/>
      <c r="H5" s="1059"/>
      <c r="I5" s="1059"/>
      <c r="J5" s="1059"/>
      <c r="K5" s="1059"/>
      <c r="L5" s="1059"/>
      <c r="M5" s="1059"/>
      <c r="N5" s="1059"/>
      <c r="O5" s="1059"/>
      <c r="P5" s="1059"/>
      <c r="Q5" s="1059"/>
      <c r="R5" s="1060"/>
    </row>
    <row r="6" spans="1:19" ht="16.5" thickTop="1">
      <c r="A6" s="1056"/>
      <c r="B6" s="794"/>
      <c r="C6" s="1061" t="s">
        <v>21</v>
      </c>
      <c r="D6" s="1063" t="s">
        <v>196</v>
      </c>
      <c r="E6" s="1065" t="s">
        <v>197</v>
      </c>
      <c r="F6" s="1066"/>
      <c r="G6" s="1066"/>
      <c r="H6" s="1066"/>
      <c r="I6" s="1066"/>
      <c r="J6" s="1066"/>
      <c r="K6" s="1066"/>
      <c r="L6" s="1067"/>
      <c r="M6" s="1065" t="s">
        <v>198</v>
      </c>
      <c r="N6" s="1066"/>
      <c r="O6" s="1066"/>
      <c r="P6" s="1066"/>
      <c r="Q6" s="1066"/>
      <c r="R6" s="1068" t="s">
        <v>116</v>
      </c>
    </row>
    <row r="7" spans="1:19" ht="45.75" thickBot="1">
      <c r="A7" s="1057"/>
      <c r="B7" s="795"/>
      <c r="C7" s="1062"/>
      <c r="D7" s="1064"/>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069"/>
    </row>
    <row r="8" spans="1:19" ht="18.75" customHeight="1" thickTop="1">
      <c r="A8" s="801" t="s">
        <v>344</v>
      </c>
      <c r="B8" s="806"/>
      <c r="C8" s="1074"/>
      <c r="D8" s="1074"/>
      <c r="E8" s="1074"/>
      <c r="F8" s="1074"/>
      <c r="G8" s="1074"/>
      <c r="H8" s="1074"/>
      <c r="I8" s="1074"/>
      <c r="J8" s="1074"/>
      <c r="K8" s="1074"/>
      <c r="L8" s="1074"/>
      <c r="M8" s="1074"/>
      <c r="N8" s="1074"/>
      <c r="O8" s="1074"/>
      <c r="P8" s="1074"/>
      <c r="Q8" s="1074"/>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11622.659361148562</v>
      </c>
      <c r="D10" s="687">
        <f ca="1">tertiair!C16</f>
        <v>0</v>
      </c>
      <c r="E10" s="687">
        <f ca="1">tertiair!D16</f>
        <v>7510.4340869931311</v>
      </c>
      <c r="F10" s="687">
        <f>tertiair!E16</f>
        <v>183.83211308535198</v>
      </c>
      <c r="G10" s="687">
        <f ca="1">tertiair!F16</f>
        <v>1982.4650553915203</v>
      </c>
      <c r="H10" s="687">
        <f>tertiair!G16</f>
        <v>0</v>
      </c>
      <c r="I10" s="687">
        <f>tertiair!H16</f>
        <v>0</v>
      </c>
      <c r="J10" s="687">
        <f>tertiair!I16</f>
        <v>0</v>
      </c>
      <c r="K10" s="687">
        <f>tertiair!J16</f>
        <v>0</v>
      </c>
      <c r="L10" s="687">
        <f>tertiair!K16</f>
        <v>0</v>
      </c>
      <c r="M10" s="687">
        <f ca="1">tertiair!L16</f>
        <v>0</v>
      </c>
      <c r="N10" s="687">
        <f>tertiair!M16</f>
        <v>0</v>
      </c>
      <c r="O10" s="687">
        <f ca="1">tertiair!N16</f>
        <v>348.12112637527969</v>
      </c>
      <c r="P10" s="687">
        <f>tertiair!O16</f>
        <v>0</v>
      </c>
      <c r="Q10" s="688">
        <f>tertiair!P16</f>
        <v>19.066666666666666</v>
      </c>
      <c r="R10" s="690">
        <f ca="1">SUM(C10:Q10)</f>
        <v>21666.578409660509</v>
      </c>
      <c r="S10" s="67"/>
    </row>
    <row r="11" spans="1:19" s="456" customFormat="1">
      <c r="A11" s="802" t="s">
        <v>225</v>
      </c>
      <c r="B11" s="807"/>
      <c r="C11" s="687">
        <f>huishoudens!B8</f>
        <v>34659.572220656912</v>
      </c>
      <c r="D11" s="687">
        <f>huishoudens!C8</f>
        <v>0</v>
      </c>
      <c r="E11" s="687">
        <f>huishoudens!D8</f>
        <v>36893.655791835263</v>
      </c>
      <c r="F11" s="687">
        <f>huishoudens!E8</f>
        <v>4119.7347988609699</v>
      </c>
      <c r="G11" s="687">
        <f>huishoudens!F8</f>
        <v>59732.396512521678</v>
      </c>
      <c r="H11" s="687">
        <f>huishoudens!G8</f>
        <v>0</v>
      </c>
      <c r="I11" s="687">
        <f>huishoudens!H8</f>
        <v>0</v>
      </c>
      <c r="J11" s="687">
        <f>huishoudens!I8</f>
        <v>0</v>
      </c>
      <c r="K11" s="687">
        <f>huishoudens!J8</f>
        <v>6265.0329612862542</v>
      </c>
      <c r="L11" s="687">
        <f>huishoudens!K8</f>
        <v>0</v>
      </c>
      <c r="M11" s="687">
        <f>huishoudens!L8</f>
        <v>0</v>
      </c>
      <c r="N11" s="687">
        <f>huishoudens!M8</f>
        <v>0</v>
      </c>
      <c r="O11" s="687">
        <f>huishoudens!N8</f>
        <v>16640.520240850547</v>
      </c>
      <c r="P11" s="687">
        <f>huishoudens!O8</f>
        <v>100.05333333333334</v>
      </c>
      <c r="Q11" s="688">
        <f>huishoudens!P8</f>
        <v>286</v>
      </c>
      <c r="R11" s="690">
        <f>SUM(C11:Q11)</f>
        <v>158696.96585934496</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2754.2407274383904</v>
      </c>
      <c r="D13" s="687">
        <f>industrie!C18</f>
        <v>0</v>
      </c>
      <c r="E13" s="687">
        <f>industrie!D18</f>
        <v>1373.8545243381527</v>
      </c>
      <c r="F13" s="687">
        <f>industrie!E18</f>
        <v>31.42969193542865</v>
      </c>
      <c r="G13" s="687">
        <f>industrie!F18</f>
        <v>950.9684176716903</v>
      </c>
      <c r="H13" s="687">
        <f>industrie!G18</f>
        <v>0</v>
      </c>
      <c r="I13" s="687">
        <f>industrie!H18</f>
        <v>0</v>
      </c>
      <c r="J13" s="687">
        <f>industrie!I18</f>
        <v>0</v>
      </c>
      <c r="K13" s="687">
        <f>industrie!J18</f>
        <v>12.773966012578544</v>
      </c>
      <c r="L13" s="687">
        <f>industrie!K18</f>
        <v>0</v>
      </c>
      <c r="M13" s="687">
        <f>industrie!L18</f>
        <v>0</v>
      </c>
      <c r="N13" s="687">
        <f>industrie!M18</f>
        <v>0</v>
      </c>
      <c r="O13" s="687">
        <f>industrie!N18</f>
        <v>87.261691209808973</v>
      </c>
      <c r="P13" s="687">
        <f>industrie!O18</f>
        <v>0</v>
      </c>
      <c r="Q13" s="688">
        <f>industrie!P18</f>
        <v>0</v>
      </c>
      <c r="R13" s="690">
        <f>SUM(C13:Q13)</f>
        <v>5210.5290186060502</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49036.472309243865</v>
      </c>
      <c r="D16" s="720">
        <f t="shared" ref="D16:R16" ca="1" si="0">SUM(D9:D15)</f>
        <v>0</v>
      </c>
      <c r="E16" s="720">
        <f t="shared" ca="1" si="0"/>
        <v>45777.944403166548</v>
      </c>
      <c r="F16" s="720">
        <f t="shared" si="0"/>
        <v>4334.9966038817502</v>
      </c>
      <c r="G16" s="720">
        <f t="shared" ca="1" si="0"/>
        <v>62665.829985584889</v>
      </c>
      <c r="H16" s="720">
        <f t="shared" si="0"/>
        <v>0</v>
      </c>
      <c r="I16" s="720">
        <f t="shared" si="0"/>
        <v>0</v>
      </c>
      <c r="J16" s="720">
        <f t="shared" si="0"/>
        <v>0</v>
      </c>
      <c r="K16" s="720">
        <f t="shared" si="0"/>
        <v>6277.8069272988332</v>
      </c>
      <c r="L16" s="720">
        <f t="shared" si="0"/>
        <v>0</v>
      </c>
      <c r="M16" s="720">
        <f t="shared" ca="1" si="0"/>
        <v>0</v>
      </c>
      <c r="N16" s="720">
        <f t="shared" si="0"/>
        <v>0</v>
      </c>
      <c r="O16" s="720">
        <f t="shared" ca="1" si="0"/>
        <v>17075.903058435637</v>
      </c>
      <c r="P16" s="720">
        <f t="shared" si="0"/>
        <v>100.05333333333334</v>
      </c>
      <c r="Q16" s="720">
        <f t="shared" si="0"/>
        <v>305.06666666666666</v>
      </c>
      <c r="R16" s="720">
        <f t="shared" ca="1" si="0"/>
        <v>185574.07328761154</v>
      </c>
      <c r="S16" s="67"/>
    </row>
    <row r="17" spans="1:19" s="456" customFormat="1" ht="15.75">
      <c r="A17" s="804" t="s">
        <v>227</v>
      </c>
      <c r="B17" s="724"/>
      <c r="C17" s="1075"/>
      <c r="D17" s="1075"/>
      <c r="E17" s="1075"/>
      <c r="F17" s="1075"/>
      <c r="G17" s="1075"/>
      <c r="H17" s="1075"/>
      <c r="I17" s="1075"/>
      <c r="J17" s="1075"/>
      <c r="K17" s="1075"/>
      <c r="L17" s="1075"/>
      <c r="M17" s="1075"/>
      <c r="N17" s="1075"/>
      <c r="O17" s="1075"/>
      <c r="P17" s="1075"/>
      <c r="Q17" s="1075"/>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973.14591231225359</v>
      </c>
      <c r="I19" s="687">
        <f>transport!H54</f>
        <v>0</v>
      </c>
      <c r="J19" s="687">
        <f>transport!I54</f>
        <v>0</v>
      </c>
      <c r="K19" s="687">
        <f>transport!J54</f>
        <v>0</v>
      </c>
      <c r="L19" s="687">
        <f>transport!K54</f>
        <v>0</v>
      </c>
      <c r="M19" s="687">
        <f>transport!L54</f>
        <v>0</v>
      </c>
      <c r="N19" s="687">
        <f>transport!M54</f>
        <v>41.480982432259253</v>
      </c>
      <c r="O19" s="687">
        <f>transport!N54</f>
        <v>0</v>
      </c>
      <c r="P19" s="687">
        <f>transport!O54</f>
        <v>0</v>
      </c>
      <c r="Q19" s="688">
        <f>transport!P54</f>
        <v>0</v>
      </c>
      <c r="R19" s="690">
        <f>SUM(C19:Q19)</f>
        <v>1014.6268947445128</v>
      </c>
      <c r="S19" s="67"/>
    </row>
    <row r="20" spans="1:19" s="456" customFormat="1">
      <c r="A20" s="802" t="s">
        <v>307</v>
      </c>
      <c r="B20" s="807"/>
      <c r="C20" s="687">
        <f>transport!B14</f>
        <v>0.67577253199488463</v>
      </c>
      <c r="D20" s="687">
        <f>transport!C14</f>
        <v>0</v>
      </c>
      <c r="E20" s="687">
        <f>transport!D14</f>
        <v>3.6890992784201955</v>
      </c>
      <c r="F20" s="687">
        <f>transport!E14</f>
        <v>367.97270962603619</v>
      </c>
      <c r="G20" s="687">
        <f>transport!F14</f>
        <v>0</v>
      </c>
      <c r="H20" s="687">
        <f>transport!G14</f>
        <v>63350.486863163911</v>
      </c>
      <c r="I20" s="687">
        <f>transport!H14</f>
        <v>12167.948700988971</v>
      </c>
      <c r="J20" s="687">
        <f>transport!I14</f>
        <v>0</v>
      </c>
      <c r="K20" s="687">
        <f>transport!J14</f>
        <v>0</v>
      </c>
      <c r="L20" s="687">
        <f>transport!K14</f>
        <v>0</v>
      </c>
      <c r="M20" s="687">
        <f>transport!L14</f>
        <v>0</v>
      </c>
      <c r="N20" s="687">
        <f>transport!M14</f>
        <v>3298.5710168590117</v>
      </c>
      <c r="O20" s="687">
        <f>transport!N14</f>
        <v>0</v>
      </c>
      <c r="P20" s="687">
        <f>transport!O14</f>
        <v>0</v>
      </c>
      <c r="Q20" s="688">
        <f>transport!P14</f>
        <v>0</v>
      </c>
      <c r="R20" s="690">
        <f>SUM(C20:Q20)</f>
        <v>79189.344162448353</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0.67577253199488463</v>
      </c>
      <c r="D22" s="805">
        <f t="shared" ref="D22:R22" si="1">SUM(D18:D21)</f>
        <v>0</v>
      </c>
      <c r="E22" s="805">
        <f t="shared" si="1"/>
        <v>3.6890992784201955</v>
      </c>
      <c r="F22" s="805">
        <f t="shared" si="1"/>
        <v>367.97270962603619</v>
      </c>
      <c r="G22" s="805">
        <f t="shared" si="1"/>
        <v>0</v>
      </c>
      <c r="H22" s="805">
        <f t="shared" si="1"/>
        <v>64323.632775476166</v>
      </c>
      <c r="I22" s="805">
        <f t="shared" si="1"/>
        <v>12167.948700988971</v>
      </c>
      <c r="J22" s="805">
        <f t="shared" si="1"/>
        <v>0</v>
      </c>
      <c r="K22" s="805">
        <f t="shared" si="1"/>
        <v>0</v>
      </c>
      <c r="L22" s="805">
        <f t="shared" si="1"/>
        <v>0</v>
      </c>
      <c r="M22" s="805">
        <f t="shared" si="1"/>
        <v>0</v>
      </c>
      <c r="N22" s="805">
        <f t="shared" si="1"/>
        <v>3340.0519992912709</v>
      </c>
      <c r="O22" s="805">
        <f t="shared" si="1"/>
        <v>0</v>
      </c>
      <c r="P22" s="805">
        <f t="shared" si="1"/>
        <v>0</v>
      </c>
      <c r="Q22" s="805">
        <f t="shared" si="1"/>
        <v>0</v>
      </c>
      <c r="R22" s="805">
        <f t="shared" si="1"/>
        <v>80203.971057192859</v>
      </c>
      <c r="S22" s="67"/>
    </row>
    <row r="23" spans="1:19" s="456" customFormat="1" ht="15.75">
      <c r="A23" s="804" t="s">
        <v>237</v>
      </c>
      <c r="B23" s="724"/>
      <c r="C23" s="1075"/>
      <c r="D23" s="1075"/>
      <c r="E23" s="1075"/>
      <c r="F23" s="1075"/>
      <c r="G23" s="1075"/>
      <c r="H23" s="1075"/>
      <c r="I23" s="1075"/>
      <c r="J23" s="1075"/>
      <c r="K23" s="1075"/>
      <c r="L23" s="1075"/>
      <c r="M23" s="1075"/>
      <c r="N23" s="1075"/>
      <c r="O23" s="1075"/>
      <c r="P23" s="1075"/>
      <c r="Q23" s="1075"/>
      <c r="R23" s="692"/>
      <c r="S23" s="67"/>
    </row>
    <row r="24" spans="1:19" s="456" customFormat="1">
      <c r="A24" s="802" t="s">
        <v>651</v>
      </c>
      <c r="B24" s="807"/>
      <c r="C24" s="687">
        <f>+landbouw!B8</f>
        <v>1154.989452430189</v>
      </c>
      <c r="D24" s="687">
        <f>+landbouw!C8</f>
        <v>0</v>
      </c>
      <c r="E24" s="687">
        <f>+landbouw!D8</f>
        <v>137.89607012178848</v>
      </c>
      <c r="F24" s="687">
        <f>+landbouw!E8</f>
        <v>12.095299590868613</v>
      </c>
      <c r="G24" s="687">
        <f>+landbouw!F8</f>
        <v>4944.2324619997889</v>
      </c>
      <c r="H24" s="687">
        <f>+landbouw!G8</f>
        <v>0</v>
      </c>
      <c r="I24" s="687">
        <f>+landbouw!H8</f>
        <v>0</v>
      </c>
      <c r="J24" s="687">
        <f>+landbouw!I8</f>
        <v>0</v>
      </c>
      <c r="K24" s="687">
        <f>+landbouw!J8</f>
        <v>103.15091044908553</v>
      </c>
      <c r="L24" s="687">
        <f>+landbouw!K8</f>
        <v>0</v>
      </c>
      <c r="M24" s="687">
        <f>+landbouw!L8</f>
        <v>0</v>
      </c>
      <c r="N24" s="687">
        <f>+landbouw!M8</f>
        <v>0</v>
      </c>
      <c r="O24" s="687">
        <f>+landbouw!N8</f>
        <v>0</v>
      </c>
      <c r="P24" s="687">
        <f>+landbouw!O8</f>
        <v>0</v>
      </c>
      <c r="Q24" s="688">
        <f>+landbouw!P8</f>
        <v>0</v>
      </c>
      <c r="R24" s="690">
        <f>SUM(C24:Q24)</f>
        <v>6352.3641945917198</v>
      </c>
      <c r="S24" s="67"/>
    </row>
    <row r="25" spans="1:19" s="456" customFormat="1" ht="15" thickBot="1">
      <c r="A25" s="824" t="s">
        <v>925</v>
      </c>
      <c r="B25" s="988"/>
      <c r="C25" s="989">
        <f>IF(Onbekend_ele_kWh="---",0,Onbekend_ele_kWh)/1000+IF(REST_rest_ele_kWh="---",0,REST_rest_ele_kWh)/1000</f>
        <v>1010.23291786879</v>
      </c>
      <c r="D25" s="989"/>
      <c r="E25" s="989">
        <f>IF(onbekend_gas_kWh="---",0,onbekend_gas_kWh)/1000+IF(REST_rest_gas_kWh="---",0,REST_rest_gas_kWh)/1000</f>
        <v>1216.2515384246901</v>
      </c>
      <c r="F25" s="989"/>
      <c r="G25" s="989"/>
      <c r="H25" s="989"/>
      <c r="I25" s="989"/>
      <c r="J25" s="989"/>
      <c r="K25" s="989"/>
      <c r="L25" s="989"/>
      <c r="M25" s="989"/>
      <c r="N25" s="989"/>
      <c r="O25" s="989"/>
      <c r="P25" s="989"/>
      <c r="Q25" s="990"/>
      <c r="R25" s="690">
        <f>SUM(C25:Q25)</f>
        <v>2226.48445629348</v>
      </c>
      <c r="S25" s="67"/>
    </row>
    <row r="26" spans="1:19" s="456" customFormat="1" ht="15.75" thickBot="1">
      <c r="A26" s="693" t="s">
        <v>926</v>
      </c>
      <c r="B26" s="810"/>
      <c r="C26" s="805">
        <f>SUM(C24:C25)</f>
        <v>2165.2223702989791</v>
      </c>
      <c r="D26" s="805">
        <f t="shared" ref="D26:R26" si="2">SUM(D24:D25)</f>
        <v>0</v>
      </c>
      <c r="E26" s="805">
        <f t="shared" si="2"/>
        <v>1354.1476085464785</v>
      </c>
      <c r="F26" s="805">
        <f t="shared" si="2"/>
        <v>12.095299590868613</v>
      </c>
      <c r="G26" s="805">
        <f t="shared" si="2"/>
        <v>4944.2324619997889</v>
      </c>
      <c r="H26" s="805">
        <f t="shared" si="2"/>
        <v>0</v>
      </c>
      <c r="I26" s="805">
        <f t="shared" si="2"/>
        <v>0</v>
      </c>
      <c r="J26" s="805">
        <f t="shared" si="2"/>
        <v>0</v>
      </c>
      <c r="K26" s="805">
        <f t="shared" si="2"/>
        <v>103.15091044908553</v>
      </c>
      <c r="L26" s="805">
        <f t="shared" si="2"/>
        <v>0</v>
      </c>
      <c r="M26" s="805">
        <f t="shared" si="2"/>
        <v>0</v>
      </c>
      <c r="N26" s="805">
        <f t="shared" si="2"/>
        <v>0</v>
      </c>
      <c r="O26" s="805">
        <f t="shared" si="2"/>
        <v>0</v>
      </c>
      <c r="P26" s="805">
        <f t="shared" si="2"/>
        <v>0</v>
      </c>
      <c r="Q26" s="805">
        <f t="shared" si="2"/>
        <v>0</v>
      </c>
      <c r="R26" s="805">
        <f t="shared" si="2"/>
        <v>8578.8486508852002</v>
      </c>
      <c r="S26" s="67"/>
    </row>
    <row r="27" spans="1:19" s="456" customFormat="1" ht="17.25" thickTop="1" thickBot="1">
      <c r="A27" s="694" t="s">
        <v>116</v>
      </c>
      <c r="B27" s="797"/>
      <c r="C27" s="695">
        <f ca="1">C22+C16+C26</f>
        <v>51202.370452074843</v>
      </c>
      <c r="D27" s="695">
        <f t="shared" ref="D27:R27" ca="1" si="3">D22+D16+D26</f>
        <v>0</v>
      </c>
      <c r="E27" s="695">
        <f t="shared" ca="1" si="3"/>
        <v>47135.781110991447</v>
      </c>
      <c r="F27" s="695">
        <f t="shared" si="3"/>
        <v>4715.0646130986543</v>
      </c>
      <c r="G27" s="695">
        <f t="shared" ca="1" si="3"/>
        <v>67610.062447584671</v>
      </c>
      <c r="H27" s="695">
        <f t="shared" si="3"/>
        <v>64323.632775476166</v>
      </c>
      <c r="I27" s="695">
        <f t="shared" si="3"/>
        <v>12167.948700988971</v>
      </c>
      <c r="J27" s="695">
        <f t="shared" si="3"/>
        <v>0</v>
      </c>
      <c r="K27" s="695">
        <f t="shared" si="3"/>
        <v>6380.9578377479183</v>
      </c>
      <c r="L27" s="695">
        <f t="shared" si="3"/>
        <v>0</v>
      </c>
      <c r="M27" s="695">
        <f t="shared" ca="1" si="3"/>
        <v>0</v>
      </c>
      <c r="N27" s="695">
        <f t="shared" si="3"/>
        <v>3340.0519992912709</v>
      </c>
      <c r="O27" s="695">
        <f t="shared" ca="1" si="3"/>
        <v>17075.903058435637</v>
      </c>
      <c r="P27" s="695">
        <f t="shared" si="3"/>
        <v>100.05333333333334</v>
      </c>
      <c r="Q27" s="695">
        <f t="shared" si="3"/>
        <v>305.06666666666666</v>
      </c>
      <c r="R27" s="695">
        <f t="shared" ca="1" si="3"/>
        <v>274356.89299568959</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076"/>
      <c r="B31" s="1076"/>
      <c r="C31" s="1076"/>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078"/>
      <c r="B35" s="812"/>
      <c r="C35" s="1080" t="s">
        <v>347</v>
      </c>
      <c r="D35" s="1081"/>
      <c r="E35" s="1081"/>
      <c r="F35" s="1081"/>
      <c r="G35" s="1081"/>
      <c r="H35" s="1081"/>
      <c r="I35" s="1081"/>
      <c r="J35" s="1081"/>
      <c r="K35" s="1081"/>
      <c r="L35" s="1081"/>
      <c r="M35" s="1081"/>
      <c r="N35" s="1081"/>
      <c r="O35" s="1081"/>
      <c r="P35" s="1081"/>
      <c r="Q35" s="1081"/>
      <c r="R35" s="1082"/>
    </row>
    <row r="36" spans="1:18" ht="16.5" thickTop="1">
      <c r="A36" s="1079"/>
      <c r="B36" s="813"/>
      <c r="C36" s="1083" t="s">
        <v>21</v>
      </c>
      <c r="D36" s="1085" t="s">
        <v>232</v>
      </c>
      <c r="E36" s="1087" t="s">
        <v>197</v>
      </c>
      <c r="F36" s="1088"/>
      <c r="G36" s="1088"/>
      <c r="H36" s="1088"/>
      <c r="I36" s="1088"/>
      <c r="J36" s="1088"/>
      <c r="K36" s="1088"/>
      <c r="L36" s="1089"/>
      <c r="M36" s="1087" t="s">
        <v>198</v>
      </c>
      <c r="N36" s="1088"/>
      <c r="O36" s="1088"/>
      <c r="P36" s="1088"/>
      <c r="Q36" s="1088"/>
      <c r="R36" s="1090" t="s">
        <v>116</v>
      </c>
    </row>
    <row r="37" spans="1:18" ht="45.75" thickBot="1">
      <c r="A37" s="1079"/>
      <c r="B37" s="813"/>
      <c r="C37" s="1084"/>
      <c r="D37" s="108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91"/>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2486.3702574334206</v>
      </c>
      <c r="D40" s="687">
        <f ca="1">tertiair!C20</f>
        <v>0</v>
      </c>
      <c r="E40" s="687">
        <f ca="1">tertiair!D20</f>
        <v>1517.1076855726126</v>
      </c>
      <c r="F40" s="687">
        <f>tertiair!E20</f>
        <v>41.729889670374902</v>
      </c>
      <c r="G40" s="687">
        <f ca="1">tertiair!F20</f>
        <v>529.318169789536</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4574.5260024659447</v>
      </c>
    </row>
    <row r="41" spans="1:18">
      <c r="A41" s="815" t="s">
        <v>225</v>
      </c>
      <c r="B41" s="822"/>
      <c r="C41" s="687">
        <f ca="1">huishoudens!B12</f>
        <v>7414.5276762452495</v>
      </c>
      <c r="D41" s="687">
        <f ca="1">huishoudens!C12</f>
        <v>0</v>
      </c>
      <c r="E41" s="687">
        <f>huishoudens!D12</f>
        <v>7452.5184699507236</v>
      </c>
      <c r="F41" s="687">
        <f>huishoudens!E12</f>
        <v>935.17979934144023</v>
      </c>
      <c r="G41" s="687">
        <f>huishoudens!F12</f>
        <v>15948.549868843289</v>
      </c>
      <c r="H41" s="687">
        <f>huishoudens!G12</f>
        <v>0</v>
      </c>
      <c r="I41" s="687">
        <f>huishoudens!H12</f>
        <v>0</v>
      </c>
      <c r="J41" s="687">
        <f>huishoudens!I12</f>
        <v>0</v>
      </c>
      <c r="K41" s="687">
        <f>huishoudens!J12</f>
        <v>2217.8216682953339</v>
      </c>
      <c r="L41" s="687">
        <f>huishoudens!K12</f>
        <v>0</v>
      </c>
      <c r="M41" s="687">
        <f>huishoudens!L12</f>
        <v>0</v>
      </c>
      <c r="N41" s="687">
        <f>huishoudens!M12</f>
        <v>0</v>
      </c>
      <c r="O41" s="687">
        <f>huishoudens!N12</f>
        <v>0</v>
      </c>
      <c r="P41" s="687">
        <f>huishoudens!O12</f>
        <v>0</v>
      </c>
      <c r="Q41" s="762">
        <f>huishoudens!P12</f>
        <v>0</v>
      </c>
      <c r="R41" s="843">
        <f t="shared" ca="1" si="4"/>
        <v>33968.597482676036</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589.19925412301416</v>
      </c>
      <c r="D43" s="687">
        <f ca="1">industrie!C22</f>
        <v>0</v>
      </c>
      <c r="E43" s="687">
        <f>industrie!D22</f>
        <v>277.51861391630689</v>
      </c>
      <c r="F43" s="687">
        <f>industrie!E22</f>
        <v>7.1345400693423038</v>
      </c>
      <c r="G43" s="687">
        <f>industrie!F22</f>
        <v>253.90856751834133</v>
      </c>
      <c r="H43" s="687">
        <f>industrie!G22</f>
        <v>0</v>
      </c>
      <c r="I43" s="687">
        <f>industrie!H22</f>
        <v>0</v>
      </c>
      <c r="J43" s="687">
        <f>industrie!I22</f>
        <v>0</v>
      </c>
      <c r="K43" s="687">
        <f>industrie!J22</f>
        <v>4.5219839684528047</v>
      </c>
      <c r="L43" s="687">
        <f>industrie!K22</f>
        <v>0</v>
      </c>
      <c r="M43" s="687">
        <f>industrie!L22</f>
        <v>0</v>
      </c>
      <c r="N43" s="687">
        <f>industrie!M22</f>
        <v>0</v>
      </c>
      <c r="O43" s="687">
        <f>industrie!N22</f>
        <v>0</v>
      </c>
      <c r="P43" s="687">
        <f>industrie!O22</f>
        <v>0</v>
      </c>
      <c r="Q43" s="762">
        <f>industrie!P22</f>
        <v>0</v>
      </c>
      <c r="R43" s="842">
        <f t="shared" ca="1" si="4"/>
        <v>1132.2829595954574</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10490.097187801684</v>
      </c>
      <c r="D46" s="720">
        <f t="shared" ref="D46:Q46" ca="1" si="5">SUM(D39:D45)</f>
        <v>0</v>
      </c>
      <c r="E46" s="720">
        <f t="shared" ca="1" si="5"/>
        <v>9247.1447694396429</v>
      </c>
      <c r="F46" s="720">
        <f t="shared" si="5"/>
        <v>984.04422908115737</v>
      </c>
      <c r="G46" s="720">
        <f t="shared" ca="1" si="5"/>
        <v>16731.776606151165</v>
      </c>
      <c r="H46" s="720">
        <f t="shared" si="5"/>
        <v>0</v>
      </c>
      <c r="I46" s="720">
        <f t="shared" si="5"/>
        <v>0</v>
      </c>
      <c r="J46" s="720">
        <f t="shared" si="5"/>
        <v>0</v>
      </c>
      <c r="K46" s="720">
        <f t="shared" si="5"/>
        <v>2222.3436522637867</v>
      </c>
      <c r="L46" s="720">
        <f t="shared" si="5"/>
        <v>0</v>
      </c>
      <c r="M46" s="720">
        <f t="shared" ca="1" si="5"/>
        <v>0</v>
      </c>
      <c r="N46" s="720">
        <f t="shared" si="5"/>
        <v>0</v>
      </c>
      <c r="O46" s="720">
        <f t="shared" ca="1" si="5"/>
        <v>0</v>
      </c>
      <c r="P46" s="720">
        <f t="shared" si="5"/>
        <v>0</v>
      </c>
      <c r="Q46" s="720">
        <f t="shared" si="5"/>
        <v>0</v>
      </c>
      <c r="R46" s="720">
        <f ca="1">SUM(R39:R45)</f>
        <v>39675.40644473744</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259.82995858737172</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259.82995858737172</v>
      </c>
    </row>
    <row r="50" spans="1:18">
      <c r="A50" s="818" t="s">
        <v>307</v>
      </c>
      <c r="B50" s="828"/>
      <c r="C50" s="995">
        <f ca="1">transport!B18</f>
        <v>0.1445642233961604</v>
      </c>
      <c r="D50" s="995">
        <f>transport!C18</f>
        <v>0</v>
      </c>
      <c r="E50" s="995">
        <f>transport!D18</f>
        <v>0.74519805424087948</v>
      </c>
      <c r="F50" s="995">
        <f>transport!E18</f>
        <v>83.529805085110212</v>
      </c>
      <c r="G50" s="995">
        <f>transport!F18</f>
        <v>0</v>
      </c>
      <c r="H50" s="995">
        <f>transport!G18</f>
        <v>16914.579992464765</v>
      </c>
      <c r="I50" s="995">
        <f>transport!H18</f>
        <v>3029.8192265462535</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20028.818786373766</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0.1445642233961604</v>
      </c>
      <c r="D52" s="720">
        <f t="shared" ref="D52:Q52" ca="1" si="6">SUM(D48:D51)</f>
        <v>0</v>
      </c>
      <c r="E52" s="720">
        <f t="shared" si="6"/>
        <v>0.74519805424087948</v>
      </c>
      <c r="F52" s="720">
        <f t="shared" si="6"/>
        <v>83.529805085110212</v>
      </c>
      <c r="G52" s="720">
        <f t="shared" si="6"/>
        <v>0</v>
      </c>
      <c r="H52" s="720">
        <f t="shared" si="6"/>
        <v>17174.409951052137</v>
      </c>
      <c r="I52" s="720">
        <f t="shared" si="6"/>
        <v>3029.8192265462535</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20288.648744961138</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247.08040844517592</v>
      </c>
      <c r="D54" s="995">
        <f ca="1">+landbouw!C12</f>
        <v>0</v>
      </c>
      <c r="E54" s="995">
        <f>+landbouw!D12</f>
        <v>27.855006164601274</v>
      </c>
      <c r="F54" s="995">
        <f>+landbouw!E12</f>
        <v>2.7456330071271755</v>
      </c>
      <c r="G54" s="995">
        <f>+landbouw!F12</f>
        <v>1320.1100673539438</v>
      </c>
      <c r="H54" s="995">
        <f>+landbouw!G12</f>
        <v>0</v>
      </c>
      <c r="I54" s="995">
        <f>+landbouw!H12</f>
        <v>0</v>
      </c>
      <c r="J54" s="995">
        <f>+landbouw!I12</f>
        <v>0</v>
      </c>
      <c r="K54" s="995">
        <f>+landbouw!J12</f>
        <v>36.515422298976276</v>
      </c>
      <c r="L54" s="995">
        <f>+landbouw!K12</f>
        <v>0</v>
      </c>
      <c r="M54" s="995">
        <f>+landbouw!L12</f>
        <v>0</v>
      </c>
      <c r="N54" s="995">
        <f>+landbouw!M12</f>
        <v>0</v>
      </c>
      <c r="O54" s="995">
        <f>+landbouw!N12</f>
        <v>0</v>
      </c>
      <c r="P54" s="995">
        <f>+landbouw!O12</f>
        <v>0</v>
      </c>
      <c r="Q54" s="996">
        <f>+landbouw!P12</f>
        <v>0</v>
      </c>
      <c r="R54" s="719">
        <f ca="1">SUM(C54:Q54)</f>
        <v>1634.3065372698245</v>
      </c>
    </row>
    <row r="55" spans="1:18" ht="15" thickBot="1">
      <c r="A55" s="818" t="s">
        <v>925</v>
      </c>
      <c r="B55" s="828"/>
      <c r="C55" s="995">
        <f ca="1">C25*'EF ele_warmte'!B12</f>
        <v>216.11345579527671</v>
      </c>
      <c r="D55" s="995"/>
      <c r="E55" s="995">
        <f>E25*EF_CO2_aardgas</f>
        <v>245.68281076178741</v>
      </c>
      <c r="F55" s="995"/>
      <c r="G55" s="995"/>
      <c r="H55" s="995"/>
      <c r="I55" s="995"/>
      <c r="J55" s="995"/>
      <c r="K55" s="995"/>
      <c r="L55" s="995"/>
      <c r="M55" s="995"/>
      <c r="N55" s="995"/>
      <c r="O55" s="995"/>
      <c r="P55" s="995"/>
      <c r="Q55" s="996"/>
      <c r="R55" s="719">
        <f ca="1">SUM(C55:Q55)</f>
        <v>461.79626655706409</v>
      </c>
    </row>
    <row r="56" spans="1:18" ht="15.75" thickBot="1">
      <c r="A56" s="816" t="s">
        <v>926</v>
      </c>
      <c r="B56" s="829"/>
      <c r="C56" s="720">
        <f ca="1">SUM(C54:C55)</f>
        <v>463.19386424045263</v>
      </c>
      <c r="D56" s="720">
        <f t="shared" ref="D56:Q56" ca="1" si="7">SUM(D54:D55)</f>
        <v>0</v>
      </c>
      <c r="E56" s="720">
        <f t="shared" si="7"/>
        <v>273.5378169263887</v>
      </c>
      <c r="F56" s="720">
        <f t="shared" si="7"/>
        <v>2.7456330071271755</v>
      </c>
      <c r="G56" s="720">
        <f t="shared" si="7"/>
        <v>1320.1100673539438</v>
      </c>
      <c r="H56" s="720">
        <f t="shared" si="7"/>
        <v>0</v>
      </c>
      <c r="I56" s="720">
        <f t="shared" si="7"/>
        <v>0</v>
      </c>
      <c r="J56" s="720">
        <f t="shared" si="7"/>
        <v>0</v>
      </c>
      <c r="K56" s="720">
        <f t="shared" si="7"/>
        <v>36.515422298976276</v>
      </c>
      <c r="L56" s="720">
        <f t="shared" si="7"/>
        <v>0</v>
      </c>
      <c r="M56" s="720">
        <f t="shared" si="7"/>
        <v>0</v>
      </c>
      <c r="N56" s="720">
        <f t="shared" si="7"/>
        <v>0</v>
      </c>
      <c r="O56" s="720">
        <f t="shared" si="7"/>
        <v>0</v>
      </c>
      <c r="P56" s="720">
        <f t="shared" si="7"/>
        <v>0</v>
      </c>
      <c r="Q56" s="721">
        <f t="shared" si="7"/>
        <v>0</v>
      </c>
      <c r="R56" s="722">
        <f ca="1">SUM(R54:R55)</f>
        <v>2096.1028038268887</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070"/>
      <c r="D58" s="1071"/>
      <c r="E58" s="1071"/>
      <c r="F58" s="1071"/>
      <c r="G58" s="1071"/>
      <c r="H58" s="1071"/>
      <c r="I58" s="1071"/>
      <c r="J58" s="1071"/>
      <c r="K58" s="1071"/>
      <c r="L58" s="1071"/>
      <c r="M58" s="1071"/>
      <c r="N58" s="1071"/>
      <c r="O58" s="1071"/>
      <c r="P58" s="1071"/>
      <c r="Q58" s="1071"/>
      <c r="R58" s="726"/>
    </row>
    <row r="59" spans="1:18" ht="15">
      <c r="A59" s="820" t="s">
        <v>239</v>
      </c>
      <c r="B59" s="807"/>
      <c r="C59" s="1072"/>
      <c r="D59" s="1073"/>
      <c r="E59" s="1073"/>
      <c r="F59" s="1073"/>
      <c r="G59" s="1073"/>
      <c r="H59" s="1073"/>
      <c r="I59" s="1073"/>
      <c r="J59" s="1073"/>
      <c r="K59" s="1073"/>
      <c r="L59" s="1073"/>
      <c r="M59" s="1073"/>
      <c r="N59" s="1073"/>
      <c r="O59" s="1073"/>
      <c r="P59" s="1073"/>
      <c r="Q59" s="1073"/>
      <c r="R59" s="727"/>
    </row>
    <row r="60" spans="1:18" ht="15" thickBot="1">
      <c r="A60" s="831" t="s">
        <v>240</v>
      </c>
      <c r="B60" s="832"/>
      <c r="C60" s="1072"/>
      <c r="D60" s="1073"/>
      <c r="E60" s="1073"/>
      <c r="F60" s="1073"/>
      <c r="G60" s="1073"/>
      <c r="H60" s="1073"/>
      <c r="I60" s="1073"/>
      <c r="J60" s="1073"/>
      <c r="K60" s="1073"/>
      <c r="L60" s="1073"/>
      <c r="M60" s="1073"/>
      <c r="N60" s="1073"/>
      <c r="O60" s="1073"/>
      <c r="P60" s="1073"/>
      <c r="Q60" s="1073"/>
      <c r="R60" s="719"/>
    </row>
    <row r="61" spans="1:18" ht="16.5" thickBot="1">
      <c r="A61" s="834" t="s">
        <v>116</v>
      </c>
      <c r="B61" s="835"/>
      <c r="C61" s="728">
        <f ca="1">C46+C52+C56</f>
        <v>10953.435616265533</v>
      </c>
      <c r="D61" s="728">
        <f t="shared" ref="D61:Q61" ca="1" si="8">D46+D52+D56</f>
        <v>0</v>
      </c>
      <c r="E61" s="728">
        <f t="shared" ca="1" si="8"/>
        <v>9521.4277844202734</v>
      </c>
      <c r="F61" s="728">
        <f t="shared" si="8"/>
        <v>1070.3196671733949</v>
      </c>
      <c r="G61" s="728">
        <f t="shared" ca="1" si="8"/>
        <v>18051.886673505109</v>
      </c>
      <c r="H61" s="728">
        <f t="shared" si="8"/>
        <v>17174.409951052137</v>
      </c>
      <c r="I61" s="728">
        <f t="shared" si="8"/>
        <v>3029.8192265462535</v>
      </c>
      <c r="J61" s="728">
        <f t="shared" si="8"/>
        <v>0</v>
      </c>
      <c r="K61" s="728">
        <f t="shared" si="8"/>
        <v>2258.859074562763</v>
      </c>
      <c r="L61" s="728">
        <f t="shared" si="8"/>
        <v>0</v>
      </c>
      <c r="M61" s="728">
        <f t="shared" ca="1" si="8"/>
        <v>0</v>
      </c>
      <c r="N61" s="728">
        <f t="shared" si="8"/>
        <v>0</v>
      </c>
      <c r="O61" s="728">
        <f t="shared" ca="1" si="8"/>
        <v>0</v>
      </c>
      <c r="P61" s="728">
        <f t="shared" si="8"/>
        <v>0</v>
      </c>
      <c r="Q61" s="728">
        <f t="shared" si="8"/>
        <v>0</v>
      </c>
      <c r="R61" s="728">
        <f ca="1">R46+R52+R56</f>
        <v>62060.15799352547</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0.21392438513208861</v>
      </c>
      <c r="D63" s="772">
        <f t="shared" ca="1" si="9"/>
        <v>0</v>
      </c>
      <c r="E63" s="997">
        <f t="shared" ca="1" si="9"/>
        <v>0.20200000000000001</v>
      </c>
      <c r="F63" s="772">
        <f t="shared" si="9"/>
        <v>0.22700000000000009</v>
      </c>
      <c r="G63" s="772">
        <f t="shared" ca="1" si="9"/>
        <v>0.26700000000000002</v>
      </c>
      <c r="H63" s="772">
        <f t="shared" si="9"/>
        <v>0.26700000000000002</v>
      </c>
      <c r="I63" s="772">
        <f t="shared" si="9"/>
        <v>0.24899999999999997</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90" t="s">
        <v>241</v>
      </c>
      <c r="B69" s="1093" t="s">
        <v>351</v>
      </c>
      <c r="C69" s="1094"/>
      <c r="D69" s="1097" t="s">
        <v>352</v>
      </c>
      <c r="E69" s="1098"/>
      <c r="F69" s="1098"/>
      <c r="G69" s="1098"/>
      <c r="H69" s="1098"/>
      <c r="I69" s="1098"/>
      <c r="J69" s="1098"/>
      <c r="K69" s="1098"/>
      <c r="L69" s="1098"/>
      <c r="M69" s="1098"/>
      <c r="N69" s="1098"/>
      <c r="O69" s="1099"/>
      <c r="P69" s="998" t="s">
        <v>662</v>
      </c>
      <c r="Q69" s="1100" t="s">
        <v>661</v>
      </c>
      <c r="R69" s="1101"/>
    </row>
    <row r="70" spans="1:18" ht="61.5" thickTop="1" thickBot="1">
      <c r="A70" s="1092"/>
      <c r="B70" s="1095"/>
      <c r="C70" s="1096"/>
      <c r="D70" s="1102" t="s">
        <v>197</v>
      </c>
      <c r="E70" s="1103"/>
      <c r="F70" s="1103"/>
      <c r="G70" s="1103"/>
      <c r="H70" s="1104"/>
      <c r="I70" s="968" t="s">
        <v>246</v>
      </c>
      <c r="J70" s="968" t="s">
        <v>234</v>
      </c>
      <c r="K70" s="968" t="s">
        <v>209</v>
      </c>
      <c r="L70" s="968" t="s">
        <v>210</v>
      </c>
      <c r="M70" s="737" t="s">
        <v>245</v>
      </c>
      <c r="N70" s="968" t="s">
        <v>247</v>
      </c>
      <c r="O70" s="970" t="s">
        <v>127</v>
      </c>
      <c r="P70" s="999"/>
      <c r="Q70" s="849"/>
      <c r="R70" s="850"/>
    </row>
    <row r="71" spans="1:18" ht="95.25" customHeight="1" thickTop="1" thickBot="1">
      <c r="A71" s="1091"/>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126"/>
      <c r="D72" s="1126"/>
      <c r="E72" s="1127"/>
      <c r="F72" s="1127"/>
      <c r="G72" s="1117"/>
      <c r="H72" s="1120"/>
      <c r="I72" s="1123"/>
      <c r="J72" s="971"/>
      <c r="K72" s="1105"/>
      <c r="L72" s="1105"/>
      <c r="M72" s="1105"/>
      <c r="N72" s="1105"/>
      <c r="O72" s="1108"/>
      <c r="P72" s="844">
        <v>0</v>
      </c>
      <c r="Q72" s="1004"/>
      <c r="R72" s="844">
        <v>0</v>
      </c>
    </row>
    <row r="73" spans="1:18" ht="15">
      <c r="A73" s="739" t="s">
        <v>250</v>
      </c>
      <c r="B73" s="738">
        <f>'lokale energieproductie'!B5</f>
        <v>0</v>
      </c>
      <c r="C73" s="1124"/>
      <c r="D73" s="1124"/>
      <c r="E73" s="1106"/>
      <c r="F73" s="1106"/>
      <c r="G73" s="1118"/>
      <c r="H73" s="1121"/>
      <c r="I73" s="1124"/>
      <c r="J73" s="972"/>
      <c r="K73" s="1106"/>
      <c r="L73" s="1106"/>
      <c r="M73" s="1106"/>
      <c r="N73" s="1106"/>
      <c r="O73" s="1109"/>
      <c r="P73" s="845">
        <v>0</v>
      </c>
      <c r="Q73" s="851"/>
      <c r="R73" s="845">
        <v>0</v>
      </c>
    </row>
    <row r="74" spans="1:18" ht="15">
      <c r="A74" s="739" t="s">
        <v>251</v>
      </c>
      <c r="B74" s="738">
        <f>'lokale energieproductie'!B6</f>
        <v>1639.3133649004719</v>
      </c>
      <c r="C74" s="1124"/>
      <c r="D74" s="1124"/>
      <c r="E74" s="1106"/>
      <c r="F74" s="1106"/>
      <c r="G74" s="1118"/>
      <c r="H74" s="1121"/>
      <c r="I74" s="1124"/>
      <c r="J74" s="972"/>
      <c r="K74" s="1106"/>
      <c r="L74" s="1106"/>
      <c r="M74" s="1106"/>
      <c r="N74" s="1106"/>
      <c r="O74" s="1109"/>
      <c r="P74" s="845">
        <v>0</v>
      </c>
      <c r="Q74" s="851"/>
      <c r="R74" s="845">
        <v>0</v>
      </c>
    </row>
    <row r="75" spans="1:18" ht="15.75" thickBot="1">
      <c r="A75" s="739" t="s">
        <v>920</v>
      </c>
      <c r="B75" s="738">
        <f>'lokale energieproductie'!B7</f>
        <v>0</v>
      </c>
      <c r="C75" s="1125"/>
      <c r="D75" s="1125"/>
      <c r="E75" s="1107"/>
      <c r="F75" s="1107"/>
      <c r="G75" s="1119"/>
      <c r="H75" s="1122"/>
      <c r="I75" s="1125"/>
      <c r="J75" s="1005"/>
      <c r="K75" s="1107"/>
      <c r="L75" s="1107"/>
      <c r="M75" s="1107"/>
      <c r="N75" s="1107"/>
      <c r="O75" s="1110"/>
      <c r="P75" s="845">
        <v>0</v>
      </c>
      <c r="Q75" s="1006"/>
      <c r="R75" s="845">
        <v>0</v>
      </c>
    </row>
    <row r="76" spans="1:18" ht="15">
      <c r="A76" s="740" t="s">
        <v>252</v>
      </c>
      <c r="B76" s="738">
        <f>'lokale energieproductie'!B8*IFERROR(SUM(I76:O76)/SUM(D76:O76),0)</f>
        <v>0</v>
      </c>
      <c r="C76" s="738">
        <f>'lokale energieproductie'!B8*IFERROR(SUM(D76:H76)/SUM(D76:O76),0)</f>
        <v>0</v>
      </c>
      <c r="D76" s="1007">
        <f>'lokale energieproductie'!C8</f>
        <v>0</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0</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1639.3133649004719</v>
      </c>
      <c r="C78" s="743">
        <f>SUM(C72:C77)</f>
        <v>0</v>
      </c>
      <c r="D78" s="744">
        <f t="shared" ref="D78:H78" si="10">SUM(D76:D77)</f>
        <v>0</v>
      </c>
      <c r="E78" s="744">
        <f t="shared" si="10"/>
        <v>0</v>
      </c>
      <c r="F78" s="744">
        <f t="shared" si="10"/>
        <v>0</v>
      </c>
      <c r="G78" s="744">
        <f t="shared" si="10"/>
        <v>0</v>
      </c>
      <c r="H78" s="744">
        <f t="shared" si="10"/>
        <v>0</v>
      </c>
      <c r="I78" s="744">
        <f>SUM(I76:I77)</f>
        <v>0</v>
      </c>
      <c r="J78" s="744">
        <f>SUM(J76:J77)</f>
        <v>0</v>
      </c>
      <c r="K78" s="744">
        <f t="shared" ref="K78:L78" si="11">SUM(K76:K77)</f>
        <v>0</v>
      </c>
      <c r="L78" s="744">
        <f t="shared" si="11"/>
        <v>0</v>
      </c>
      <c r="M78" s="744">
        <f>SUM(M76:M77)</f>
        <v>0</v>
      </c>
      <c r="N78" s="744">
        <f>SUM(N76:N77)</f>
        <v>0</v>
      </c>
      <c r="O78" s="853">
        <f>SUM(O76:O77)</f>
        <v>0</v>
      </c>
      <c r="P78" s="745">
        <v>0</v>
      </c>
      <c r="Q78" s="745">
        <f>SUM(Q76:Q77)</f>
        <v>0</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90" t="s">
        <v>253</v>
      </c>
      <c r="B84" s="1093" t="s">
        <v>355</v>
      </c>
      <c r="C84" s="1111"/>
      <c r="D84" s="1114" t="s">
        <v>356</v>
      </c>
      <c r="E84" s="1115"/>
      <c r="F84" s="1115"/>
      <c r="G84" s="1115"/>
      <c r="H84" s="1115"/>
      <c r="I84" s="1115"/>
      <c r="J84" s="1115"/>
      <c r="K84" s="1115"/>
      <c r="L84" s="1115"/>
      <c r="M84" s="1115"/>
      <c r="N84" s="1115"/>
      <c r="O84" s="1116"/>
      <c r="P84" s="998" t="s">
        <v>662</v>
      </c>
      <c r="Q84" s="1093" t="s">
        <v>661</v>
      </c>
      <c r="R84" s="1094"/>
    </row>
    <row r="85" spans="1:19" ht="16.5" customHeight="1" thickTop="1" thickBot="1">
      <c r="A85" s="1092"/>
      <c r="B85" s="1112"/>
      <c r="C85" s="1113"/>
      <c r="D85" s="1131" t="s">
        <v>197</v>
      </c>
      <c r="E85" s="1132"/>
      <c r="F85" s="1132"/>
      <c r="G85" s="1132"/>
      <c r="H85" s="1133"/>
      <c r="I85" s="1134" t="s">
        <v>246</v>
      </c>
      <c r="J85" s="1085" t="s">
        <v>234</v>
      </c>
      <c r="K85" s="1137" t="s">
        <v>209</v>
      </c>
      <c r="L85" s="1137" t="s">
        <v>210</v>
      </c>
      <c r="M85" s="1138" t="s">
        <v>245</v>
      </c>
      <c r="N85" s="1137" t="s">
        <v>257</v>
      </c>
      <c r="O85" s="1140" t="s">
        <v>127</v>
      </c>
      <c r="P85" s="999"/>
      <c r="Q85" s="849"/>
      <c r="R85" s="850"/>
    </row>
    <row r="86" spans="1:19" ht="110.25" customHeight="1" thickTop="1" thickBot="1">
      <c r="A86" s="1091"/>
      <c r="B86" s="837" t="s">
        <v>660</v>
      </c>
      <c r="C86" s="837" t="s">
        <v>927</v>
      </c>
      <c r="D86" s="976" t="s">
        <v>199</v>
      </c>
      <c r="E86" s="969" t="s">
        <v>200</v>
      </c>
      <c r="F86" s="967" t="s">
        <v>201</v>
      </c>
      <c r="G86" s="969" t="s">
        <v>203</v>
      </c>
      <c r="H86" s="752" t="s">
        <v>204</v>
      </c>
      <c r="I86" s="1135"/>
      <c r="J86" s="1136"/>
      <c r="K86" s="1086"/>
      <c r="L86" s="1086"/>
      <c r="M86" s="1139"/>
      <c r="N86" s="1086"/>
      <c r="O86" s="1141"/>
      <c r="P86" s="1003"/>
      <c r="Q86" s="976" t="s">
        <v>663</v>
      </c>
      <c r="R86" s="974" t="s">
        <v>664</v>
      </c>
    </row>
    <row r="87" spans="1:19" ht="15.75" thickTop="1">
      <c r="A87" s="753" t="s">
        <v>252</v>
      </c>
      <c r="B87" s="754">
        <f>'lokale energieproductie'!B17*IFERROR(SUM(I87:O87)/SUM(D87:O87),0)</f>
        <v>0</v>
      </c>
      <c r="C87" s="754">
        <f>'lokale energieproductie'!B17*IFERROR(SUM(D87:H87)/SUM(D87:O87),0)</f>
        <v>0</v>
      </c>
      <c r="D87" s="765">
        <f>'lokale energieproductie'!C17</f>
        <v>0</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128"/>
      <c r="Q87" s="852">
        <f>D87*EF_CO2_aardgas+E87*EF_VLgas_CO2+'SEAP template'!F87*EF_stookolie_CO2+EF_bruinkool_CO2*'SEAP template'!G87+'SEAP template'!H87*EF_steenkool_CO2+'EF brandstof'!M4*'SEAP template'!M87+'SEAP template'!O87*EF_anderfossiel_CO2</f>
        <v>0</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129"/>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130"/>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0</v>
      </c>
      <c r="D90" s="743">
        <f t="shared" ref="D90:H90" si="12">SUM(D87:D89)</f>
        <v>0</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0</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3" t="s">
        <v>241</v>
      </c>
      <c r="B1" s="1226" t="s">
        <v>242</v>
      </c>
      <c r="C1" s="1236" t="s">
        <v>243</v>
      </c>
      <c r="D1" s="1237"/>
      <c r="E1" s="1237"/>
      <c r="F1" s="1237"/>
      <c r="G1" s="1237"/>
      <c r="H1" s="1237"/>
      <c r="I1" s="1237"/>
      <c r="J1" s="1237"/>
      <c r="K1" s="1237"/>
      <c r="L1" s="1237"/>
      <c r="M1" s="1237"/>
      <c r="N1" s="1238"/>
      <c r="O1" s="1228" t="s">
        <v>244</v>
      </c>
      <c r="P1" s="1226" t="s">
        <v>559</v>
      </c>
      <c r="Q1" s="1228"/>
      <c r="S1" s="1222"/>
      <c r="T1" s="1222"/>
      <c r="U1" s="1222"/>
    </row>
    <row r="2" spans="1:21" s="545" customFormat="1" ht="15.75" thickBot="1">
      <c r="A2" s="1224"/>
      <c r="B2" s="1224"/>
      <c r="C2" s="1231" t="s">
        <v>197</v>
      </c>
      <c r="D2" s="1232"/>
      <c r="E2" s="1232"/>
      <c r="F2" s="1232"/>
      <c r="G2" s="1233"/>
      <c r="H2" s="1234" t="s">
        <v>245</v>
      </c>
      <c r="I2" s="1220" t="s">
        <v>246</v>
      </c>
      <c r="J2" s="1220" t="s">
        <v>234</v>
      </c>
      <c r="K2" s="1220" t="s">
        <v>247</v>
      </c>
      <c r="L2" s="1220" t="s">
        <v>127</v>
      </c>
      <c r="M2" s="1220" t="s">
        <v>921</v>
      </c>
      <c r="N2" s="1239" t="s">
        <v>922</v>
      </c>
      <c r="O2" s="1229"/>
      <c r="P2" s="1241"/>
      <c r="Q2" s="1229"/>
      <c r="S2" s="1222"/>
      <c r="T2" s="1222"/>
      <c r="U2" s="1222"/>
    </row>
    <row r="3" spans="1:21" s="545" customFormat="1" ht="53.45" customHeight="1" thickBot="1">
      <c r="A3" s="1225"/>
      <c r="B3" s="1227"/>
      <c r="C3" s="546" t="s">
        <v>199</v>
      </c>
      <c r="D3" s="1021" t="s">
        <v>200</v>
      </c>
      <c r="E3" s="547" t="s">
        <v>201</v>
      </c>
      <c r="F3" s="548" t="s">
        <v>203</v>
      </c>
      <c r="G3" s="549" t="s">
        <v>204</v>
      </c>
      <c r="H3" s="1235"/>
      <c r="I3" s="1221"/>
      <c r="J3" s="1221"/>
      <c r="K3" s="1221"/>
      <c r="L3" s="1221"/>
      <c r="M3" s="1221"/>
      <c r="N3" s="1240"/>
      <c r="O3" s="1230"/>
      <c r="P3" s="1227"/>
      <c r="Q3" s="1230"/>
      <c r="S3" s="1222"/>
      <c r="T3" s="1222"/>
      <c r="U3" s="1222"/>
    </row>
    <row r="4" spans="1:21" s="545" customFormat="1" ht="15.75" thickTop="1">
      <c r="A4" s="550" t="s">
        <v>249</v>
      </c>
      <c r="B4" s="551">
        <f>IF(ISERROR(kWh_wind_land),0,kWh_wind_land)</f>
        <v>0</v>
      </c>
      <c r="C4" s="1208"/>
      <c r="D4" s="1211"/>
      <c r="E4" s="1211"/>
      <c r="F4" s="1214"/>
      <c r="G4" s="1217"/>
      <c r="H4" s="1205"/>
      <c r="I4" s="1211"/>
      <c r="J4" s="1211"/>
      <c r="K4" s="1211"/>
      <c r="L4" s="1211"/>
      <c r="M4" s="1211"/>
      <c r="N4" s="983"/>
      <c r="O4" s="552"/>
      <c r="P4" s="1250"/>
      <c r="Q4" s="1251"/>
      <c r="S4" s="1018"/>
      <c r="T4" s="1249"/>
      <c r="U4" s="1249"/>
    </row>
    <row r="5" spans="1:21" s="545" customFormat="1">
      <c r="A5" s="553" t="s">
        <v>250</v>
      </c>
      <c r="B5" s="551">
        <f>IF(ISERROR(kWh_waterkracht),0,kWh_waterkracht)</f>
        <v>0</v>
      </c>
      <c r="C5" s="1209"/>
      <c r="D5" s="1212"/>
      <c r="E5" s="1212"/>
      <c r="F5" s="1215"/>
      <c r="G5" s="1218"/>
      <c r="H5" s="1206"/>
      <c r="I5" s="1212"/>
      <c r="J5" s="1212"/>
      <c r="K5" s="1212"/>
      <c r="L5" s="1212"/>
      <c r="M5" s="1212"/>
      <c r="N5" s="983"/>
      <c r="O5" s="554"/>
      <c r="P5" s="1252"/>
      <c r="Q5" s="1253"/>
      <c r="S5" s="1018"/>
      <c r="T5" s="1249"/>
      <c r="U5" s="1249"/>
    </row>
    <row r="6" spans="1:21" s="545" customFormat="1">
      <c r="A6" s="553" t="s">
        <v>251</v>
      </c>
      <c r="B6" s="551">
        <f>IF(ISERROR((kWh_PV_kleiner_dan_10kW+kWh_PV_groter_dan_10kW)),0,(kWh_PV_kleiner_dan_10kW+kWh_PV_groter_dan_10kW))</f>
        <v>1639.3133649004719</v>
      </c>
      <c r="C6" s="1209"/>
      <c r="D6" s="1212"/>
      <c r="E6" s="1212"/>
      <c r="F6" s="1215"/>
      <c r="G6" s="1218"/>
      <c r="H6" s="1206"/>
      <c r="I6" s="1212"/>
      <c r="J6" s="1212"/>
      <c r="K6" s="1212"/>
      <c r="L6" s="1212"/>
      <c r="M6" s="1212"/>
      <c r="N6" s="983"/>
      <c r="O6" s="554"/>
      <c r="P6" s="1252"/>
      <c r="Q6" s="1253"/>
      <c r="S6" s="1018"/>
      <c r="T6" s="1249"/>
      <c r="U6" s="1249"/>
    </row>
    <row r="7" spans="1:21" s="545" customFormat="1">
      <c r="A7" s="553" t="s">
        <v>920</v>
      </c>
      <c r="B7" s="551"/>
      <c r="C7" s="1210"/>
      <c r="D7" s="1213"/>
      <c r="E7" s="1213"/>
      <c r="F7" s="1216"/>
      <c r="G7" s="1219"/>
      <c r="H7" s="1207"/>
      <c r="I7" s="1213"/>
      <c r="J7" s="1213"/>
      <c r="K7" s="1213"/>
      <c r="L7" s="1213"/>
      <c r="M7" s="1213"/>
      <c r="N7" s="984"/>
      <c r="O7" s="554"/>
      <c r="P7" s="1019"/>
      <c r="Q7" s="1020"/>
      <c r="S7" s="1018"/>
      <c r="T7" s="1018"/>
      <c r="U7" s="1018"/>
    </row>
    <row r="8" spans="1:21" s="545" customFormat="1">
      <c r="A8" s="555" t="s">
        <v>252</v>
      </c>
      <c r="B8" s="556">
        <f>N58</f>
        <v>0</v>
      </c>
      <c r="C8" s="557">
        <f>B101</f>
        <v>0</v>
      </c>
      <c r="D8" s="985"/>
      <c r="E8" s="985">
        <f>E101</f>
        <v>0</v>
      </c>
      <c r="F8" s="986"/>
      <c r="G8" s="558"/>
      <c r="H8" s="985">
        <f>I101</f>
        <v>0</v>
      </c>
      <c r="I8" s="985">
        <f>G101+F101</f>
        <v>0</v>
      </c>
      <c r="J8" s="985">
        <f>H101+D101+C101</f>
        <v>0</v>
      </c>
      <c r="K8" s="985"/>
      <c r="L8" s="985"/>
      <c r="M8" s="985"/>
      <c r="N8" s="559"/>
      <c r="O8" s="560">
        <f>C8*$C$12+D8*$D$12+E8*$E$12+F8*$F$12+G8*$G$12+H8*$H$12+I8*$I$12+J8*$J$12</f>
        <v>0</v>
      </c>
      <c r="P8" s="1252"/>
      <c r="Q8" s="1253"/>
      <c r="S8" s="1018"/>
      <c r="T8" s="1249"/>
      <c r="U8" s="1249"/>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54"/>
      <c r="Q9" s="1255"/>
      <c r="R9" s="566"/>
      <c r="S9" s="1018"/>
      <c r="T9" s="1249"/>
      <c r="U9" s="1249"/>
    </row>
    <row r="10" spans="1:21" s="545" customFormat="1" ht="16.5" thickTop="1" thickBot="1">
      <c r="A10" s="567" t="s">
        <v>116</v>
      </c>
      <c r="B10" s="568">
        <f>SUM(B4:B9)</f>
        <v>1639.3133649004719</v>
      </c>
      <c r="C10" s="569">
        <f t="shared" ref="C10:L10" si="0">SUM(C8:C9)</f>
        <v>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980"/>
      <c r="N10" s="980"/>
      <c r="O10" s="570">
        <f>SUM(O4:O9)</f>
        <v>0</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3" t="s">
        <v>253</v>
      </c>
      <c r="B14" s="1223" t="s">
        <v>254</v>
      </c>
      <c r="C14" s="1246" t="s">
        <v>255</v>
      </c>
      <c r="D14" s="1247"/>
      <c r="E14" s="1247"/>
      <c r="F14" s="1247"/>
      <c r="G14" s="1247"/>
      <c r="H14" s="1247"/>
      <c r="I14" s="1247"/>
      <c r="J14" s="1247"/>
      <c r="K14" s="1247"/>
      <c r="L14" s="1247"/>
      <c r="M14" s="1247"/>
      <c r="N14" s="1248"/>
      <c r="O14" s="1228" t="s">
        <v>244</v>
      </c>
      <c r="P14" s="1226" t="s">
        <v>256</v>
      </c>
      <c r="Q14" s="1228"/>
      <c r="R14" s="1222"/>
      <c r="S14" s="1222"/>
      <c r="T14" s="1222"/>
    </row>
    <row r="15" spans="1:21" s="545" customFormat="1" ht="15.75" customHeight="1" thickBot="1">
      <c r="A15" s="1224"/>
      <c r="B15" s="1224"/>
      <c r="C15" s="1242" t="s">
        <v>197</v>
      </c>
      <c r="D15" s="1243"/>
      <c r="E15" s="1243"/>
      <c r="F15" s="1243"/>
      <c r="G15" s="1244"/>
      <c r="H15" s="1245" t="s">
        <v>245</v>
      </c>
      <c r="I15" s="1245" t="s">
        <v>246</v>
      </c>
      <c r="J15" s="1245" t="s">
        <v>234</v>
      </c>
      <c r="K15" s="1245" t="s">
        <v>257</v>
      </c>
      <c r="L15" s="1245" t="s">
        <v>127</v>
      </c>
      <c r="M15" s="1245" t="s">
        <v>921</v>
      </c>
      <c r="N15" s="1239" t="s">
        <v>922</v>
      </c>
      <c r="O15" s="1229"/>
      <c r="P15" s="1241"/>
      <c r="Q15" s="1229"/>
      <c r="R15" s="1222"/>
      <c r="S15" s="1222"/>
      <c r="T15" s="1222"/>
    </row>
    <row r="16" spans="1:21" s="545" customFormat="1" ht="40.700000000000003" customHeight="1" thickBot="1">
      <c r="A16" s="1225"/>
      <c r="B16" s="1225"/>
      <c r="C16" s="577" t="s">
        <v>199</v>
      </c>
      <c r="D16" s="1021" t="s">
        <v>200</v>
      </c>
      <c r="E16" s="978" t="s">
        <v>201</v>
      </c>
      <c r="F16" s="1021" t="s">
        <v>203</v>
      </c>
      <c r="G16" s="578" t="s">
        <v>204</v>
      </c>
      <c r="H16" s="1235"/>
      <c r="I16" s="1235"/>
      <c r="J16" s="1235"/>
      <c r="K16" s="1235"/>
      <c r="L16" s="1235"/>
      <c r="M16" s="1235"/>
      <c r="N16" s="1240"/>
      <c r="O16" s="1230"/>
      <c r="P16" s="1227"/>
      <c r="Q16" s="1230"/>
      <c r="R16" s="1222"/>
      <c r="S16" s="1222"/>
      <c r="T16" s="1222"/>
    </row>
    <row r="17" spans="1:26" s="545" customFormat="1" ht="15.75" thickTop="1">
      <c r="A17" s="579" t="s">
        <v>252</v>
      </c>
      <c r="B17" s="580">
        <f>O58</f>
        <v>0</v>
      </c>
      <c r="C17" s="581">
        <f>B102</f>
        <v>0</v>
      </c>
      <c r="D17" s="582"/>
      <c r="E17" s="582">
        <f>E102</f>
        <v>0</v>
      </c>
      <c r="F17" s="583"/>
      <c r="G17" s="584"/>
      <c r="H17" s="581">
        <f>I102</f>
        <v>0</v>
      </c>
      <c r="I17" s="582">
        <f>G102+F102</f>
        <v>0</v>
      </c>
      <c r="J17" s="582">
        <f>H102+D102+C102</f>
        <v>0</v>
      </c>
      <c r="K17" s="582"/>
      <c r="L17" s="582"/>
      <c r="M17" s="582"/>
      <c r="N17" s="981"/>
      <c r="O17" s="585">
        <f>C17*$C$22+E17*$E$22+H17*$H$22+I17*$I$22+J17*$J$22+D17*$D$22+F17*$F$22+G17*$G$22+K17*$K$22+L17*$L$22</f>
        <v>0</v>
      </c>
      <c r="P17" s="1259"/>
      <c r="Q17" s="1260"/>
      <c r="R17" s="1017"/>
      <c r="S17" s="1261"/>
      <c r="T17" s="1261"/>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62"/>
      <c r="Q18" s="1263"/>
      <c r="R18" s="1018"/>
      <c r="S18" s="1249"/>
      <c r="T18" s="1249"/>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64"/>
      <c r="Q19" s="1265"/>
      <c r="R19" s="1018"/>
      <c r="S19" s="1249"/>
      <c r="T19" s="1249"/>
    </row>
    <row r="20" spans="1:26" s="545" customFormat="1" ht="16.5" thickTop="1" thickBot="1">
      <c r="A20" s="567" t="s">
        <v>116</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0</v>
      </c>
      <c r="P20" s="1256"/>
      <c r="Q20" s="1257"/>
      <c r="R20" s="1018"/>
      <c r="S20" s="1258"/>
      <c r="T20" s="1258"/>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12.75">
      <c r="A28" s="593"/>
      <c r="B28" s="788"/>
      <c r="C28" s="788"/>
      <c r="D28" s="641"/>
      <c r="E28" s="640"/>
      <c r="F28" s="640"/>
      <c r="G28" s="640"/>
      <c r="H28" s="640"/>
      <c r="I28" s="640"/>
      <c r="J28" s="787"/>
      <c r="K28" s="787"/>
      <c r="L28" s="640"/>
      <c r="M28" s="640"/>
      <c r="N28" s="640"/>
      <c r="O28" s="640"/>
      <c r="P28" s="640"/>
      <c r="Q28" s="640"/>
      <c r="R28" s="640"/>
      <c r="S28" s="640"/>
      <c r="T28" s="640"/>
      <c r="U28" s="640"/>
      <c r="V28" s="640"/>
      <c r="W28" s="640"/>
      <c r="X28" s="640"/>
      <c r="Y28" s="640"/>
      <c r="Z28" s="642"/>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0</v>
      </c>
      <c r="N58" s="598">
        <f>SUM(N28:N57)</f>
        <v>0</v>
      </c>
      <c r="O58" s="598">
        <f t="shared" ref="O58:W58" si="2">SUM(O28:O57)</f>
        <v>0</v>
      </c>
      <c r="P58" s="598">
        <f t="shared" si="2"/>
        <v>0</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0</v>
      </c>
      <c r="N61" s="603">
        <f t="shared" si="4"/>
        <v>0</v>
      </c>
      <c r="O61" s="603">
        <f t="shared" si="4"/>
        <v>0</v>
      </c>
      <c r="P61" s="603">
        <f t="shared" si="4"/>
        <v>0</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v>
      </c>
      <c r="C98" s="623">
        <f>IF(ISERROR(N58/(O58+N58)),0,N58/(N58+O58))</f>
        <v>0</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0</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0</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2"/>
  <sheetViews>
    <sheetView topLeftCell="A34" workbookViewId="0">
      <selection activeCell="C53" sqref="C5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row r="52" spans="1:4">
      <c r="A52" t="s">
        <v>954</v>
      </c>
      <c r="B52" s="887">
        <v>43678</v>
      </c>
      <c r="C52" s="887" t="s">
        <v>953</v>
      </c>
      <c r="D52" s="768" t="s">
        <v>753</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 ref="D5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34659.572220656912</v>
      </c>
      <c r="C4" s="460">
        <f>huishoudens!C8</f>
        <v>0</v>
      </c>
      <c r="D4" s="460">
        <f>huishoudens!D8</f>
        <v>36893.655791835263</v>
      </c>
      <c r="E4" s="460">
        <f>huishoudens!E8</f>
        <v>4119.7347988609699</v>
      </c>
      <c r="F4" s="460">
        <f>huishoudens!F8</f>
        <v>59732.396512521678</v>
      </c>
      <c r="G4" s="460">
        <f>huishoudens!G8</f>
        <v>0</v>
      </c>
      <c r="H4" s="460">
        <f>huishoudens!H8</f>
        <v>0</v>
      </c>
      <c r="I4" s="460">
        <f>huishoudens!I8</f>
        <v>0</v>
      </c>
      <c r="J4" s="460">
        <f>huishoudens!J8</f>
        <v>6265.0329612862542</v>
      </c>
      <c r="K4" s="460">
        <f>huishoudens!K8</f>
        <v>0</v>
      </c>
      <c r="L4" s="460">
        <f>huishoudens!L8</f>
        <v>0</v>
      </c>
      <c r="M4" s="460">
        <f>huishoudens!M8</f>
        <v>0</v>
      </c>
      <c r="N4" s="460">
        <f>huishoudens!N8</f>
        <v>16640.520240850547</v>
      </c>
      <c r="O4" s="460">
        <f>huishoudens!O8</f>
        <v>100.05333333333334</v>
      </c>
      <c r="P4" s="461">
        <f>huishoudens!P8</f>
        <v>286</v>
      </c>
      <c r="Q4" s="462">
        <f>SUM(B4:P4)</f>
        <v>158696.96585934496</v>
      </c>
    </row>
    <row r="5" spans="1:17">
      <c r="A5" s="459" t="s">
        <v>156</v>
      </c>
      <c r="B5" s="460">
        <f ca="1">tertiair!B16</f>
        <v>10189.375361148563</v>
      </c>
      <c r="C5" s="460">
        <f ca="1">tertiair!C16</f>
        <v>0</v>
      </c>
      <c r="D5" s="460">
        <f ca="1">tertiair!D16</f>
        <v>7510.4340869931311</v>
      </c>
      <c r="E5" s="460">
        <f>tertiair!E16</f>
        <v>183.83211308535198</v>
      </c>
      <c r="F5" s="460">
        <f ca="1">tertiair!F16</f>
        <v>1982.4650553915203</v>
      </c>
      <c r="G5" s="460">
        <f>tertiair!G16</f>
        <v>0</v>
      </c>
      <c r="H5" s="460">
        <f>tertiair!H16</f>
        <v>0</v>
      </c>
      <c r="I5" s="460">
        <f>tertiair!I16</f>
        <v>0</v>
      </c>
      <c r="J5" s="460">
        <f>tertiair!J16</f>
        <v>0</v>
      </c>
      <c r="K5" s="460">
        <f>tertiair!K16</f>
        <v>0</v>
      </c>
      <c r="L5" s="460">
        <f ca="1">tertiair!L16</f>
        <v>0</v>
      </c>
      <c r="M5" s="460">
        <f>tertiair!M16</f>
        <v>0</v>
      </c>
      <c r="N5" s="460">
        <f ca="1">tertiair!N16</f>
        <v>348.12112637527969</v>
      </c>
      <c r="O5" s="460">
        <f>tertiair!O16</f>
        <v>0</v>
      </c>
      <c r="P5" s="461">
        <f>tertiair!P16</f>
        <v>19.066666666666666</v>
      </c>
      <c r="Q5" s="459">
        <f t="shared" ref="Q5:Q14" ca="1" si="0">SUM(B5:P5)</f>
        <v>20233.29440966051</v>
      </c>
    </row>
    <row r="6" spans="1:17">
      <c r="A6" s="459" t="s">
        <v>194</v>
      </c>
      <c r="B6" s="460">
        <f>'openbare verlichting'!B8</f>
        <v>1433.2840000000001</v>
      </c>
      <c r="C6" s="460"/>
      <c r="D6" s="460"/>
      <c r="E6" s="460"/>
      <c r="F6" s="460"/>
      <c r="G6" s="460"/>
      <c r="H6" s="460"/>
      <c r="I6" s="460"/>
      <c r="J6" s="460"/>
      <c r="K6" s="460"/>
      <c r="L6" s="460"/>
      <c r="M6" s="460"/>
      <c r="N6" s="460"/>
      <c r="O6" s="460"/>
      <c r="P6" s="461"/>
      <c r="Q6" s="459">
        <f t="shared" si="0"/>
        <v>1433.2840000000001</v>
      </c>
    </row>
    <row r="7" spans="1:17">
      <c r="A7" s="459" t="s">
        <v>112</v>
      </c>
      <c r="B7" s="460">
        <f>landbouw!B8</f>
        <v>1154.989452430189</v>
      </c>
      <c r="C7" s="460">
        <f>landbouw!C8</f>
        <v>0</v>
      </c>
      <c r="D7" s="460">
        <f>landbouw!D8</f>
        <v>137.89607012178848</v>
      </c>
      <c r="E7" s="460">
        <f>landbouw!E8</f>
        <v>12.095299590868613</v>
      </c>
      <c r="F7" s="460">
        <f>landbouw!F8</f>
        <v>4944.2324619997889</v>
      </c>
      <c r="G7" s="460">
        <f>landbouw!G8</f>
        <v>0</v>
      </c>
      <c r="H7" s="460">
        <f>landbouw!H8</f>
        <v>0</v>
      </c>
      <c r="I7" s="460">
        <f>landbouw!I8</f>
        <v>0</v>
      </c>
      <c r="J7" s="460">
        <f>landbouw!J8</f>
        <v>103.15091044908553</v>
      </c>
      <c r="K7" s="460">
        <f>landbouw!K8</f>
        <v>0</v>
      </c>
      <c r="L7" s="460">
        <f>landbouw!L8</f>
        <v>0</v>
      </c>
      <c r="M7" s="460">
        <f>landbouw!M8</f>
        <v>0</v>
      </c>
      <c r="N7" s="460">
        <f>landbouw!N8</f>
        <v>0</v>
      </c>
      <c r="O7" s="460">
        <f>landbouw!O8</f>
        <v>0</v>
      </c>
      <c r="P7" s="461">
        <f>landbouw!P8</f>
        <v>0</v>
      </c>
      <c r="Q7" s="459">
        <f t="shared" si="0"/>
        <v>6352.3641945917198</v>
      </c>
    </row>
    <row r="8" spans="1:17">
      <c r="A8" s="459" t="s">
        <v>655</v>
      </c>
      <c r="B8" s="460">
        <f>industrie!B18</f>
        <v>2754.2407274383904</v>
      </c>
      <c r="C8" s="460">
        <f>industrie!C18</f>
        <v>0</v>
      </c>
      <c r="D8" s="460">
        <f>industrie!D18</f>
        <v>1373.8545243381527</v>
      </c>
      <c r="E8" s="460">
        <f>industrie!E18</f>
        <v>31.42969193542865</v>
      </c>
      <c r="F8" s="460">
        <f>industrie!F18</f>
        <v>950.9684176716903</v>
      </c>
      <c r="G8" s="460">
        <f>industrie!G18</f>
        <v>0</v>
      </c>
      <c r="H8" s="460">
        <f>industrie!H18</f>
        <v>0</v>
      </c>
      <c r="I8" s="460">
        <f>industrie!I18</f>
        <v>0</v>
      </c>
      <c r="J8" s="460">
        <f>industrie!J18</f>
        <v>12.773966012578544</v>
      </c>
      <c r="K8" s="460">
        <f>industrie!K18</f>
        <v>0</v>
      </c>
      <c r="L8" s="460">
        <f>industrie!L18</f>
        <v>0</v>
      </c>
      <c r="M8" s="460">
        <f>industrie!M18</f>
        <v>0</v>
      </c>
      <c r="N8" s="460">
        <f>industrie!N18</f>
        <v>87.261691209808973</v>
      </c>
      <c r="O8" s="460">
        <f>industrie!O18</f>
        <v>0</v>
      </c>
      <c r="P8" s="461">
        <f>industrie!P18</f>
        <v>0</v>
      </c>
      <c r="Q8" s="459">
        <f t="shared" si="0"/>
        <v>5210.5290186060502</v>
      </c>
    </row>
    <row r="9" spans="1:17" s="465" customFormat="1">
      <c r="A9" s="463" t="s">
        <v>573</v>
      </c>
      <c r="B9" s="464">
        <f>transport!B14</f>
        <v>0.67577253199488463</v>
      </c>
      <c r="C9" s="464">
        <f>transport!C14</f>
        <v>0</v>
      </c>
      <c r="D9" s="464">
        <f>transport!D14</f>
        <v>3.6890992784201955</v>
      </c>
      <c r="E9" s="464">
        <f>transport!E14</f>
        <v>367.97270962603619</v>
      </c>
      <c r="F9" s="464">
        <f>transport!F14</f>
        <v>0</v>
      </c>
      <c r="G9" s="464">
        <f>transport!G14</f>
        <v>63350.486863163911</v>
      </c>
      <c r="H9" s="464">
        <f>transport!H14</f>
        <v>12167.948700988971</v>
      </c>
      <c r="I9" s="464">
        <f>transport!I14</f>
        <v>0</v>
      </c>
      <c r="J9" s="464">
        <f>transport!J14</f>
        <v>0</v>
      </c>
      <c r="K9" s="464">
        <f>transport!K14</f>
        <v>0</v>
      </c>
      <c r="L9" s="464">
        <f>transport!L14</f>
        <v>0</v>
      </c>
      <c r="M9" s="464">
        <f>transport!M14</f>
        <v>3298.5710168590117</v>
      </c>
      <c r="N9" s="464">
        <f>transport!N14</f>
        <v>0</v>
      </c>
      <c r="O9" s="464">
        <f>transport!O14</f>
        <v>0</v>
      </c>
      <c r="P9" s="464">
        <f>transport!P14</f>
        <v>0</v>
      </c>
      <c r="Q9" s="463">
        <f>SUM(B9:P9)</f>
        <v>79189.344162448353</v>
      </c>
    </row>
    <row r="10" spans="1:17">
      <c r="A10" s="459" t="s">
        <v>563</v>
      </c>
      <c r="B10" s="460">
        <f>transport!B54</f>
        <v>0</v>
      </c>
      <c r="C10" s="460">
        <f>transport!C54</f>
        <v>0</v>
      </c>
      <c r="D10" s="460">
        <f>transport!D54</f>
        <v>0</v>
      </c>
      <c r="E10" s="460">
        <f>transport!E54</f>
        <v>0</v>
      </c>
      <c r="F10" s="460">
        <f>transport!F54</f>
        <v>0</v>
      </c>
      <c r="G10" s="460">
        <f>transport!G54</f>
        <v>973.14591231225359</v>
      </c>
      <c r="H10" s="460">
        <f>transport!H54</f>
        <v>0</v>
      </c>
      <c r="I10" s="460">
        <f>transport!I54</f>
        <v>0</v>
      </c>
      <c r="J10" s="460">
        <f>transport!J54</f>
        <v>0</v>
      </c>
      <c r="K10" s="460">
        <f>transport!K54</f>
        <v>0</v>
      </c>
      <c r="L10" s="460">
        <f>transport!L54</f>
        <v>0</v>
      </c>
      <c r="M10" s="460">
        <f>transport!M54</f>
        <v>41.480982432259253</v>
      </c>
      <c r="N10" s="460">
        <f>transport!N54</f>
        <v>0</v>
      </c>
      <c r="O10" s="460">
        <f>transport!O54</f>
        <v>0</v>
      </c>
      <c r="P10" s="461">
        <f>transport!P54</f>
        <v>0</v>
      </c>
      <c r="Q10" s="459">
        <f t="shared" si="0"/>
        <v>1014.6268947445128</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1010.23291786879</v>
      </c>
      <c r="C14" s="467"/>
      <c r="D14" s="467">
        <f>'SEAP template'!E25</f>
        <v>1216.2515384246901</v>
      </c>
      <c r="E14" s="467"/>
      <c r="F14" s="467"/>
      <c r="G14" s="467"/>
      <c r="H14" s="467"/>
      <c r="I14" s="467"/>
      <c r="J14" s="467"/>
      <c r="K14" s="467"/>
      <c r="L14" s="467"/>
      <c r="M14" s="467"/>
      <c r="N14" s="467"/>
      <c r="O14" s="467"/>
      <c r="P14" s="468"/>
      <c r="Q14" s="459">
        <f t="shared" si="0"/>
        <v>2226.48445629348</v>
      </c>
    </row>
    <row r="15" spans="1:17" s="472" customFormat="1">
      <c r="A15" s="469" t="s">
        <v>567</v>
      </c>
      <c r="B15" s="470">
        <f ca="1">SUM(B4:B14)</f>
        <v>51202.370452074843</v>
      </c>
      <c r="C15" s="470">
        <f t="shared" ref="C15:Q15" ca="1" si="1">SUM(C4:C14)</f>
        <v>0</v>
      </c>
      <c r="D15" s="470">
        <f t="shared" ca="1" si="1"/>
        <v>47135.78111099144</v>
      </c>
      <c r="E15" s="470">
        <f t="shared" si="1"/>
        <v>4715.0646130986543</v>
      </c>
      <c r="F15" s="470">
        <f t="shared" ca="1" si="1"/>
        <v>67610.062447584671</v>
      </c>
      <c r="G15" s="470">
        <f t="shared" si="1"/>
        <v>64323.632775476166</v>
      </c>
      <c r="H15" s="470">
        <f t="shared" si="1"/>
        <v>12167.948700988971</v>
      </c>
      <c r="I15" s="470">
        <f t="shared" si="1"/>
        <v>0</v>
      </c>
      <c r="J15" s="470">
        <f t="shared" si="1"/>
        <v>6380.9578377479183</v>
      </c>
      <c r="K15" s="470">
        <f t="shared" si="1"/>
        <v>0</v>
      </c>
      <c r="L15" s="470">
        <f t="shared" ca="1" si="1"/>
        <v>0</v>
      </c>
      <c r="M15" s="470">
        <f t="shared" si="1"/>
        <v>3340.0519992912709</v>
      </c>
      <c r="N15" s="470">
        <f t="shared" ca="1" si="1"/>
        <v>17075.903058435637</v>
      </c>
      <c r="O15" s="470">
        <f t="shared" si="1"/>
        <v>100.05333333333334</v>
      </c>
      <c r="P15" s="470">
        <f t="shared" si="1"/>
        <v>305.06666666666666</v>
      </c>
      <c r="Q15" s="470">
        <f t="shared" ca="1" si="1"/>
        <v>274356.89299568959</v>
      </c>
    </row>
    <row r="17" spans="1:17">
      <c r="A17" s="473" t="s">
        <v>568</v>
      </c>
      <c r="B17" s="777">
        <f ca="1">huishoudens!B10</f>
        <v>0.21392438513208864</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7414.5276762452495</v>
      </c>
      <c r="C22" s="460">
        <f t="shared" ref="C22:C32" ca="1" si="3">C4*$C$17</f>
        <v>0</v>
      </c>
      <c r="D22" s="460">
        <f t="shared" ref="D22:D32" si="4">D4*$D$17</f>
        <v>7452.5184699507236</v>
      </c>
      <c r="E22" s="460">
        <f t="shared" ref="E22:E32" si="5">E4*$E$17</f>
        <v>935.17979934144023</v>
      </c>
      <c r="F22" s="460">
        <f t="shared" ref="F22:F32" si="6">F4*$F$17</f>
        <v>15948.549868843289</v>
      </c>
      <c r="G22" s="460">
        <f t="shared" ref="G22:G32" si="7">G4*$G$17</f>
        <v>0</v>
      </c>
      <c r="H22" s="460">
        <f t="shared" ref="H22:H32" si="8">H4*$H$17</f>
        <v>0</v>
      </c>
      <c r="I22" s="460">
        <f t="shared" ref="I22:I32" si="9">I4*$I$17</f>
        <v>0</v>
      </c>
      <c r="J22" s="460">
        <f t="shared" ref="J22:J32" si="10">J4*$J$17</f>
        <v>2217.8216682953339</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33968.597482676036</v>
      </c>
    </row>
    <row r="23" spans="1:17">
      <c r="A23" s="459" t="s">
        <v>156</v>
      </c>
      <c r="B23" s="460">
        <f t="shared" ca="1" si="2"/>
        <v>2179.7558590137601</v>
      </c>
      <c r="C23" s="460">
        <f t="shared" ca="1" si="3"/>
        <v>0</v>
      </c>
      <c r="D23" s="460">
        <f t="shared" ca="1" si="4"/>
        <v>1517.1076855726126</v>
      </c>
      <c r="E23" s="460">
        <f t="shared" si="5"/>
        <v>41.729889670374902</v>
      </c>
      <c r="F23" s="460">
        <f t="shared" ca="1" si="6"/>
        <v>529.318169789536</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4267.9116040462841</v>
      </c>
    </row>
    <row r="24" spans="1:17">
      <c r="A24" s="459" t="s">
        <v>194</v>
      </c>
      <c r="B24" s="460">
        <f t="shared" ca="1" si="2"/>
        <v>306.61439841966057</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306.61439841966057</v>
      </c>
    </row>
    <row r="25" spans="1:17">
      <c r="A25" s="459" t="s">
        <v>112</v>
      </c>
      <c r="B25" s="460">
        <f t="shared" ca="1" si="2"/>
        <v>247.08040844517592</v>
      </c>
      <c r="C25" s="460">
        <f t="shared" ca="1" si="3"/>
        <v>0</v>
      </c>
      <c r="D25" s="460">
        <f t="shared" si="4"/>
        <v>27.855006164601274</v>
      </c>
      <c r="E25" s="460">
        <f t="shared" si="5"/>
        <v>2.7456330071271755</v>
      </c>
      <c r="F25" s="460">
        <f t="shared" si="6"/>
        <v>1320.1100673539438</v>
      </c>
      <c r="G25" s="460">
        <f t="shared" si="7"/>
        <v>0</v>
      </c>
      <c r="H25" s="460">
        <f t="shared" si="8"/>
        <v>0</v>
      </c>
      <c r="I25" s="460">
        <f t="shared" si="9"/>
        <v>0</v>
      </c>
      <c r="J25" s="460">
        <f t="shared" si="10"/>
        <v>36.515422298976276</v>
      </c>
      <c r="K25" s="460">
        <f t="shared" si="11"/>
        <v>0</v>
      </c>
      <c r="L25" s="460">
        <f t="shared" si="12"/>
        <v>0</v>
      </c>
      <c r="M25" s="460">
        <f t="shared" si="13"/>
        <v>0</v>
      </c>
      <c r="N25" s="460">
        <f t="shared" si="14"/>
        <v>0</v>
      </c>
      <c r="O25" s="460">
        <f t="shared" si="15"/>
        <v>0</v>
      </c>
      <c r="P25" s="461">
        <f t="shared" si="16"/>
        <v>0</v>
      </c>
      <c r="Q25" s="459">
        <f t="shared" ca="1" si="17"/>
        <v>1634.3065372698245</v>
      </c>
    </row>
    <row r="26" spans="1:17">
      <c r="A26" s="459" t="s">
        <v>655</v>
      </c>
      <c r="B26" s="460">
        <f t="shared" ca="1" si="2"/>
        <v>589.19925412301416</v>
      </c>
      <c r="C26" s="460">
        <f t="shared" ca="1" si="3"/>
        <v>0</v>
      </c>
      <c r="D26" s="460">
        <f t="shared" si="4"/>
        <v>277.51861391630689</v>
      </c>
      <c r="E26" s="460">
        <f t="shared" si="5"/>
        <v>7.1345400693423038</v>
      </c>
      <c r="F26" s="460">
        <f t="shared" si="6"/>
        <v>253.90856751834133</v>
      </c>
      <c r="G26" s="460">
        <f t="shared" si="7"/>
        <v>0</v>
      </c>
      <c r="H26" s="460">
        <f t="shared" si="8"/>
        <v>0</v>
      </c>
      <c r="I26" s="460">
        <f t="shared" si="9"/>
        <v>0</v>
      </c>
      <c r="J26" s="460">
        <f t="shared" si="10"/>
        <v>4.5219839684528047</v>
      </c>
      <c r="K26" s="460">
        <f t="shared" si="11"/>
        <v>0</v>
      </c>
      <c r="L26" s="460">
        <f t="shared" si="12"/>
        <v>0</v>
      </c>
      <c r="M26" s="460">
        <f t="shared" si="13"/>
        <v>0</v>
      </c>
      <c r="N26" s="460">
        <f t="shared" si="14"/>
        <v>0</v>
      </c>
      <c r="O26" s="460">
        <f t="shared" si="15"/>
        <v>0</v>
      </c>
      <c r="P26" s="461">
        <f t="shared" si="16"/>
        <v>0</v>
      </c>
      <c r="Q26" s="459">
        <f t="shared" ca="1" si="17"/>
        <v>1132.2829595954574</v>
      </c>
    </row>
    <row r="27" spans="1:17" s="465" customFormat="1">
      <c r="A27" s="463" t="s">
        <v>573</v>
      </c>
      <c r="B27" s="771">
        <f t="shared" ca="1" si="2"/>
        <v>0.1445642233961604</v>
      </c>
      <c r="C27" s="464">
        <f t="shared" ca="1" si="3"/>
        <v>0</v>
      </c>
      <c r="D27" s="464">
        <f t="shared" si="4"/>
        <v>0.74519805424087948</v>
      </c>
      <c r="E27" s="464">
        <f t="shared" si="5"/>
        <v>83.529805085110212</v>
      </c>
      <c r="F27" s="464">
        <f t="shared" si="6"/>
        <v>0</v>
      </c>
      <c r="G27" s="464">
        <f t="shared" si="7"/>
        <v>16914.579992464765</v>
      </c>
      <c r="H27" s="464">
        <f t="shared" si="8"/>
        <v>3029.8192265462535</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20028.818786373766</v>
      </c>
    </row>
    <row r="28" spans="1:17">
      <c r="A28" s="459" t="s">
        <v>563</v>
      </c>
      <c r="B28" s="460">
        <f t="shared" ca="1" si="2"/>
        <v>0</v>
      </c>
      <c r="C28" s="460">
        <f t="shared" ca="1" si="3"/>
        <v>0</v>
      </c>
      <c r="D28" s="460">
        <f t="shared" si="4"/>
        <v>0</v>
      </c>
      <c r="E28" s="460">
        <f t="shared" si="5"/>
        <v>0</v>
      </c>
      <c r="F28" s="460">
        <f t="shared" si="6"/>
        <v>0</v>
      </c>
      <c r="G28" s="460">
        <f t="shared" si="7"/>
        <v>259.82995858737172</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259.82995858737172</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216.11345579527671</v>
      </c>
      <c r="C32" s="460">
        <f t="shared" ca="1" si="3"/>
        <v>0</v>
      </c>
      <c r="D32" s="460">
        <f t="shared" si="4"/>
        <v>245.68281076178741</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461.79626655706409</v>
      </c>
    </row>
    <row r="33" spans="1:17" s="472" customFormat="1">
      <c r="A33" s="469" t="s">
        <v>567</v>
      </c>
      <c r="B33" s="470">
        <f ca="1">SUM(B22:B32)</f>
        <v>10953.435616265533</v>
      </c>
      <c r="C33" s="470">
        <f t="shared" ref="C33:Q33" ca="1" si="19">SUM(C22:C32)</f>
        <v>0</v>
      </c>
      <c r="D33" s="470">
        <f t="shared" ca="1" si="19"/>
        <v>9521.4277844202734</v>
      </c>
      <c r="E33" s="470">
        <f t="shared" si="19"/>
        <v>1070.3196671733947</v>
      </c>
      <c r="F33" s="470">
        <f t="shared" ca="1" si="19"/>
        <v>18051.886673505109</v>
      </c>
      <c r="G33" s="470">
        <f t="shared" si="19"/>
        <v>17174.409951052137</v>
      </c>
      <c r="H33" s="470">
        <f t="shared" si="19"/>
        <v>3029.8192265462535</v>
      </c>
      <c r="I33" s="470">
        <f t="shared" si="19"/>
        <v>0</v>
      </c>
      <c r="J33" s="470">
        <f t="shared" si="19"/>
        <v>2258.859074562763</v>
      </c>
      <c r="K33" s="470">
        <f t="shared" si="19"/>
        <v>0</v>
      </c>
      <c r="L33" s="470">
        <f t="shared" ca="1" si="19"/>
        <v>0</v>
      </c>
      <c r="M33" s="470">
        <f t="shared" si="19"/>
        <v>0</v>
      </c>
      <c r="N33" s="470">
        <f t="shared" ca="1" si="19"/>
        <v>0</v>
      </c>
      <c r="O33" s="470">
        <f t="shared" si="19"/>
        <v>0</v>
      </c>
      <c r="P33" s="470">
        <f t="shared" si="19"/>
        <v>0</v>
      </c>
      <c r="Q33" s="470">
        <f t="shared" ca="1" si="19"/>
        <v>62060.157993525463</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60">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1639.3133649004719</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0</v>
      </c>
      <c r="D8" s="1028">
        <f>'SEAP template'!D76</f>
        <v>0</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0</v>
      </c>
    </row>
    <row r="9" spans="1:16">
      <c r="A9" s="1031" t="s">
        <v>938</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1639.3133649004719</v>
      </c>
      <c r="C10" s="1032">
        <f>SUM(C4:C9)</f>
        <v>0</v>
      </c>
      <c r="D10" s="1032">
        <f t="shared" ref="D10:H10" si="0">SUM(D8:D9)</f>
        <v>0</v>
      </c>
      <c r="E10" s="1032">
        <f t="shared" si="0"/>
        <v>0</v>
      </c>
      <c r="F10" s="1032">
        <f t="shared" si="0"/>
        <v>0</v>
      </c>
      <c r="G10" s="1032">
        <f t="shared" si="0"/>
        <v>0</v>
      </c>
      <c r="H10" s="1032">
        <f t="shared" si="0"/>
        <v>0</v>
      </c>
      <c r="I10" s="1032">
        <f>SUM(I8:I9)</f>
        <v>0</v>
      </c>
      <c r="J10" s="1032">
        <f>SUM(J8:J9)</f>
        <v>0</v>
      </c>
      <c r="K10" s="1032">
        <f t="shared" ref="K10:L10" si="1">SUM(K8:K9)</f>
        <v>0</v>
      </c>
      <c r="L10" s="1032">
        <f t="shared" si="1"/>
        <v>0</v>
      </c>
      <c r="M10" s="1032">
        <f>SUM(M8:M9)</f>
        <v>0</v>
      </c>
      <c r="N10" s="1032">
        <f>SUM(N8:N9)</f>
        <v>0</v>
      </c>
      <c r="O10" s="1032">
        <f>SUM(O8:O9)</f>
        <v>0</v>
      </c>
      <c r="P10" s="1032">
        <f>SUM(P8:P9)</f>
        <v>0</v>
      </c>
    </row>
    <row r="11" spans="1:16">
      <c r="A11" s="1033"/>
      <c r="B11" s="1033"/>
      <c r="C11" s="1033"/>
      <c r="D11" s="1033"/>
      <c r="E11" s="1033"/>
      <c r="F11" s="1033"/>
      <c r="G11" s="1033"/>
      <c r="H11" s="1033"/>
      <c r="I11" s="1033"/>
      <c r="J11" s="1033"/>
      <c r="K11" s="1033"/>
      <c r="L11" s="1033"/>
      <c r="M11" s="1033"/>
      <c r="N11" s="1033"/>
      <c r="O11" s="1033"/>
      <c r="P11" s="1033"/>
    </row>
    <row r="12" spans="1:16">
      <c r="A12" s="473" t="s">
        <v>939</v>
      </c>
      <c r="B12" s="777" t="s">
        <v>940</v>
      </c>
      <c r="C12" s="777">
        <f ca="1">'EF ele_warmte'!B12</f>
        <v>0.21392438513208864</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0</v>
      </c>
      <c r="D17" s="1029">
        <f>'SEAP template'!D87</f>
        <v>0</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0</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945</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0</v>
      </c>
      <c r="D20" s="1032">
        <f t="shared" ref="D20:H20" si="2">SUM(D17:D19)</f>
        <v>0</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0</v>
      </c>
    </row>
    <row r="22" spans="1:16">
      <c r="A22" s="473" t="s">
        <v>946</v>
      </c>
      <c r="B22" s="777" t="s">
        <v>940</v>
      </c>
      <c r="C22" s="777">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15.75">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947</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948</v>
      </c>
    </row>
    <row r="5" spans="1:16" ht="135">
      <c r="A5" s="1042" t="s">
        <v>250</v>
      </c>
      <c r="B5" s="1039" t="s">
        <v>947</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948</v>
      </c>
    </row>
    <row r="6" spans="1:16" ht="135">
      <c r="A6" s="1042" t="s">
        <v>251</v>
      </c>
      <c r="B6" s="1039" t="s">
        <v>947</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948</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948</v>
      </c>
    </row>
    <row r="8" spans="1:16" ht="210">
      <c r="A8" s="1038" t="s">
        <v>252</v>
      </c>
      <c r="B8" s="1039" t="s">
        <v>949</v>
      </c>
      <c r="C8" s="1039" t="s">
        <v>949</v>
      </c>
      <c r="D8" s="1039" t="s">
        <v>949</v>
      </c>
      <c r="E8" s="1039" t="s">
        <v>949</v>
      </c>
      <c r="F8" s="1039" t="s">
        <v>949</v>
      </c>
      <c r="G8" s="1039" t="s">
        <v>949</v>
      </c>
      <c r="H8" s="1039" t="s">
        <v>949</v>
      </c>
      <c r="I8" s="1039" t="s">
        <v>949</v>
      </c>
      <c r="J8" s="1039" t="s">
        <v>949</v>
      </c>
      <c r="K8" s="1040" t="s">
        <v>889</v>
      </c>
      <c r="L8" s="1040" t="s">
        <v>889</v>
      </c>
      <c r="M8" s="1040" t="s">
        <v>889</v>
      </c>
      <c r="N8" s="1039" t="s">
        <v>950</v>
      </c>
      <c r="O8" s="1039" t="s">
        <v>950</v>
      </c>
      <c r="P8" s="1043"/>
    </row>
    <row r="9" spans="1:16" ht="210">
      <c r="A9" s="1044" t="s">
        <v>938</v>
      </c>
      <c r="B9" s="1039" t="s">
        <v>950</v>
      </c>
      <c r="C9" s="1039" t="s">
        <v>950</v>
      </c>
      <c r="D9" s="1039" t="s">
        <v>950</v>
      </c>
      <c r="E9" s="1039" t="s">
        <v>950</v>
      </c>
      <c r="F9" s="1039" t="s">
        <v>950</v>
      </c>
      <c r="G9" s="1039" t="s">
        <v>950</v>
      </c>
      <c r="H9" s="1039" t="s">
        <v>950</v>
      </c>
      <c r="I9" s="1039" t="s">
        <v>950</v>
      </c>
      <c r="J9" s="1039" t="s">
        <v>950</v>
      </c>
      <c r="K9" s="1040" t="s">
        <v>889</v>
      </c>
      <c r="L9" s="1039" t="s">
        <v>950</v>
      </c>
      <c r="M9" s="1039" t="s">
        <v>950</v>
      </c>
      <c r="N9" s="1039" t="s">
        <v>950</v>
      </c>
      <c r="O9" s="1039" t="s">
        <v>950</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939</v>
      </c>
      <c r="B12" s="777" t="s">
        <v>940</v>
      </c>
      <c r="C12" s="1046" t="s">
        <v>951</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950</v>
      </c>
      <c r="C17" s="1039" t="s">
        <v>950</v>
      </c>
      <c r="D17" s="1039" t="s">
        <v>950</v>
      </c>
      <c r="E17" s="1039" t="s">
        <v>950</v>
      </c>
      <c r="F17" s="1039" t="s">
        <v>950</v>
      </c>
      <c r="G17" s="1039" t="s">
        <v>950</v>
      </c>
      <c r="H17" s="1039" t="s">
        <v>950</v>
      </c>
      <c r="I17" s="1039" t="s">
        <v>950</v>
      </c>
      <c r="J17" s="1039" t="s">
        <v>950</v>
      </c>
      <c r="K17" s="1040" t="s">
        <v>889</v>
      </c>
      <c r="L17" s="1040" t="s">
        <v>889</v>
      </c>
      <c r="M17" s="1040" t="s">
        <v>889</v>
      </c>
      <c r="N17" s="1039" t="s">
        <v>950</v>
      </c>
      <c r="O17" s="1039" t="s">
        <v>950</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945</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946</v>
      </c>
      <c r="B22" s="777" t="s">
        <v>940</v>
      </c>
      <c r="C22" s="1046" t="s">
        <v>952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0.21392438513208864</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0</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0</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2019-08-12T09:21:42Z</dcterms:modified>
</cp:coreProperties>
</file>