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O78" i="14"/>
  <c r="O9" i="55"/>
  <c r="O10" s="1"/>
  <c r="C77" i="14"/>
  <c r="C9" i="55" s="1"/>
  <c r="F9"/>
  <c r="M90" i="14"/>
  <c r="M17" i="55"/>
  <c r="M20" s="1"/>
  <c r="P32" i="48"/>
  <c r="D22" i="14"/>
  <c r="P31" i="48"/>
  <c r="F76" i="14"/>
  <c r="L10" i="55"/>
  <c r="K20"/>
  <c r="B14" i="48"/>
  <c r="Q14" s="1"/>
  <c r="F101" i="18"/>
  <c r="L78" i="14"/>
  <c r="L8" i="55"/>
  <c r="G78" i="14"/>
  <c r="G9" i="55"/>
  <c r="N78" i="14"/>
  <c r="N9" i="55"/>
  <c r="F90" i="14"/>
  <c r="F18" i="55"/>
  <c r="F20" s="1"/>
  <c r="N90" i="14"/>
  <c r="N18" i="55"/>
  <c r="N20" s="1"/>
  <c r="L22" i="14"/>
  <c r="G10" i="55"/>
  <c r="D14" i="48"/>
  <c r="C101" i="18"/>
  <c r="R9" i="14"/>
  <c r="E10" i="55"/>
  <c r="H20"/>
  <c r="P24" i="48"/>
  <c r="B101" i="18"/>
  <c r="C8" s="1"/>
  <c r="D76" i="14" s="1"/>
  <c r="E90"/>
  <c r="E18" i="55"/>
  <c r="L90" i="14"/>
  <c r="E20" i="55"/>
  <c r="O20"/>
  <c r="H90" i="14"/>
  <c r="K22"/>
  <c r="L20" i="55"/>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6" l="1"/>
  <c r="P8" i="55" s="1"/>
  <c r="D8"/>
  <c r="D10" s="1"/>
  <c r="F8"/>
  <c r="F10" s="1"/>
  <c r="F78" i="14"/>
  <c r="M78"/>
  <c r="Q78"/>
  <c r="B9" i="6" s="1"/>
  <c r="P9" i="55"/>
  <c r="I10" i="18"/>
  <c r="I76" i="14"/>
  <c r="I8" i="55" s="1"/>
  <c r="I10" s="1"/>
  <c r="J20" i="18"/>
  <c r="J87" i="14"/>
  <c r="I20" i="18"/>
  <c r="I87" i="14"/>
  <c r="I17" i="55" s="1"/>
  <c r="I20" s="1"/>
  <c r="O8" i="18"/>
  <c r="O10" s="1"/>
  <c r="J10"/>
  <c r="J76" i="14"/>
  <c r="Q87"/>
  <c r="D90"/>
  <c r="Q90" l="1"/>
  <c r="B17" i="6" s="1"/>
  <c r="P17" i="55"/>
  <c r="P20" s="1"/>
  <c r="P10"/>
  <c r="J78" i="14"/>
  <c r="J8" i="55"/>
  <c r="J10" s="1"/>
  <c r="J90" i="14"/>
  <c r="J17" i="55"/>
  <c r="J20" s="1"/>
  <c r="I78" i="14"/>
  <c r="C76"/>
  <c r="B76"/>
  <c r="I90"/>
  <c r="B87"/>
  <c r="C87"/>
  <c r="H14" i="15"/>
  <c r="H16" s="1"/>
  <c r="G14"/>
  <c r="G16" s="1"/>
  <c r="B78" i="14" l="1"/>
  <c r="B4" i="6" s="1"/>
  <c r="B8" i="55"/>
  <c r="B10" s="1"/>
  <c r="C78" i="14"/>
  <c r="C8" i="55"/>
  <c r="C10" s="1"/>
  <c r="B90" i="14"/>
  <c r="B17" i="55"/>
  <c r="B2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E30" i="48"/>
  <c r="E24"/>
  <c r="E32"/>
  <c r="E28"/>
  <c r="E29"/>
  <c r="E31"/>
  <c r="M30"/>
  <c r="M24"/>
  <c r="M32"/>
  <c r="M26"/>
  <c r="M25"/>
  <c r="M22"/>
  <c r="M29"/>
  <c r="L32"/>
  <c r="L30"/>
  <c r="L28"/>
  <c r="L24"/>
  <c r="L22"/>
  <c r="L27"/>
  <c r="L31"/>
  <c r="L29"/>
  <c r="Q10" i="14"/>
  <c r="P5" i="48"/>
  <c r="P23" s="1"/>
  <c r="K30"/>
  <c r="K32"/>
  <c r="K28"/>
  <c r="K27"/>
  <c r="K31"/>
  <c r="K25"/>
  <c r="K29"/>
  <c r="K24"/>
  <c r="K26"/>
  <c r="K22"/>
  <c r="B10"/>
  <c r="C19" i="14"/>
  <c r="N10"/>
  <c r="N16" s="1"/>
  <c r="M5" i="48"/>
  <c r="F32"/>
  <c r="F29"/>
  <c r="F24"/>
  <c r="F27"/>
  <c r="F31"/>
  <c r="F30"/>
  <c r="F28"/>
  <c r="L10" i="14"/>
  <c r="L16" s="1"/>
  <c r="L27" s="1"/>
  <c r="K5" i="48"/>
  <c r="D22"/>
  <c r="D24"/>
  <c r="D30"/>
  <c r="D31"/>
  <c r="D29"/>
  <c r="D28"/>
  <c r="D32"/>
  <c r="J32"/>
  <c r="J31"/>
  <c r="J27"/>
  <c r="J24"/>
  <c r="J30"/>
  <c r="J28"/>
  <c r="J29"/>
  <c r="P11" i="14"/>
  <c r="O4" i="48"/>
  <c r="I30"/>
  <c r="I26"/>
  <c r="I24"/>
  <c r="I32"/>
  <c r="I28"/>
  <c r="I29"/>
  <c r="I31"/>
  <c r="I25"/>
  <c r="I22"/>
  <c r="I27"/>
  <c r="E11" i="14"/>
  <c r="D4" i="48"/>
  <c r="H30"/>
  <c r="H32"/>
  <c r="H26"/>
  <c r="H24"/>
  <c r="H29"/>
  <c r="H22"/>
  <c r="H28"/>
  <c r="H25"/>
  <c r="H23"/>
  <c r="B8" i="9"/>
  <c r="B6" i="48" s="1"/>
  <c r="Q6" s="1"/>
  <c r="C18" i="16"/>
  <c r="N32" i="48"/>
  <c r="N31"/>
  <c r="N30"/>
  <c r="N27"/>
  <c r="N29"/>
  <c r="N24"/>
  <c r="N28"/>
  <c r="C24" i="14"/>
  <c r="C26" s="1"/>
  <c r="B7" i="48"/>
  <c r="I5"/>
  <c r="J10" i="14"/>
  <c r="J16" s="1"/>
  <c r="J27" s="1"/>
  <c r="Q11"/>
  <c r="P4" i="48"/>
  <c r="H12" i="22"/>
  <c r="I18" i="14"/>
  <c r="H13" i="48"/>
  <c r="H31" s="1"/>
  <c r="C4"/>
  <c r="D11" i="14"/>
  <c r="G30" i="48"/>
  <c r="G32"/>
  <c r="G26"/>
  <c r="G25"/>
  <c r="G24"/>
  <c r="G29"/>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G12" i="22"/>
  <c r="G13" i="48"/>
  <c r="H18" i="14"/>
  <c r="L46"/>
  <c r="L61" s="1"/>
  <c r="L63" s="1"/>
  <c r="I23" i="48"/>
  <c r="I33" s="1"/>
  <c r="I15"/>
  <c r="P22"/>
  <c r="G11" i="14"/>
  <c r="F4" i="48"/>
  <c r="F22" s="1"/>
  <c r="P22" i="16"/>
  <c r="Q43" i="14" s="1"/>
  <c r="P8" i="48"/>
  <c r="P26" s="1"/>
  <c r="Q13" i="14"/>
  <c r="Q16" s="1"/>
  <c r="Q27" s="1"/>
  <c r="M23" i="48"/>
  <c r="K33"/>
  <c r="M13"/>
  <c r="M31" s="1"/>
  <c r="N18" i="14"/>
  <c r="I20"/>
  <c r="I22" s="1"/>
  <c r="I27" s="1"/>
  <c r="H9" i="48"/>
  <c r="O22"/>
  <c r="K15"/>
  <c r="K23"/>
  <c r="J63" i="14"/>
  <c r="D16" i="15"/>
  <c r="D5" i="48" s="1"/>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F20" i="14" l="1"/>
  <c r="F22" s="1"/>
  <c r="E9" i="48"/>
  <c r="E27" s="1"/>
  <c r="E20" i="14"/>
  <c r="E22" s="1"/>
  <c r="D9" i="48"/>
  <c r="D27" s="1"/>
  <c r="O8"/>
  <c r="P13" i="14"/>
  <c r="Q13" i="48"/>
  <c r="G31"/>
  <c r="N4"/>
  <c r="N22" s="1"/>
  <c r="O11" i="14"/>
  <c r="J4" i="48"/>
  <c r="J22" s="1"/>
  <c r="K11" i="14"/>
  <c r="B9" i="48"/>
  <c r="C20" i="14"/>
  <c r="H27" i="48"/>
  <c r="H33" s="1"/>
  <c r="H15"/>
  <c r="P46" i="14"/>
  <c r="P61" s="1"/>
  <c r="P63" s="1"/>
  <c r="Q63"/>
  <c r="P16"/>
  <c r="P27" s="1"/>
  <c r="G14" i="22"/>
  <c r="M10" i="48"/>
  <c r="M28" s="1"/>
  <c r="N19" i="14"/>
  <c r="E12" i="13"/>
  <c r="F41" i="14" s="1"/>
  <c r="E4" i="48"/>
  <c r="F11" i="14"/>
  <c r="P15" i="48"/>
  <c r="R18" i="14"/>
  <c r="G10" i="48"/>
  <c r="H19" i="14"/>
  <c r="R19" s="1"/>
  <c r="P33"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O26" i="48"/>
  <c r="O33" s="1"/>
  <c r="O15"/>
  <c r="R11" i="14"/>
  <c r="M18" i="22"/>
  <c r="N50" i="14" s="1"/>
  <c r="M9" i="48"/>
  <c r="N20" i="14"/>
  <c r="N22" s="1"/>
  <c r="N27" s="1"/>
  <c r="N63" s="1"/>
  <c r="E22" i="48"/>
  <c r="Q4"/>
  <c r="G9"/>
  <c r="H20" i="14"/>
  <c r="H22" s="1"/>
  <c r="H27" s="1"/>
  <c r="H63" s="1"/>
  <c r="C22"/>
  <c r="G28" i="48"/>
  <c r="Q10"/>
  <c r="D15"/>
  <c r="J5"/>
  <c r="K10" i="14"/>
  <c r="E20" i="15"/>
  <c r="F40" i="14" s="1"/>
  <c r="E5" i="48"/>
  <c r="F10" i="14"/>
  <c r="L15" i="48"/>
  <c r="Q7"/>
  <c r="R24" i="14"/>
  <c r="R26" s="1"/>
  <c r="J18" i="16"/>
  <c r="N18"/>
  <c r="E18"/>
  <c r="F18"/>
  <c r="F22" s="1"/>
  <c r="G43" i="14" s="1"/>
  <c r="G27" i="48" l="1"/>
  <c r="G33" s="1"/>
  <c r="G15"/>
  <c r="M27"/>
  <c r="M33" s="1"/>
  <c r="M15"/>
  <c r="R20" i="14"/>
  <c r="R22" s="1"/>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<sst xmlns="http://schemas.openxmlformats.org/spreadsheetml/2006/main" count="2496" uniqueCount="965">
  <si>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</si>
  <si>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</si>
  <si>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</si>
  <si>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</si>
  <si>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</si>
  <si>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</si>
  <si>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</si>
  <si>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</si>
  <si>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</si>
  <si>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</si>
  <si>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</si>
  <si>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</si>
  <si>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</si>
  <si>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</si>
  <si>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</si>
  <si>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</si>
  <si>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</si>
  <si>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</si>
  <si>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</si>
  <si>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</si>
  <si>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</si>
  <si>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</si>
  <si>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</si>
  <si>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</si>
  <si>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</si>
  <si>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</si>
  <si>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</si>
  <si>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</si>
  <si>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</si>
  <si>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</si>
  <si>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</si>
  <si>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</si>
  <si>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</si>
  <si>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</si>
  <si>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</si>
  <si>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</si>
  <si>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</si>
  <si>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</si>
  <si>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</si>
  <si>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</si>
  <si>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</si>
  <si>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</si>
  <si>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</si>
  <si>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</si>
  <si>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</si>
  <si>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</si>
  <si>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</si>
  <si>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</si>
  <si>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</si>
  <si>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</si>
  <si>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</si>
  <si>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</si>
  <si>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</si>
  <si>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</si>
  <si>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</si>
  <si>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</si>
  <si>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</si>
  <si>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</si>
  <si>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</si>
  <si>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</si>
  <si>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</si>
  <si>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</si>
  <si>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</si>
  <si>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</si>
  <si>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</si>
  <si>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</si>
  <si>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</si>
  <si>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</si>
  <si>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</si>
  <si>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</si>
  <si>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</si>
  <si>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</si>
  <si>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</si>
  <si>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</si>
  <si>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</si>
  <si>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</si>
  <si>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</si>
  <si>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</si>
  <si>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</si>
  <si>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</si>
  <si>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</si>
  <si>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</si>
  <si>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</si>
  <si>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</si>
  <si>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</si>
  <si>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</si>
  <si>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</si>
  <si>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</si>
  <si>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</si>
  <si>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</si>
  <si>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</si>
  <si>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</si>
  <si>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</si>
  <si>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</si>
  <si>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</si>
  <si>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</si>
  <si>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</si>
  <si>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</si>
  <si>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</si>
  <si>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</si>
  <si>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</si>
  <si>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</si>
  <si>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</si>
  <si>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</si>
  <si>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</si>
  <si>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</si>
  <si>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</si>
  <si>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</si>
  <si>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</si>
  <si>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</si>
  <si>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</si>
  <si>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</si>
  <si>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</si>
  <si>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</si>
  <si>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</si>
  <si>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</si>
  <si>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</si>
  <si>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</si>
  <si>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</si>
  <si>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</si>
  <si>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</si>
  <si>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</si>
  <si>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</si>
  <si>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</si>
  <si>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</si>
  <si>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</si>
  <si>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</si>
  <si>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</si>
  <si>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</si>
  <si>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</si>
  <si>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</si>
  <si>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</si>
  <si>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</si>
  <si>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</si>
  <si>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</si>
  <si>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</si>
  <si>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</si>
  <si>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</si>
  <si>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</si>
  <si>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</si>
  <si>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</si>
  <si>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</si>
  <si>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</si>
  <si>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</si>
  <si>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</si>
  <si>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</si>
  <si>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</si>
  <si>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</si>
  <si>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</si>
  <si>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</si>
  <si>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</si>
  <si>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</si>
  <si>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</si>
  <si>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</si>
  <si>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</si>
  <si>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</si>
  <si>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</si>
  <si>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</si>
  <si>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</si>
  <si>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</si>
  <si>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</si>
  <si>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</si>
  <si>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</si>
  <si>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</si>
  <si>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</si>
  <si>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</si>
  <si>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</si>
  <si>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</si>
  <si>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</si>
  <si>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</si>
  <si>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</si>
  <si>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</si>
  <si>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</si>
  <si>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</si>
  <si>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</si>
  <si>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</si>
  <si>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</si>
  <si>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</si>
  <si>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</si>
  <si>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</si>
  <si>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</si>
  <si>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</si>
  <si>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</si>
  <si>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</si>
  <si>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</si>
  <si>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</si>
  <si>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</si>
  <si>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</si>
  <si>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</si>
  <si>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</si>
  <si>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</si>
  <si>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</si>
  <si>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</si>
  <si>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</si>
  <si>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</si>
  <si>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</si>
  <si>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</si>
  <si>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</si>
  <si>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</si>
  <si>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</si>
  <si>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</si>
  <si>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</si>
  <si>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</si>
  <si>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</si>
  <si>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</si>
  <si>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</si>
  <si>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</si>
  <si>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</si>
  <si>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</si>
  <si>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</si>
  <si>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</si>
  <si>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</si>
  <si>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</si>
  <si>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</si>
  <si>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</si>
  <si>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</si>
  <si>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</si>
  <si>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</si>
  <si>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</si>
  <si>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</si>
  <si>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</si>
  <si>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</si>
  <si>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</si>
  <si>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</si>
  <si>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</si>
  <si>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</si>
  <si>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</si>
  <si>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</si>
  <si>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</si>
  <si>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</si>
  <si>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</si>
  <si>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</si>
  <si>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</si>
  <si>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</si>
  <si>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</si>
  <si>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</si>
  <si>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</si>
  <si>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</si>
  <si>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</si>
  <si>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</si>
  <si>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</si>
  <si>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</si>
  <si>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</si>
  <si>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</si>
  <si>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</si>
  <si>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</si>
  <si>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</si>
  <si>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</si>
  <si>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</si>
  <si>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</si>
  <si>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</si>
  <si>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</si>
  <si>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</si>
  <si>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</si>
  <si>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</si>
  <si>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</si>
  <si>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</si>
  <si>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</si>
  <si>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</si>
  <si>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</si>
  <si>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</si>
  <si>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</si>
  <si>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</si>
  <si>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</si>
  <si>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</si>
  <si>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</si>
  <si>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</si>
  <si>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</si>
  <si>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</si>
  <si>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</si>
  <si>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</si>
  <si>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</si>
  <si>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</si>
  <si>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</si>
  <si>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</si>
  <si>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</si>
  <si>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</si>
  <si>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</si>
  <si>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</si>
  <si>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</si>
  <si>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</si>
  <si>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</si>
  <si>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</si>
  <si>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</si>
  <si>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</si>
  <si>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</si>
  <si>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</si>
  <si>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</si>
  <si>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</si>
  <si>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</si>
  <si>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</si>
  <si>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</si>
  <si>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</si>
  <si>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</si>
  <si>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</si>
  <si>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</si>
  <si>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</si>
  <si>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</si>
  <si>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</si>
  <si>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</si>
  <si>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</si>
  <si>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</si>
  <si>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</si>
  <si>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</si>
  <si>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</si>
  <si>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</si>
  <si>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</si>
  <si>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</si>
  <si>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</si>
  <si>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</si>
  <si>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</si>
  <si>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</si>
  <si>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</si>
  <si>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</si>
  <si>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</si>
  <si>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</si>
  <si>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</si>
  <si>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</si>
  <si>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</si>
  <si>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</si>
  <si>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</si>
  <si>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</si>
  <si>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</si>
  <si>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</si>
  <si>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</si>
  <si>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</si>
  <si>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</si>
  <si>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</si>
  <si>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</si>
  <si>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</si>
  <si>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</si>
  <si>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</si>
  <si>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</si>
  <si>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</si>
  <si>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</si>
  <si>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</si>
  <si>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</si>
  <si>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</si>
  <si>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</si>
  <si>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</si>
  <si>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</si>
  <si>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</si>
  <si>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</si>
  <si>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</si>
  <si>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</si>
  <si>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</si>
  <si>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</si>
  <si>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</si>
  <si>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</si>
  <si>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</si>
  <si>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</si>
  <si>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</si>
  <si>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</si>
  <si>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</si>
  <si>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</si>
  <si>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</si>
  <si>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</si>
  <si>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</si>
  <si>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</si>
  <si>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</si>
  <si>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</si>
  <si>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</si>
  <si>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</si>
  <si>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</si>
  <si>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</si>
  <si>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</si>
  <si>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</si>
  <si>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</si>
  <si>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</si>
  <si>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</si>
  <si>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</si>
  <si>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</si>
  <si>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</si>
  <si>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</si>
  <si>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</si>
  <si>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</si>
  <si>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</si>
  <si>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</si>
  <si>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</si>
  <si>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</si>
  <si>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</si>
  <si>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</si>
  <si>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</si>
  <si>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</si>
  <si>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</si>
  <si>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</si>
  <si>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</si>
  <si>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</si>
  <si>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</si>
  <si>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</si>
  <si>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</si>
  <si>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</si>
  <si>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</si>
  <si>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</si>
  <si>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</si>
  <si>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</si>
  <si>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</si>
  <si>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</si>
  <si>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</si>
  <si>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</si>
  <si>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</si>
  <si>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</si>
  <si>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</si>
  <si>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</si>
  <si>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</si>
  <si>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</si>
  <si>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</si>
  <si>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</si>
  <si>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</si>
  <si>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</si>
  <si>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</si>
  <si>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</si>
  <si>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</si>
  <si>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</si>
  <si>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</si>
  <si>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</si>
  <si>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</si>
  <si>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</si>
  <si>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</si>
  <si>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</si>
  <si>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</si>
  <si>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</si>
  <si>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</si>
  <si>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</si>
  <si>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</si>
  <si>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</si>
  <si>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</si>
  <si>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</si>
  <si>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</si>
  <si>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</si>
  <si>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</si>
  <si>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</si>
  <si>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</si>
  <si>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</si>
  <si>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</si>
  <si>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</si>
  <si>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</si>
  <si>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</si>
  <si>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</si>
  <si>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</si>
  <si>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</si>
  <si>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</si>
  <si>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</si>
  <si>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</si>
  <si>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</si>
  <si>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</si>
  <si>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</si>
  <si>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</si>
  <si>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</si>
  <si>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</si>
  <si>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</si>
  <si>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</si>
  <si>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</si>
  <si>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</si>
  <si>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</si>
  <si>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</si>
  <si>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</si>
  <si>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</si>
  <si>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</si>
  <si>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</si>
  <si>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</si>
  <si>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</si>
  <si>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</si>
  <si>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</si>
  <si>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</si>
  <si>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</si>
  <si>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</si>
  <si>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</si>
  <si>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</si>
  <si>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</si>
  <si>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</si>
  <si>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</si>
  <si>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</si>
  <si>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</si>
  <si>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</si>
  <si>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</si>
  <si>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</si>
  <si>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</si>
  <si>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</si>
  <si>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</si>
  <si>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</si>
  <si>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</si>
  <si>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</si>
  <si>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</si>
  <si>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</si>
  <si>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</si>
  <si>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</si>
  <si>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</si>
  <si>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</si>
  <si>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</si>
  <si>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</si>
  <si>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</si>
  <si>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</si>
  <si>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</si>
  <si>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</si>
  <si>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</si>
  <si>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</si>
  <si>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</si>
  <si>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</si>
  <si>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</si>
  <si>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</si>
  <si>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</si>
  <si>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</si>
  <si>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</si>
  <si>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</si>
  <si>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</si>
  <si>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</si>
  <si>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</si>
  <si>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</si>
  <si>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</si>
  <si>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</si>
  <si>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</si>
  <si>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</si>
  <si>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</si>
  <si>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</si>
  <si>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</si>
  <si>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</si>
  <si>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</si>
  <si>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</si>
  <si>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</si>
  <si>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</si>
  <si>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</si>
  <si>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</si>
  <si>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</si>
  <si>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</si>
  <si>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</si>
  <si>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</si>
  <si>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</si>
  <si>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</si>
  <si>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</si>
  <si>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</si>
  <si>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</si>
  <si>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</si>
  <si>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</si>
  <si>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</si>
  <si>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</si>
  <si>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</si>
  <si>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</si>
  <si>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</si>
  <si>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</si>
  <si>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</si>
  <si>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</si>
  <si>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</si>
  <si>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</si>
  <si>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</si>
  <si>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</si>
  <si>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</si>
  <si>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</si>
  <si>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</si>
  <si>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</si>
  <si>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</si>
  <si>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</si>
  <si>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</si>
  <si>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</si>
  <si>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</si>
  <si>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</si>
  <si>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</si>
  <si>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</si>
  <si>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</si>
  <si>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</si>
  <si>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</si>
  <si>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</si>
  <si>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</si>
  <si>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</si>
  <si>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</si>
  <si>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</si>
  <si>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</si>
  <si>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</si>
  <si>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</si>
  <si>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</si>
  <si>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</si>
  <si>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</si>
  <si>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</si>
  <si>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</si>
  <si>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</si>
  <si>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</si>
  <si>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</si>
  <si>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</si>
  <si>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</si>
  <si>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</si>
  <si>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</si>
  <si>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</si>
  <si>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</si>
  <si>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</si>
  <si>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</si>
  <si>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</si>
  <si>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</si>
  <si>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</si>
  <si>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</si>
  <si>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</si>
  <si>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</si>
  <si>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</si>
  <si>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</si>
  <si>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</si>
  <si>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</si>
  <si>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</si>
  <si>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</si>
  <si>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</si>
  <si>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</si>
  <si>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</si>
  <si>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</si>
  <si>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</si>
  <si>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</si>
  <si>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</si>
  <si>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</si>
  <si>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</si>
  <si>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</si>
  <si>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</si>
  <si>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</si>
  <si>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</si>
  <si>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</si>
  <si>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</si>
  <si>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</si>
  <si>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</si>
  <si>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</si>
  <si>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</si>
  <si>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</si>
  <si>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</si>
  <si>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</si>
  <si>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</si>
  <si>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</si>
  <si>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</si>
  <si>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</si>
  <si>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</si>
  <si>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</si>
  <si>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</si>
  <si>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</si>
  <si>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</si>
  <si>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</si>
  <si>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</si>
  <si>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</si>
  <si>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</si>
  <si>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</si>
  <si>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</si>
  <si>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</si>
  <si>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</si>
  <si>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</si>
  <si>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</si>
  <si>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</si>
  <si>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</si>
  <si>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</si>
  <si>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</si>
  <si>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</si>
  <si>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</si>
  <si>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</si>
  <si>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</si>
  <si>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</si>
  <si>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</si>
  <si>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</si>
  <si>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</si>
  <si>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</si>
  <si>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</si>
  <si>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</si>
  <si>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</si>
  <si>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</si>
  <si>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</si>
  <si>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</si>
  <si>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</si>
  <si>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</si>
  <si>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</si>
  <si>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</si>
  <si>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</si>
  <si>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</si>
  <si>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</si>
  <si>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</si>
  <si>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</si>
  <si>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</si>
  <si>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</si>
  <si>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</si>
  <si>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</si>
  <si>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</si>
  <si>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</si>
  <si>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</si>
  <si>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</si>
  <si>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</si>
  <si>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</si>
  <si>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</si>
  <si>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</si>
  <si>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</si>
  <si>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</si>
  <si>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</si>
  <si>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</si>
  <si>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</si>
  <si>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</si>
  <si>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</si>
  <si>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</si>
  <si>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</si>
  <si>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</si>
  <si>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</si>
  <si>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</si>
  <si>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</si>
  <si>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</si>
  <si>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</si>
  <si>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</si>
  <si>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</si>
  <si>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</si>
  <si>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</si>
  <si>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</si>
  <si>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</si>
  <si>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</si>
  <si>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</si>
  <si>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</si>
  <si>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</si>
  <si>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</si>
  <si>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</si>
  <si>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</si>
  <si>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</si>
  <si>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</si>
  <si>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</si>
  <si>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</si>
  <si>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</si>
  <si>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</si>
  <si>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</si>
  <si>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</si>
  <si>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</si>
  <si>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</si>
  <si>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</si>
  <si>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</si>
  <si>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</si>
  <si>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</si>
  <si>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</si>
  <si>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</si>
  <si>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</si>
  <si>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</si>
  <si>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</si>
  <si>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</si>
  <si>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</si>
  <si>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</si>
  <si>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</si>
  <si>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</si>
  <si>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</si>
  <si>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</si>
  <si>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</si>
  <si>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</si>
  <si>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</si>
  <si>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</si>
  <si>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</si>
  <si>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</si>
  <si>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</si>
  <si>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</si>
  <si>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</si>
  <si>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</si>
  <si>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</si>
  <si>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</si>
  <si>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</si>
  <si>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</si>
  <si>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</si>
  <si>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</si>
  <si>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</si>
  <si>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</si>
  <si>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</si>
  <si>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</si>
  <si>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</si>
  <si>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</si>
  <si>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</si>
  <si>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</si>
  <si>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</si>
  <si>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</si>
  <si>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</si>
  <si>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</si>
  <si>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</si>
  <si>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</si>
  <si>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</si>
  <si>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</si>
  <si>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</si>
  <si>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</si>
  <si>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</si>
  <si>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</si>
  <si>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</si>
  <si>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</si>
  <si>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</si>
  <si>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</si>
  <si>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</si>
  <si>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</si>
  <si>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</si>
  <si>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</si>
  <si>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</si>
  <si>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</si>
  <si>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</si>
  <si>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</si>
  <si>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</si>
  <si>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</si>
  <si>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</si>
  <si>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</si>
  <si>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</si>
  <si>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</si>
  <si>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</si>
  <si>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</si>
  <si>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</si>
  <si>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</si>
  <si>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</si>
  <si>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</si>
  <si>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</si>
  <si>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</si>
  <si>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</si>
  <si>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</si>
  <si>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</si>
  <si>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</si>
  <si>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</si>
  <si>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</si>
  <si>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</si>
  <si>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</si>
  <si>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</si>
  <si>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</si>
  <si>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</si>
  <si>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</si>
  <si>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</si>
  <si>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</si>
  <si>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</si>
  <si>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</si>
  <si>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</si>
  <si>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</si>
  <si>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</si>
  <si>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</si>
  <si>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</si>
  <si>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</si>
  <si>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</si>
  <si>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</si>
  <si>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</si>
  <si>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</si>
  <si>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</si>
  <si>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</si>
  <si>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</si>
  <si>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</si>
  <si>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</si>
  <si>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</si>
  <si>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</si>
  <si>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</si>
  <si>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</si>
  <si>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</si>
  <si>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</si>
  <si>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</si>
  <si>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</si>
  <si>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</si>
  <si>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</si>
  <si>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</si>
  <si>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</si>
  <si>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</si>
  <si>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</si>
  <si>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</si>
  <si>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</si>
  <si>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</si>
  <si>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</si>
  <si>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</si>
  <si>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</si>
  <si>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</si>
  <si>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</si>
  <si>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</si>
  <si>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</si>
  <si>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</si>
  <si>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</si>
  <si>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</si>
  <si>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</si>
  <si>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</si>
  <si>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</si>
  <si>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</si>
  <si>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</si>
  <si>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</si>
  <si>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</si>
  <si>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</si>
  <si>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</si>
  <si>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</si>
  <si>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</si>
  <si>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</si>
  <si>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</si>
  <si>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</si>
  <si>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</si>
  <si>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</si>
  <si>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</si>
  <si>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</si>
  <si>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</si>
  <si>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</si>
  <si>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</si>
  <si>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</si>
  <si>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</si>
  <si>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</si>
  <si>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</si>
  <si>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</si>
  <si>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</si>
  <si>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</si>
  <si>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</si>
  <si>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</si>
  <si>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</si>
  <si>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</si>
  <si>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</si>
  <si>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</si>
  <si>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</si>
  <si>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</si>
  <si>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</si>
  <si>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</si>
  <si>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</si>
  <si>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</si>
  <si>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</si>
  <si>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</si>
  <si>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</si>
  <si>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</si>
  <si>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</si>
  <si>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</si>
  <si>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</si>
  <si>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</si>
  <si>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</si>
  <si>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</si>
  <si>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</si>
  <si>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</si>
  <si>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</si>
  <si>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</si>
  <si>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</si>
  <si>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</si>
  <si>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</si>
  <si>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</si>
  <si>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</si>
  <si>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</si>
  <si>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</si>
  <si>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</si>
  <si>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</si>
  <si>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</si>
  <si>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</si>
  <si>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</si>
  <si>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</si>
  <si>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</si>
  <si>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</si>
  <si>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</si>
  <si>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</si>
  <si>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</si>
  <si>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</si>
  <si>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</si>
  <si>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</si>
  <si>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</si>
  <si>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</si>
  <si>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</si>
  <si>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</si>
  <si>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</si>
  <si>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</si>
  <si>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</si>
  <si>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</si>
  <si>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</si>
  <si>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</si>
  <si>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</si>
  <si>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</si>
  <si>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</si>
  <si>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</si>
  <si>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</si>
  <si>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</si>
  <si>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</si>
  <si>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</si>
  <si>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</si>
  <si>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</si>
  <si>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</si>
  <si>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</si>
  <si>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</si>
  <si>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</si>
  <si>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</si>
  <si>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</si>
  <si>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</si>
  <si>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</si>
  <si>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</si>
  <si>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38008</t>
  </si>
  <si>
    <t>DE_PANNE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</si>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</sst>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38008</v>
      </c>
      <c r="B6" s="396"/>
      <c r="C6" s="397"/>
    </row>
    <row r="7" spans="1:7" s="394" customFormat="1" ht="15.75" customHeight="1">
      <c r="A7" s="398" t="str">
        <f>txtMunicipality</f>
        <v>DE_PANNE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0.21874553401589866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0.21874553401589866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38008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5283</v>
      </c>
      <c r="C9" s="336">
        <v>5606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1327</v>
      </c>
    </row>
    <row r="15" spans="1:6">
      <c r="A15" s="1277" t="s">
        <v>184</v>
      </c>
      <c r="B15" s="333">
        <v>12</v>
      </c>
    </row>
    <row r="16" spans="1:6">
      <c r="A16" s="1277" t="s">
        <v>6</v>
      </c>
      <c r="B16" s="333">
        <v>553</v>
      </c>
    </row>
    <row r="17" spans="1:6">
      <c r="A17" s="1277" t="s">
        <v>7</v>
      </c>
      <c r="B17" s="333">
        <v>111</v>
      </c>
    </row>
    <row r="18" spans="1:6">
      <c r="A18" s="1277" t="s">
        <v>8</v>
      </c>
      <c r="B18" s="333">
        <v>268</v>
      </c>
    </row>
    <row r="19" spans="1:6">
      <c r="A19" s="1277" t="s">
        <v>9</v>
      </c>
      <c r="B19" s="333">
        <v>215</v>
      </c>
    </row>
    <row r="20" spans="1:6">
      <c r="A20" s="1277" t="s">
        <v>10</v>
      </c>
      <c r="B20" s="333">
        <v>343</v>
      </c>
    </row>
    <row r="21" spans="1:6">
      <c r="A21" s="1277" t="s">
        <v>11</v>
      </c>
      <c r="B21" s="333">
        <v>1480</v>
      </c>
    </row>
    <row r="22" spans="1:6">
      <c r="A22" s="1277" t="s">
        <v>12</v>
      </c>
      <c r="B22" s="333">
        <v>427</v>
      </c>
    </row>
    <row r="23" spans="1:6">
      <c r="A23" s="1277" t="s">
        <v>13</v>
      </c>
      <c r="B23" s="333">
        <v>133</v>
      </c>
    </row>
    <row r="24" spans="1:6">
      <c r="A24" s="1277" t="s">
        <v>14</v>
      </c>
      <c r="B24" s="333">
        <v>3</v>
      </c>
    </row>
    <row r="25" spans="1:6">
      <c r="A25" s="1277" t="s">
        <v>15</v>
      </c>
      <c r="B25" s="333">
        <v>591</v>
      </c>
    </row>
    <row r="26" spans="1:6">
      <c r="A26" s="1277" t="s">
        <v>16</v>
      </c>
      <c r="B26" s="333">
        <v>31</v>
      </c>
    </row>
    <row r="27" spans="1:6">
      <c r="A27" s="1277" t="s">
        <v>17</v>
      </c>
      <c r="B27" s="333">
        <v>0</v>
      </c>
    </row>
    <row r="28" spans="1:6">
      <c r="A28" s="1277" t="s">
        <v>18</v>
      </c>
      <c r="B28" s="333">
        <v>28575</v>
      </c>
    </row>
    <row r="29" spans="1:6">
      <c r="A29" s="1277" t="s">
        <v>959</v>
      </c>
      <c r="B29" s="333">
        <v>124</v>
      </c>
    </row>
    <row r="30" spans="1:6">
      <c r="A30" s="1273" t="s">
        <v>960</v>
      </c>
      <c r="B30" s="1273">
        <v>78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33846.9783397922</v>
      </c>
    </row>
    <row r="37" spans="1:6">
      <c r="A37" s="1277" t="s">
        <v>25</v>
      </c>
      <c r="B37" s="1277" t="s">
        <v>28</v>
      </c>
      <c r="C37" s="333">
        <v>0</v>
      </c>
      <c r="D37" s="333">
        <v>0</v>
      </c>
      <c r="E37" s="333">
        <v>0</v>
      </c>
      <c r="F37" s="333">
        <v>0</v>
      </c>
    </row>
    <row r="38" spans="1:6">
      <c r="A38" s="1277" t="s">
        <v>25</v>
      </c>
      <c r="B38" s="1277" t="s">
        <v>29</v>
      </c>
      <c r="C38" s="333">
        <v>2</v>
      </c>
      <c r="D38" s="333">
        <v>523376.99666629703</v>
      </c>
      <c r="E38" s="333">
        <v>2</v>
      </c>
      <c r="F38" s="333">
        <v>5729.5501579472002</v>
      </c>
    </row>
    <row r="39" spans="1:6">
      <c r="A39" s="1277" t="s">
        <v>30</v>
      </c>
      <c r="B39" s="1277" t="s">
        <v>31</v>
      </c>
      <c r="C39" s="333">
        <v>6335</v>
      </c>
      <c r="D39" s="333">
        <v>69238376.507486403</v>
      </c>
      <c r="E39" s="333">
        <v>12219</v>
      </c>
      <c r="F39" s="333">
        <v>29173045.807309501</v>
      </c>
    </row>
    <row r="40" spans="1:6">
      <c r="A40" s="1277" t="s">
        <v>30</v>
      </c>
      <c r="B40" s="1277" t="s">
        <v>29</v>
      </c>
      <c r="C40" s="333">
        <v>0</v>
      </c>
      <c r="D40" s="333">
        <v>0</v>
      </c>
      <c r="E40" s="333">
        <v>0</v>
      </c>
      <c r="F40" s="333">
        <v>0</v>
      </c>
    </row>
    <row r="41" spans="1:6">
      <c r="A41" s="1277" t="s">
        <v>32</v>
      </c>
      <c r="B41" s="1277" t="s">
        <v>33</v>
      </c>
      <c r="C41" s="333">
        <v>58</v>
      </c>
      <c r="D41" s="333">
        <v>1249308.6425137301</v>
      </c>
      <c r="E41" s="333">
        <v>151</v>
      </c>
      <c r="F41" s="333">
        <v>885668.567412731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32363.320387674499</v>
      </c>
      <c r="E44" s="333">
        <v>6</v>
      </c>
      <c r="F44" s="333">
        <v>21921.834202734801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19</v>
      </c>
      <c r="D48" s="333">
        <v>546533.21869850601</v>
      </c>
      <c r="E48" s="333">
        <v>22</v>
      </c>
      <c r="F48" s="333">
        <v>971821.51407767995</v>
      </c>
    </row>
    <row r="49" spans="1:6">
      <c r="A49" s="1277" t="s">
        <v>32</v>
      </c>
      <c r="B49" s="1277" t="s">
        <v>40</v>
      </c>
      <c r="C49" s="333">
        <v>0</v>
      </c>
      <c r="D49" s="333">
        <v>0</v>
      </c>
      <c r="E49" s="333">
        <v>0</v>
      </c>
      <c r="F49" s="333">
        <v>0</v>
      </c>
    </row>
    <row r="50" spans="1:6">
      <c r="A50" s="1277" t="s">
        <v>32</v>
      </c>
      <c r="B50" s="1277" t="s">
        <v>41</v>
      </c>
      <c r="C50" s="333">
        <v>10</v>
      </c>
      <c r="D50" s="333">
        <v>946153.67721649702</v>
      </c>
      <c r="E50" s="333">
        <v>16</v>
      </c>
      <c r="F50" s="333">
        <v>339126.03288026201</v>
      </c>
    </row>
    <row r="51" spans="1:6">
      <c r="A51" s="1277" t="s">
        <v>42</v>
      </c>
      <c r="B51" s="1277" t="s">
        <v>43</v>
      </c>
      <c r="C51" s="333">
        <v>3</v>
      </c>
      <c r="D51" s="333">
        <v>33006.52968965</v>
      </c>
      <c r="E51" s="333">
        <v>30</v>
      </c>
      <c r="F51" s="333">
        <v>506231.27877680497</v>
      </c>
    </row>
    <row r="52" spans="1:6">
      <c r="A52" s="1277" t="s">
        <v>42</v>
      </c>
      <c r="B52" s="1277" t="s">
        <v>29</v>
      </c>
      <c r="C52" s="333">
        <v>3</v>
      </c>
      <c r="D52" s="333">
        <v>39926.864696819197</v>
      </c>
      <c r="E52" s="333">
        <v>3</v>
      </c>
      <c r="F52" s="333">
        <v>9135.9607471494</v>
      </c>
    </row>
    <row r="53" spans="1:6">
      <c r="A53" s="1277" t="s">
        <v>44</v>
      </c>
      <c r="B53" s="1277" t="s">
        <v>45</v>
      </c>
      <c r="C53" s="333">
        <v>209</v>
      </c>
      <c r="D53" s="333">
        <v>3799949.7240160699</v>
      </c>
      <c r="E53" s="333">
        <v>521</v>
      </c>
      <c r="F53" s="333">
        <v>2697770.4085313198</v>
      </c>
    </row>
    <row r="54" spans="1:6">
      <c r="A54" s="1277" t="s">
        <v>46</v>
      </c>
      <c r="B54" s="1277" t="s">
        <v>47</v>
      </c>
      <c r="C54" s="333">
        <v>0</v>
      </c>
      <c r="D54" s="333">
        <v>0</v>
      </c>
      <c r="E54" s="333">
        <v>1</v>
      </c>
      <c r="F54" s="333">
        <v>1588579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32</v>
      </c>
      <c r="D57" s="333">
        <v>532833.38595684106</v>
      </c>
      <c r="E57" s="333">
        <v>81</v>
      </c>
      <c r="F57" s="333">
        <v>1666851.5970930101</v>
      </c>
    </row>
    <row r="58" spans="1:6">
      <c r="A58" s="1277" t="s">
        <v>49</v>
      </c>
      <c r="B58" s="1277" t="s">
        <v>51</v>
      </c>
      <c r="C58" s="333">
        <v>6</v>
      </c>
      <c r="D58" s="333">
        <v>131067.619437969</v>
      </c>
      <c r="E58" s="333">
        <v>20</v>
      </c>
      <c r="F58" s="333">
        <v>593896.57126299106</v>
      </c>
    </row>
    <row r="59" spans="1:6">
      <c r="A59" s="1277" t="s">
        <v>49</v>
      </c>
      <c r="B59" s="1277" t="s">
        <v>52</v>
      </c>
      <c r="C59" s="333">
        <v>136</v>
      </c>
      <c r="D59" s="333">
        <v>3232963.9138296102</v>
      </c>
      <c r="E59" s="333">
        <v>307</v>
      </c>
      <c r="F59" s="333">
        <v>6405790.9170726202</v>
      </c>
    </row>
    <row r="60" spans="1:6">
      <c r="A60" s="1277" t="s">
        <v>49</v>
      </c>
      <c r="B60" s="1277" t="s">
        <v>53</v>
      </c>
      <c r="C60" s="333">
        <v>163</v>
      </c>
      <c r="D60" s="333">
        <v>10381975.4514647</v>
      </c>
      <c r="E60" s="333">
        <v>226</v>
      </c>
      <c r="F60" s="333">
        <v>7017670.8109718096</v>
      </c>
    </row>
    <row r="61" spans="1:6">
      <c r="A61" s="1277" t="s">
        <v>49</v>
      </c>
      <c r="B61" s="1277" t="s">
        <v>54</v>
      </c>
      <c r="C61" s="333">
        <v>220</v>
      </c>
      <c r="D61" s="333">
        <v>11550085.9097322</v>
      </c>
      <c r="E61" s="333">
        <v>1046</v>
      </c>
      <c r="F61" s="333">
        <v>8378483.6572404802</v>
      </c>
    </row>
    <row r="62" spans="1:6">
      <c r="A62" s="1277" t="s">
        <v>49</v>
      </c>
      <c r="B62" s="1277" t="s">
        <v>55</v>
      </c>
      <c r="C62" s="333">
        <v>16</v>
      </c>
      <c r="D62" s="333">
        <v>2661336.9886991498</v>
      </c>
      <c r="E62" s="333">
        <v>9</v>
      </c>
      <c r="F62" s="333">
        <v>149890.834174388</v>
      </c>
    </row>
    <row r="63" spans="1:6">
      <c r="A63" s="1277" t="s">
        <v>49</v>
      </c>
      <c r="B63" s="1277" t="s">
        <v>29</v>
      </c>
      <c r="C63" s="333">
        <v>79</v>
      </c>
      <c r="D63" s="333">
        <v>5872981.4874050897</v>
      </c>
      <c r="E63" s="333">
        <v>85</v>
      </c>
      <c r="F63" s="333">
        <v>4342100.3362386702</v>
      </c>
    </row>
    <row r="64" spans="1:6">
      <c r="A64" s="1277" t="s">
        <v>56</v>
      </c>
      <c r="B64" s="1277" t="s">
        <v>57</v>
      </c>
      <c r="C64" s="333">
        <v>0</v>
      </c>
      <c r="D64" s="333">
        <v>0</v>
      </c>
      <c r="E64" s="333">
        <v>0</v>
      </c>
      <c r="F64" s="333">
        <v>0</v>
      </c>
    </row>
    <row r="65" spans="1:6">
      <c r="A65" s="1277" t="s">
        <v>56</v>
      </c>
      <c r="B65" s="1277" t="s">
        <v>29</v>
      </c>
      <c r="C65" s="333">
        <v>3</v>
      </c>
      <c r="D65" s="333">
        <v>38032.0802132557</v>
      </c>
      <c r="E65" s="333">
        <v>1</v>
      </c>
      <c r="F65" s="333">
        <v>784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1525946.6963549701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27253421</v>
      </c>
      <c r="E73" s="333">
        <v>28604903.813366547</v>
      </c>
      <c r="F73" s="333">
        <v>27060434</v>
      </c>
    </row>
    <row r="74" spans="1:6">
      <c r="A74" s="1277" t="s">
        <v>64</v>
      </c>
      <c r="B74" s="1277" t="s">
        <v>774</v>
      </c>
      <c r="C74" s="1288" t="s">
        <v>775</v>
      </c>
      <c r="D74" s="333">
        <v>2443030.4239806389</v>
      </c>
      <c r="E74" s="333">
        <v>2650486.6197012323</v>
      </c>
      <c r="F74" s="333">
        <v>2480838.4453228991</v>
      </c>
    </row>
    <row r="75" spans="1:6">
      <c r="A75" s="1277" t="s">
        <v>65</v>
      </c>
      <c r="B75" s="1277" t="s">
        <v>772</v>
      </c>
      <c r="C75" s="1288" t="s">
        <v>776</v>
      </c>
      <c r="D75" s="333">
        <v>3051519</v>
      </c>
      <c r="E75" s="333">
        <v>3201941.2313086716</v>
      </c>
      <c r="F75" s="333">
        <v>3030712</v>
      </c>
    </row>
    <row r="76" spans="1:6">
      <c r="A76" s="1277" t="s">
        <v>65</v>
      </c>
      <c r="B76" s="1277" t="s">
        <v>774</v>
      </c>
      <c r="C76" s="1288" t="s">
        <v>777</v>
      </c>
      <c r="D76" s="333">
        <v>216599.42398063903</v>
      </c>
      <c r="E76" s="333">
        <v>238849.8283373205</v>
      </c>
      <c r="F76" s="333">
        <v>222722.44532289897</v>
      </c>
    </row>
    <row r="77" spans="1:6">
      <c r="A77" s="1277" t="s">
        <v>66</v>
      </c>
      <c r="B77" s="1277" t="s">
        <v>772</v>
      </c>
      <c r="C77" s="1288" t="s">
        <v>778</v>
      </c>
      <c r="D77" s="333">
        <v>29211037</v>
      </c>
      <c r="E77" s="333">
        <v>31086774.362650316</v>
      </c>
      <c r="F77" s="333">
        <v>31222552</v>
      </c>
    </row>
    <row r="78" spans="1:6">
      <c r="A78" s="1273" t="s">
        <v>66</v>
      </c>
      <c r="B78" s="1273" t="s">
        <v>774</v>
      </c>
      <c r="C78" s="1273" t="s">
        <v>779</v>
      </c>
      <c r="D78" s="1273">
        <v>12613385</v>
      </c>
      <c r="E78" s="1273">
        <v>15338532.77496391</v>
      </c>
      <c r="F78" s="336">
        <v>14324539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49797.152038721928</v>
      </c>
      <c r="C83" s="333">
        <v>44864.855398833752</v>
      </c>
      <c r="D83" s="333">
        <v>44485.109354202032</v>
      </c>
    </row>
    <row r="84" spans="1:6">
      <c r="A84" s="1273" t="s">
        <v>337</v>
      </c>
      <c r="B84" s="336">
        <v>219665.22073177993</v>
      </c>
      <c r="C84" s="336">
        <v>224685.1376802483</v>
      </c>
      <c r="D84" s="336">
        <v>222633.95024187517</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548.82824343826701</v>
      </c>
    </row>
    <row r="92" spans="1:6">
      <c r="A92" s="1273" t="s">
        <v>69</v>
      </c>
      <c r="B92" s="336">
        <v>125.18168311985461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3072</v>
      </c>
    </row>
    <row r="98" spans="1:6">
      <c r="A98" s="1277" t="s">
        <v>72</v>
      </c>
      <c r="B98" s="333">
        <v>3</v>
      </c>
    </row>
    <row r="99" spans="1:6">
      <c r="A99" s="1277" t="s">
        <v>73</v>
      </c>
      <c r="B99" s="333">
        <v>28</v>
      </c>
    </row>
    <row r="100" spans="1:6">
      <c r="A100" s="1277" t="s">
        <v>74</v>
      </c>
      <c r="B100" s="333">
        <v>564</v>
      </c>
    </row>
    <row r="101" spans="1:6">
      <c r="A101" s="1277" t="s">
        <v>75</v>
      </c>
      <c r="B101" s="333">
        <v>30</v>
      </c>
    </row>
    <row r="102" spans="1:6">
      <c r="A102" s="1277" t="s">
        <v>76</v>
      </c>
      <c r="B102" s="333">
        <v>111</v>
      </c>
    </row>
    <row r="103" spans="1:6">
      <c r="A103" s="1277" t="s">
        <v>77</v>
      </c>
      <c r="B103" s="333">
        <v>65</v>
      </c>
    </row>
    <row r="104" spans="1:6">
      <c r="A104" s="1277" t="s">
        <v>78</v>
      </c>
      <c r="B104" s="333">
        <v>657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1</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66071.60845175563</v>
      </c>
      <c r="C3" s="43" t="s">
        <v>170</v>
      </c>
      <c r="D3" s="43"/>
      <c r="E3" s="156"/>
      <c r="F3" s="43"/>
      <c r="G3" s="43"/>
      <c r="H3" s="43"/>
      <c r="I3" s="43"/>
      <c r="J3" s="43"/>
      <c r="K3" s="96"/>
    </row>
    <row r="4" spans="1:11">
      <c r="A4" s="364" t="s">
        <v>171</v>
      </c>
      <c r="B4" s="49">
        <f>IF(ISERROR('SEAP template'!B78+'SEAP template'!C78),0,'SEAP template'!B78+'SEAP template'!C78)</f>
        <v>674.00992655812161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0.21874553401589866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1588.579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1588.579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0.21874553401589866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347.49456168144229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29173.0458073095</v>
      </c>
      <c r="C5" s="17">
        <f>IF(ISERROR('Eigen informatie GS &amp; warmtenet'!B57),0,'Eigen informatie GS &amp; warmtenet'!B57)</f>
        <v>0</v>
      </c>
      <c r="D5" s="30">
        <f>(SUM(HH_hh_gas_kWh,HH_rest_gas_kWh)/1000)*0.902</f>
        <v>62453.015609752743</v>
      </c>
      <c r="E5" s="17">
        <f>B46*B57</f>
        <v>0</v>
      </c>
      <c r="F5" s="17">
        <f>B51*B62</f>
        <v>0</v>
      </c>
      <c r="G5" s="18"/>
      <c r="H5" s="17"/>
      <c r="I5" s="17"/>
      <c r="J5" s="17">
        <f>B50*B61+C50*C61</f>
        <v>0</v>
      </c>
      <c r="K5" s="17"/>
      <c r="L5" s="17"/>
      <c r="M5" s="17"/>
      <c r="N5" s="17">
        <f>B48*B59+C48*C59</f>
        <v>0</v>
      </c>
      <c r="O5" s="17">
        <f>B69*B70*B71</f>
        <v>39.083333333333336</v>
      </c>
      <c r="P5" s="17">
        <f>B77*B78*B79/1000-B77*B78*B79/1000/B80</f>
        <v>0</v>
      </c>
    </row>
    <row r="6" spans="1:16">
      <c r="A6" s="16" t="s">
        <v>632</v>
      </c>
      <c r="B6" s="779">
        <f>kWh_PV_kleiner_dan_10kW</f>
        <v>548.82824343826701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29721.874050747767</v>
      </c>
      <c r="C8" s="21">
        <f>C5</f>
        <v>0</v>
      </c>
      <c r="D8" s="21">
        <f>D5</f>
        <v>62453.015609752743</v>
      </c>
      <c r="E8" s="21">
        <f>E5</f>
        <v>0</v>
      </c>
      <c r="F8" s="21">
        <f>F5</f>
        <v>0</v>
      </c>
      <c r="G8" s="21"/>
      <c r="H8" s="21"/>
      <c r="I8" s="21"/>
      <c r="J8" s="21">
        <f>J5</f>
        <v>0</v>
      </c>
      <c r="K8" s="21"/>
      <c r="L8" s="21">
        <f>L5</f>
        <v>0</v>
      </c>
      <c r="M8" s="21">
        <f>M5</f>
        <v>0</v>
      </c>
      <c r="N8" s="21">
        <f>N5</f>
        <v>0</v>
      </c>
      <c r="O8" s="21">
        <f>O5</f>
        <v>39.083333333333336</v>
      </c>
      <c r="P8" s="21">
        <f>P5</f>
        <v>0</v>
      </c>
    </row>
    <row r="9" spans="1:16">
      <c r="B9" s="19"/>
      <c r="C9" s="19"/>
      <c r="D9" s="260"/>
      <c r="E9" s="19"/>
      <c r="F9" s="19"/>
      <c r="G9" s="19"/>
      <c r="H9" s="19"/>
      <c r="I9" s="19"/>
      <c r="J9" s="19"/>
      <c r="K9" s="19"/>
      <c r="L9" s="19"/>
      <c r="M9" s="19"/>
      <c r="N9" s="19"/>
      <c r="O9" s="19"/>
      <c r="P9" s="19"/>
    </row>
    <row r="10" spans="1:16">
      <c r="A10" s="24" t="s">
        <v>214</v>
      </c>
      <c r="B10" s="25">
        <f ca="1">'EF ele_warmte'!B12</f>
        <v>0.21874553401589866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6501.5272111841014</v>
      </c>
      <c r="C12" s="23">
        <f ca="1">C10*C8</f>
        <v>0</v>
      </c>
      <c r="D12" s="23">
        <f>D8*D10</f>
        <v>12615.509153170055</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3072</v>
      </c>
      <c r="C18" s="167" t="s">
        <v>111</v>
      </c>
      <c r="D18" s="229"/>
      <c r="E18" s="15"/>
    </row>
    <row r="19" spans="1:7">
      <c r="A19" s="172" t="s">
        <v>72</v>
      </c>
      <c r="B19" s="37">
        <f>aantalw2001_ander</f>
        <v>3</v>
      </c>
      <c r="C19" s="167" t="s">
        <v>111</v>
      </c>
      <c r="D19" s="230"/>
      <c r="E19" s="15"/>
    </row>
    <row r="20" spans="1:7">
      <c r="A20" s="172" t="s">
        <v>73</v>
      </c>
      <c r="B20" s="37">
        <f>aantalw2001_propaan</f>
        <v>28</v>
      </c>
      <c r="C20" s="168">
        <f>IF(ISERROR(B20/SUM($B$20,$B$21,$B$22)*100),0,B20/SUM($B$20,$B$21,$B$22)*100)</f>
        <v>4.501607717041801</v>
      </c>
      <c r="D20" s="230"/>
      <c r="E20" s="15"/>
    </row>
    <row r="21" spans="1:7">
      <c r="A21" s="172" t="s">
        <v>74</v>
      </c>
      <c r="B21" s="37">
        <f>aantalw2001_elektriciteit</f>
        <v>564</v>
      </c>
      <c r="C21" s="168">
        <f>IF(ISERROR(B21/SUM($B$20,$B$21,$B$22)*100),0,B21/SUM($B$20,$B$21,$B$22)*100)</f>
        <v>90.675241157556272</v>
      </c>
      <c r="D21" s="230"/>
      <c r="E21" s="15"/>
    </row>
    <row r="22" spans="1:7">
      <c r="A22" s="172" t="s">
        <v>75</v>
      </c>
      <c r="B22" s="37">
        <f>aantalw2001_hout</f>
        <v>30</v>
      </c>
      <c r="C22" s="168">
        <f>IF(ISERROR(B22/SUM($B$20,$B$21,$B$22)*100),0,B22/SUM($B$20,$B$21,$B$22)*100)</f>
        <v>4.823151125401929</v>
      </c>
      <c r="D22" s="230"/>
      <c r="E22" s="15"/>
    </row>
    <row r="23" spans="1:7">
      <c r="A23" s="172" t="s">
        <v>76</v>
      </c>
      <c r="B23" s="37">
        <f>aantalw2001_niet_gespec</f>
        <v>111</v>
      </c>
      <c r="C23" s="167" t="s">
        <v>111</v>
      </c>
      <c r="D23" s="229"/>
      <c r="E23" s="15"/>
    </row>
    <row r="24" spans="1:7">
      <c r="A24" s="172" t="s">
        <v>77</v>
      </c>
      <c r="B24" s="37">
        <f>aantalw2001_steenkool</f>
        <v>65</v>
      </c>
      <c r="C24" s="167" t="s">
        <v>111</v>
      </c>
      <c r="D24" s="230"/>
      <c r="E24" s="15"/>
    </row>
    <row r="25" spans="1:7">
      <c r="A25" s="172" t="s">
        <v>78</v>
      </c>
      <c r="B25" s="37">
        <f>aantalw2001_stookolie</f>
        <v>657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5283</v>
      </c>
      <c r="C28" s="36"/>
      <c r="D28" s="229"/>
    </row>
    <row r="29" spans="1:7" s="15" customFormat="1">
      <c r="A29" s="231" t="s">
        <v>713</v>
      </c>
      <c r="B29" s="37">
        <f>SUM(HH_hh_gas_aantal,HH_rest_gas_aantal)</f>
        <v>6335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6335</v>
      </c>
      <c r="C32" s="168">
        <f>IF(ISERROR(B32/SUM($B$32,$B$34,$B$35,$B$36,$B$38,$B$39)*100),0,B32/SUM($B$32,$B$34,$B$35,$B$36,$B$38,$B$39)*100)</f>
        <v>100</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0</v>
      </c>
      <c r="C35" s="168">
        <f>IF(ISERROR(B35/SUM($B$32,$B$34,$B$35,$B$36,$B$38,$B$39)*100),0,B35/SUM($B$32,$B$34,$B$35,$B$36,$B$38,$B$39)*100)</f>
        <v>0</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6335</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0</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28554.684724053968</v>
      </c>
      <c r="C5" s="17">
        <f>IF(ISERROR('Eigen informatie GS &amp; warmtenet'!B58),0,'Eigen informatie GS &amp; warmtenet'!B58)</f>
        <v>0</v>
      </c>
      <c r="D5" s="30">
        <f>SUM(D6:D12)</f>
        <v>30995.646770386054</v>
      </c>
      <c r="E5" s="17">
        <f>SUM(E6:E12)</f>
        <v>825.7033305954684</v>
      </c>
      <c r="F5" s="17">
        <f>SUM(F6:F12)</f>
        <v>5033.9651870167563</v>
      </c>
      <c r="G5" s="18"/>
      <c r="H5" s="17"/>
      <c r="I5" s="17"/>
      <c r="J5" s="17">
        <f>SUM(J6:J12)</f>
        <v>0</v>
      </c>
      <c r="K5" s="17"/>
      <c r="L5" s="17"/>
      <c r="M5" s="17"/>
      <c r="N5" s="17">
        <f>SUM(N6:N12)</f>
        <v>580.66069410706859</v>
      </c>
      <c r="O5" s="17">
        <f>B38*B39*B40</f>
        <v>1.5633333333333335</v>
      </c>
      <c r="P5" s="17">
        <f>B46*B47*B48/1000-B46*B47*B48/1000/B49</f>
        <v>0</v>
      </c>
      <c r="R5" s="32"/>
    </row>
    <row r="6" spans="1:18">
      <c r="A6" s="32" t="s">
        <v>54</v>
      </c>
      <c r="B6" s="37">
        <f>B26</f>
        <v>8378.4836572404802</v>
      </c>
      <c r="C6" s="33"/>
      <c r="D6" s="37">
        <f>IF(ISERROR(TER_kantoor_gas_kWh/1000),0,TER_kantoor_gas_kWh/1000)*0.902</f>
        <v>10418.177490578446</v>
      </c>
      <c r="E6" s="33">
        <f>$C$26*'E Balans VL '!I12/100/3.6*1000000</f>
        <v>293.27988683531191</v>
      </c>
      <c r="F6" s="33">
        <f>$C$26*('E Balans VL '!L12+'E Balans VL '!N12)/100/3.6*1000000</f>
        <v>1270.3580067190735</v>
      </c>
      <c r="G6" s="34"/>
      <c r="H6" s="33"/>
      <c r="I6" s="33"/>
      <c r="J6" s="33">
        <f>$C$26*('E Balans VL '!D12+'E Balans VL '!E12)/100/3.6*1000000</f>
        <v>0</v>
      </c>
      <c r="K6" s="33"/>
      <c r="L6" s="33"/>
      <c r="M6" s="33"/>
      <c r="N6" s="33">
        <f>$C$26*'E Balans VL '!Y12/100/3.6*1000000</f>
        <v>64.7630562772557</v>
      </c>
      <c r="O6" s="33"/>
      <c r="P6" s="33"/>
      <c r="R6" s="32"/>
    </row>
    <row r="7" spans="1:18">
      <c r="A7" s="32" t="s">
        <v>53</v>
      </c>
      <c r="B7" s="37">
        <f t="shared" ref="B7:B12" si="0">B27</f>
        <v>7017.6708109718093</v>
      </c>
      <c r="C7" s="33"/>
      <c r="D7" s="37">
        <f>IF(ISERROR(TER_horeca_gas_kWh/1000),0,TER_horeca_gas_kWh/1000)*0.902</f>
        <v>9364.5418572211584</v>
      </c>
      <c r="E7" s="33">
        <f>$C$27*'E Balans VL '!I9/100/3.6*1000000</f>
        <v>395.88994603520121</v>
      </c>
      <c r="F7" s="33">
        <f>$C$27*('E Balans VL '!L9+'E Balans VL '!N9)/100/3.6*1000000</f>
        <v>1222.5170915601918</v>
      </c>
      <c r="G7" s="34"/>
      <c r="H7" s="33"/>
      <c r="I7" s="33"/>
      <c r="J7" s="33">
        <f>$C$27*('E Balans VL '!D9+'E Balans VL '!E9)/100/3.6*1000000</f>
        <v>0</v>
      </c>
      <c r="K7" s="33"/>
      <c r="L7" s="33"/>
      <c r="M7" s="33"/>
      <c r="N7" s="33">
        <f>$C$27*'E Balans VL '!Y9/100/3.6*1000000</f>
        <v>0</v>
      </c>
      <c r="O7" s="33"/>
      <c r="P7" s="33"/>
      <c r="R7" s="32"/>
    </row>
    <row r="8" spans="1:18">
      <c r="A8" s="6" t="s">
        <v>52</v>
      </c>
      <c r="B8" s="37">
        <f t="shared" si="0"/>
        <v>6405.7909170726207</v>
      </c>
      <c r="C8" s="33"/>
      <c r="D8" s="37">
        <f>IF(ISERROR(TER_handel_gas_kWh/1000),0,TER_handel_gas_kWh/1000)*0.902</f>
        <v>2916.1334502743084</v>
      </c>
      <c r="E8" s="33">
        <f>$C$28*'E Balans VL '!I13/100/3.6*1000000</f>
        <v>32.886679749332728</v>
      </c>
      <c r="F8" s="33">
        <f>$C$28*('E Balans VL '!L13+'E Balans VL '!N13)/100/3.6*1000000</f>
        <v>987.67397978222664</v>
      </c>
      <c r="G8" s="34"/>
      <c r="H8" s="33"/>
      <c r="I8" s="33"/>
      <c r="J8" s="33">
        <f>$C$28*('E Balans VL '!D13+'E Balans VL '!E13)/100/3.6*1000000</f>
        <v>0</v>
      </c>
      <c r="K8" s="33"/>
      <c r="L8" s="33"/>
      <c r="M8" s="33"/>
      <c r="N8" s="33">
        <f>$C$28*'E Balans VL '!Y13/100/3.6*1000000</f>
        <v>2.9960666051181053</v>
      </c>
      <c r="O8" s="33"/>
      <c r="P8" s="33"/>
      <c r="R8" s="32"/>
    </row>
    <row r="9" spans="1:18">
      <c r="A9" s="32" t="s">
        <v>51</v>
      </c>
      <c r="B9" s="37">
        <f t="shared" si="0"/>
        <v>593.89657126299107</v>
      </c>
      <c r="C9" s="33"/>
      <c r="D9" s="37">
        <f>IF(ISERROR(TER_gezond_gas_kWh/1000),0,TER_gezond_gas_kWh/1000)*0.902</f>
        <v>118.22299273304805</v>
      </c>
      <c r="E9" s="33">
        <f>$C$29*'E Balans VL '!I10/100/3.6*1000000</f>
        <v>0.24616589920871654</v>
      </c>
      <c r="F9" s="33">
        <f>$C$29*('E Balans VL '!L10+'E Balans VL '!N10)/100/3.6*1000000</f>
        <v>146.2682078890569</v>
      </c>
      <c r="G9" s="34"/>
      <c r="H9" s="33"/>
      <c r="I9" s="33"/>
      <c r="J9" s="33">
        <f>$C$29*('E Balans VL '!D10+'E Balans VL '!E10)/100/3.6*1000000</f>
        <v>0</v>
      </c>
      <c r="K9" s="33"/>
      <c r="L9" s="33"/>
      <c r="M9" s="33"/>
      <c r="N9" s="33">
        <f>$C$29*'E Balans VL '!Y10/100/3.6*1000000</f>
        <v>5.1327363440331792</v>
      </c>
      <c r="O9" s="33"/>
      <c r="P9" s="33"/>
      <c r="R9" s="32"/>
    </row>
    <row r="10" spans="1:18">
      <c r="A10" s="32" t="s">
        <v>50</v>
      </c>
      <c r="B10" s="37">
        <f t="shared" si="0"/>
        <v>1666.85159709301</v>
      </c>
      <c r="C10" s="33"/>
      <c r="D10" s="37">
        <f>IF(ISERROR(TER_ander_gas_kWh/1000),0,TER_ander_gas_kWh/1000)*0.902</f>
        <v>480.6157141330707</v>
      </c>
      <c r="E10" s="33">
        <f>$C$30*'E Balans VL '!I14/100/3.6*1000000</f>
        <v>10.161168461604142</v>
      </c>
      <c r="F10" s="33">
        <f>$C$30*('E Balans VL '!L14+'E Balans VL '!N14)/100/3.6*1000000</f>
        <v>441.90519166614604</v>
      </c>
      <c r="G10" s="34"/>
      <c r="H10" s="33"/>
      <c r="I10" s="33"/>
      <c r="J10" s="33">
        <f>$C$30*('E Balans VL '!D14+'E Balans VL '!E14)/100/3.6*1000000</f>
        <v>0</v>
      </c>
      <c r="K10" s="33"/>
      <c r="L10" s="33"/>
      <c r="M10" s="33"/>
      <c r="N10" s="33">
        <f>$C$30*'E Balans VL '!Y14/100/3.6*1000000</f>
        <v>384.17327511800329</v>
      </c>
      <c r="O10" s="33"/>
      <c r="P10" s="33"/>
      <c r="R10" s="32"/>
    </row>
    <row r="11" spans="1:18">
      <c r="A11" s="32" t="s">
        <v>55</v>
      </c>
      <c r="B11" s="37">
        <f t="shared" si="0"/>
        <v>149.890834174388</v>
      </c>
      <c r="C11" s="33"/>
      <c r="D11" s="37">
        <f>IF(ISERROR(TER_onderwijs_gas_kWh/1000),0,TER_onderwijs_gas_kWh/1000)*0.902</f>
        <v>2400.5259638066332</v>
      </c>
      <c r="E11" s="33">
        <f>$C$31*'E Balans VL '!I11/100/3.6*1000000</f>
        <v>0.1142246205390727</v>
      </c>
      <c r="F11" s="33">
        <f>$C$31*('E Balans VL '!L11+'E Balans VL '!N11)/100/3.6*1000000</f>
        <v>108.46922196808158</v>
      </c>
      <c r="G11" s="34"/>
      <c r="H11" s="33"/>
      <c r="I11" s="33"/>
      <c r="J11" s="33">
        <f>$C$31*('E Balans VL '!D11+'E Balans VL '!E11)/100/3.6*1000000</f>
        <v>0</v>
      </c>
      <c r="K11" s="33"/>
      <c r="L11" s="33"/>
      <c r="M11" s="33"/>
      <c r="N11" s="33">
        <f>$C$31*'E Balans VL '!Y11/100/3.6*1000000</f>
        <v>0.44176411156851897</v>
      </c>
      <c r="O11" s="33"/>
      <c r="P11" s="33"/>
      <c r="R11" s="32"/>
    </row>
    <row r="12" spans="1:18">
      <c r="A12" s="32" t="s">
        <v>260</v>
      </c>
      <c r="B12" s="37">
        <f t="shared" si="0"/>
        <v>4342.10033623867</v>
      </c>
      <c r="C12" s="33"/>
      <c r="D12" s="37">
        <f>IF(ISERROR(TER_rest_gas_kWh/1000),0,TER_rest_gas_kWh/1000)*0.902</f>
        <v>5297.4293016393913</v>
      </c>
      <c r="E12" s="33">
        <f>$C$32*'E Balans VL '!I8/100/3.6*1000000</f>
        <v>93.125258994270624</v>
      </c>
      <c r="F12" s="33">
        <f>$C$32*('E Balans VL '!L8+'E Balans VL '!N8)/100/3.6*1000000</f>
        <v>856.77348743197967</v>
      </c>
      <c r="G12" s="34"/>
      <c r="H12" s="33"/>
      <c r="I12" s="33"/>
      <c r="J12" s="33">
        <f>$C$32*('E Balans VL '!D8+'E Balans VL '!E8)/100/3.6*1000000</f>
        <v>0</v>
      </c>
      <c r="K12" s="33"/>
      <c r="L12" s="33"/>
      <c r="M12" s="33"/>
      <c r="N12" s="33">
        <f>$C$32*'E Balans VL '!Y8/100/3.6*1000000</f>
        <v>123.15379565108981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28554.684724053968</v>
      </c>
      <c r="C16" s="21">
        <f ca="1">C5+C13+C14</f>
        <v>0</v>
      </c>
      <c r="D16" s="21">
        <f t="shared" ref="D16:N16" ca="1" si="1">MAX((D5+D13+D14),0)</f>
        <v>30995.646770386054</v>
      </c>
      <c r="E16" s="21">
        <f t="shared" si="1"/>
        <v>825.7033305954684</v>
      </c>
      <c r="F16" s="21">
        <f t="shared" ca="1" si="1"/>
        <v>5033.9651870167563</v>
      </c>
      <c r="G16" s="21">
        <f t="shared" si="1"/>
        <v>0</v>
      </c>
      <c r="H16" s="21">
        <f t="shared" si="1"/>
        <v>0</v>
      </c>
      <c r="I16" s="21">
        <f t="shared" si="1"/>
        <v>0</v>
      </c>
      <c r="J16" s="21">
        <f t="shared" si="1"/>
        <v>0</v>
      </c>
      <c r="K16" s="21">
        <f t="shared" si="1"/>
        <v>0</v>
      </c>
      <c r="L16" s="21">
        <f t="shared" ca="1" si="1"/>
        <v>0</v>
      </c>
      <c r="M16" s="21">
        <f t="shared" si="1"/>
        <v>0</v>
      </c>
      <c r="N16" s="21">
        <f t="shared" ca="1" si="1"/>
        <v>580.66069410706859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0.21874553401589866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6246.2097586188092</v>
      </c>
      <c r="C20" s="23">
        <f t="shared" ref="C20:P20" ca="1" si="2">C16*C18</f>
        <v>0</v>
      </c>
      <c r="D20" s="23">
        <f t="shared" ca="1" si="2"/>
        <v>6261.1206476179832</v>
      </c>
      <c r="E20" s="23">
        <f t="shared" si="2"/>
        <v>187.43465604517132</v>
      </c>
      <c r="F20" s="23">
        <f t="shared" ca="1" si="2"/>
        <v>1344.068704933474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8378.4836572404802</v>
      </c>
      <c r="C26" s="39">
        <f>IF(ISERROR(B26*3.6/1000000/'E Balans VL '!Z12*100),0,B26*3.6/1000000/'E Balans VL '!Z12*100)</f>
        <v>0.17631129389736569</v>
      </c>
      <c r="D26" s="238" t="s">
        <v>719</v>
      </c>
      <c r="F26" s="6"/>
    </row>
    <row r="27" spans="1:18">
      <c r="A27" s="232" t="s">
        <v>53</v>
      </c>
      <c r="B27" s="33">
        <f>IF(ISERROR(TER_horeca_ele_kWh/1000),0,TER_horeca_ele_kWh/1000)</f>
        <v>7017.6708109718093</v>
      </c>
      <c r="C27" s="39">
        <f>IF(ISERROR(B27*3.6/1000000/'E Balans VL '!Z9*100),0,B27*3.6/1000000/'E Balans VL '!Z9*100)</f>
        <v>0.59416646809261897</v>
      </c>
      <c r="D27" s="238" t="s">
        <v>719</v>
      </c>
      <c r="F27" s="6"/>
    </row>
    <row r="28" spans="1:18">
      <c r="A28" s="172" t="s">
        <v>52</v>
      </c>
      <c r="B28" s="33">
        <f>IF(ISERROR(TER_handel_ele_kWh/1000),0,TER_handel_ele_kWh/1000)</f>
        <v>6405.7909170726207</v>
      </c>
      <c r="C28" s="39">
        <f>IF(ISERROR(B28*3.6/1000000/'E Balans VL '!Z13*100),0,B28*3.6/1000000/'E Balans VL '!Z13*100)</f>
        <v>0.17734343575250047</v>
      </c>
      <c r="D28" s="238" t="s">
        <v>719</v>
      </c>
      <c r="F28" s="6"/>
    </row>
    <row r="29" spans="1:18">
      <c r="A29" s="232" t="s">
        <v>51</v>
      </c>
      <c r="B29" s="33">
        <f>IF(ISERROR(TER_gezond_ele_kWh/1000),0,TER_gezond_ele_kWh/1000)</f>
        <v>593.89657126299107</v>
      </c>
      <c r="C29" s="39">
        <f>IF(ISERROR(B29*3.6/1000000/'E Balans VL '!Z10*100),0,B29*3.6/1000000/'E Balans VL '!Z10*100)</f>
        <v>7.7199970153056727E-2</v>
      </c>
      <c r="D29" s="238" t="s">
        <v>719</v>
      </c>
      <c r="F29" s="6"/>
    </row>
    <row r="30" spans="1:18">
      <c r="A30" s="232" t="s">
        <v>50</v>
      </c>
      <c r="B30" s="33">
        <f>IF(ISERROR(TER_ander_ele_kWh/1000),0,TER_ander_ele_kWh/1000)</f>
        <v>1666.85159709301</v>
      </c>
      <c r="C30" s="39">
        <f>IF(ISERROR(B30*3.6/1000000/'E Balans VL '!Z14*100),0,B30*3.6/1000000/'E Balans VL '!Z14*100)</f>
        <v>0.12919628497158178</v>
      </c>
      <c r="D30" s="238" t="s">
        <v>719</v>
      </c>
      <c r="F30" s="6"/>
    </row>
    <row r="31" spans="1:18">
      <c r="A31" s="232" t="s">
        <v>55</v>
      </c>
      <c r="B31" s="33">
        <f>IF(ISERROR(TER_onderwijs_ele_kWh/1000),0,TER_onderwijs_ele_kWh/1000)</f>
        <v>149.890834174388</v>
      </c>
      <c r="C31" s="39">
        <f>IF(ISERROR(B31*3.6/1000000/'E Balans VL '!Z11*100),0,B31*3.6/1000000/'E Balans VL '!Z11*100)</f>
        <v>2.867667066332483E-2</v>
      </c>
      <c r="D31" s="238" t="s">
        <v>719</v>
      </c>
    </row>
    <row r="32" spans="1:18">
      <c r="A32" s="232" t="s">
        <v>260</v>
      </c>
      <c r="B32" s="33">
        <f>IF(ISERROR(TER_rest_ele_kWh/1000),0,TER_rest_ele_kWh/1000)</f>
        <v>4342.10033623867</v>
      </c>
      <c r="C32" s="39">
        <f>IF(ISERROR(B32*3.6/1000000/'E Balans VL '!Z8*100),0,B32*3.6/1000000/'E Balans VL '!Z8*100)</f>
        <v>3.5803951638713194E-2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2218.5379485734074</v>
      </c>
      <c r="C5" s="17">
        <f>IF(ISERROR('Eigen informatie GS &amp; warmtenet'!B59),0,'Eigen informatie GS &amp; warmtenet'!B59)</f>
        <v>0</v>
      </c>
      <c r="D5" s="30">
        <f>SUM(D6:D15)</f>
        <v>2502.4716906524</v>
      </c>
      <c r="E5" s="17">
        <f>SUM(E6:E15)</f>
        <v>26.894432791491155</v>
      </c>
      <c r="F5" s="17">
        <f>SUM(F6:F15)</f>
        <v>943.75869181887742</v>
      </c>
      <c r="G5" s="18"/>
      <c r="H5" s="17"/>
      <c r="I5" s="17"/>
      <c r="J5" s="17">
        <f>SUM(J6:J15)</f>
        <v>8.4725340736506318</v>
      </c>
      <c r="K5" s="17"/>
      <c r="L5" s="17"/>
      <c r="M5" s="17"/>
      <c r="N5" s="17">
        <f>SUM(N6:N15)</f>
        <v>88.174322137628849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21.9218342027348</v>
      </c>
      <c r="C8" s="33"/>
      <c r="D8" s="37">
        <f>IF( ISERROR(IND_metaal_Gas_kWH/1000),0,IND_metaal_Gas_kWH/1000)*0.902</f>
        <v>29.191714989682399</v>
      </c>
      <c r="E8" s="33">
        <f>C30*'E Balans VL '!I18/100/3.6*1000000</f>
        <v>0.15403989210930064</v>
      </c>
      <c r="F8" s="33">
        <f>C30*'E Balans VL '!L18/100/3.6*1000000+C30*'E Balans VL '!N18/100/3.6*1000000</f>
        <v>2.406889140106208</v>
      </c>
      <c r="G8" s="34"/>
      <c r="H8" s="33"/>
      <c r="I8" s="33"/>
      <c r="J8" s="40">
        <f>C30*'E Balans VL '!D18/100/3.6*1000000+C30*'E Balans VL '!E18/100/3.6*1000000</f>
        <v>0.45229468974349557</v>
      </c>
      <c r="K8" s="33"/>
      <c r="L8" s="33"/>
      <c r="M8" s="33"/>
      <c r="N8" s="33">
        <f>C30*'E Balans VL '!Y18/100/3.6*1000000</f>
        <v>8.2164613400655853E-2</v>
      </c>
      <c r="O8" s="33"/>
      <c r="P8" s="33"/>
      <c r="R8" s="32"/>
    </row>
    <row r="9" spans="1:18">
      <c r="A9" s="6" t="s">
        <v>33</v>
      </c>
      <c r="B9" s="37">
        <f t="shared" si="0"/>
        <v>885.66856741273102</v>
      </c>
      <c r="C9" s="33"/>
      <c r="D9" s="37">
        <f>IF( ISERROR(IND_andere_gas_kWh/1000),0,IND_andere_gas_kWh/1000)*0.902</f>
        <v>1126.8763955473846</v>
      </c>
      <c r="E9" s="33">
        <f>C31*'E Balans VL '!I19/100/3.6*1000000</f>
        <v>14.875888568333338</v>
      </c>
      <c r="F9" s="33">
        <f>C31*'E Balans VL '!L19/100/3.6*1000000+C31*'E Balans VL '!N19/100/3.6*1000000</f>
        <v>692.3652420881981</v>
      </c>
      <c r="G9" s="34"/>
      <c r="H9" s="33"/>
      <c r="I9" s="33"/>
      <c r="J9" s="40">
        <f>C31*'E Balans VL '!D19/100/3.6*1000000+C31*'E Balans VL '!E19/100/3.6*1000000</f>
        <v>7.9879486643277806E-2</v>
      </c>
      <c r="K9" s="33"/>
      <c r="L9" s="33"/>
      <c r="M9" s="33"/>
      <c r="N9" s="33">
        <f>C31*'E Balans VL '!Y19/100/3.6*1000000</f>
        <v>65.642250146499435</v>
      </c>
      <c r="O9" s="33"/>
      <c r="P9" s="33"/>
      <c r="R9" s="32"/>
    </row>
    <row r="10" spans="1:18">
      <c r="A10" s="6" t="s">
        <v>41</v>
      </c>
      <c r="B10" s="37">
        <f t="shared" si="0"/>
        <v>339.12603288026202</v>
      </c>
      <c r="C10" s="33"/>
      <c r="D10" s="37">
        <f>IF( ISERROR(IND_voed_gas_kWh/1000),0,IND_voed_gas_kWh/1000)*0.902</f>
        <v>853.43061684928034</v>
      </c>
      <c r="E10" s="33">
        <f>C32*'E Balans VL '!I20/100/3.6*1000000</f>
        <v>3.0940450001833222</v>
      </c>
      <c r="F10" s="33">
        <f>C32*'E Balans VL '!L20/100/3.6*1000000+C32*'E Balans VL '!N20/100/3.6*1000000</f>
        <v>54.711636345137364</v>
      </c>
      <c r="G10" s="34"/>
      <c r="H10" s="33"/>
      <c r="I10" s="33"/>
      <c r="J10" s="40">
        <f>C32*'E Balans VL '!D20/100/3.6*1000000+C32*'E Balans VL '!E20/100/3.6*1000000</f>
        <v>1.3967433451905473</v>
      </c>
      <c r="K10" s="33"/>
      <c r="L10" s="33"/>
      <c r="M10" s="33"/>
      <c r="N10" s="33">
        <f>C32*'E Balans VL '!Y20/100/3.6*1000000</f>
        <v>4.9611464526562044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971.82151407767992</v>
      </c>
      <c r="C15" s="33"/>
      <c r="D15" s="37">
        <f>IF( ISERROR(IND_rest_gas_kWh/1000),0,IND_rest_gas_kWh/1000)*0.902</f>
        <v>492.97296326605249</v>
      </c>
      <c r="E15" s="33">
        <f>C37*'E Balans VL '!I15/100/3.6*1000000</f>
        <v>8.7704593308651937</v>
      </c>
      <c r="F15" s="33">
        <f>C37*'E Balans VL '!L15/100/3.6*1000000+C37*'E Balans VL '!N15/100/3.6*1000000</f>
        <v>194.2749242454359</v>
      </c>
      <c r="G15" s="34"/>
      <c r="H15" s="33"/>
      <c r="I15" s="33"/>
      <c r="J15" s="40">
        <f>C37*'E Balans VL '!D15/100/3.6*1000000+C37*'E Balans VL '!E15/100/3.6*1000000</f>
        <v>6.5436165520733107</v>
      </c>
      <c r="K15" s="33"/>
      <c r="L15" s="33"/>
      <c r="M15" s="33"/>
      <c r="N15" s="33">
        <f>C37*'E Balans VL '!Y15/100/3.6*1000000</f>
        <v>17.488760925072555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2218.5379485734074</v>
      </c>
      <c r="C18" s="21">
        <f>C5+C16</f>
        <v>0</v>
      </c>
      <c r="D18" s="21">
        <f>MAX((D5+D16),0)</f>
        <v>2502.4716906524</v>
      </c>
      <c r="E18" s="21">
        <f>MAX((E5+E16),0)</f>
        <v>26.894432791491155</v>
      </c>
      <c r="F18" s="21">
        <f>MAX((F5+F16),0)</f>
        <v>943.75869181887742</v>
      </c>
      <c r="G18" s="21"/>
      <c r="H18" s="21"/>
      <c r="I18" s="21"/>
      <c r="J18" s="21">
        <f>MAX((J5+J16),0)</f>
        <v>8.4725340736506318</v>
      </c>
      <c r="K18" s="21"/>
      <c r="L18" s="21">
        <f>MAX((L5+L16),0)</f>
        <v>0</v>
      </c>
      <c r="M18" s="21"/>
      <c r="N18" s="21">
        <f>MAX((N5+N16),0)</f>
        <v>88.174322137628849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0.21874553401589866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485.29526829522632</v>
      </c>
      <c r="C22" s="23">
        <f ca="1">C18*C20</f>
        <v>0</v>
      </c>
      <c r="D22" s="23">
        <f>D18*D20</f>
        <v>505.49928151178483</v>
      </c>
      <c r="E22" s="23">
        <f>E18*E20</f>
        <v>6.1050362436684926</v>
      </c>
      <c r="F22" s="23">
        <f>F18*F20</f>
        <v>251.9835707156403</v>
      </c>
      <c r="G22" s="23"/>
      <c r="H22" s="23"/>
      <c r="I22" s="23"/>
      <c r="J22" s="23">
        <f>J18*J20</f>
        <v>2.9992770620723235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21.9218342027348</v>
      </c>
      <c r="C30" s="39">
        <f>IF(ISERROR(B30*3.6/1000000/'E Balans VL '!Z18*100),0,B30*3.6/1000000/'E Balans VL '!Z18*100)</f>
        <v>1.4593498894697927E-3</v>
      </c>
      <c r="D30" s="238" t="s">
        <v>719</v>
      </c>
    </row>
    <row r="31" spans="1:18">
      <c r="A31" s="6" t="s">
        <v>33</v>
      </c>
      <c r="B31" s="37">
        <f>IF( ISERROR(IND_ander_ele_kWh/1000),0,IND_ander_ele_kWh/1000)</f>
        <v>885.66856741273102</v>
      </c>
      <c r="C31" s="39">
        <f>IF(ISERROR(B31*3.6/1000000/'E Balans VL '!Z19*100),0,B31*3.6/1000000/'E Balans VL '!Z19*100)</f>
        <v>3.9258177735945407E-2</v>
      </c>
      <c r="D31" s="238" t="s">
        <v>719</v>
      </c>
    </row>
    <row r="32" spans="1:18">
      <c r="A32" s="172" t="s">
        <v>41</v>
      </c>
      <c r="B32" s="37">
        <f>IF( ISERROR(IND_voed_ele_kWh/1000),0,IND_voed_ele_kWh/1000)</f>
        <v>339.12603288026202</v>
      </c>
      <c r="C32" s="39">
        <f>IF(ISERROR(B32*3.6/1000000/'E Balans VL '!Z20*100),0,B32*3.6/1000000/'E Balans VL '!Z20*100)</f>
        <v>1.1327782324880705E-2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971.82151407767992</v>
      </c>
      <c r="C37" s="39">
        <f>IF(ISERROR(B37*3.6/1000000/'E Balans VL '!Z15*100),0,B37*3.6/1000000/'E Balans VL '!Z15*100)</f>
        <v>7.2287688320629801E-3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515.36723952395437</v>
      </c>
      <c r="C5" s="17">
        <f>'Eigen informatie GS &amp; warmtenet'!B60</f>
        <v>0</v>
      </c>
      <c r="D5" s="30">
        <f>IF(ISERROR(SUM(LB_lb_gas_kWh,LB_rest_gas_kWh)/1000),0,SUM(LB_lb_gas_kWh,LB_rest_gas_kWh)/1000)*0.902</f>
        <v>65.785921736595228</v>
      </c>
      <c r="E5" s="17">
        <f>B17*'E Balans VL '!I25/3.6*1000000/100</f>
        <v>5.3970373047523097</v>
      </c>
      <c r="F5" s="17">
        <f>B17*('E Balans VL '!L25/3.6*1000000+'E Balans VL '!N25/3.6*1000000)/100</f>
        <v>2206.1633810976909</v>
      </c>
      <c r="G5" s="18"/>
      <c r="H5" s="17"/>
      <c r="I5" s="17"/>
      <c r="J5" s="17">
        <f>('E Balans VL '!D25+'E Balans VL '!E25)/3.6*1000000*landbouw!B17/100</f>
        <v>46.026913804860932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515.36723952395437</v>
      </c>
      <c r="C8" s="21">
        <f>C5+C6</f>
        <v>0</v>
      </c>
      <c r="D8" s="21">
        <f>MAX((D5+D6),0)</f>
        <v>65.785921736595228</v>
      </c>
      <c r="E8" s="21">
        <f>MAX((E5+E6),0)</f>
        <v>5.3970373047523097</v>
      </c>
      <c r="F8" s="21">
        <f>MAX((F5+F6),0)</f>
        <v>2206.1633810976909</v>
      </c>
      <c r="G8" s="21"/>
      <c r="H8" s="21"/>
      <c r="I8" s="21"/>
      <c r="J8" s="21">
        <f>MAX((J5+J6),0)</f>
        <v>46.026913804860932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0.21874553401589866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112.73428202396695</v>
      </c>
      <c r="C12" s="23">
        <f ca="1">C8*C10</f>
        <v>0</v>
      </c>
      <c r="D12" s="23">
        <f>D8*D10</f>
        <v>13.288756190792236</v>
      </c>
      <c r="E12" s="23">
        <f>E8*E10</f>
        <v>1.2251274681787743</v>
      </c>
      <c r="F12" s="23">
        <f>F8*F10</f>
        <v>589.04562275308353</v>
      </c>
      <c r="G12" s="23"/>
      <c r="H12" s="23"/>
      <c r="I12" s="23"/>
      <c r="J12" s="23">
        <f>J8*J10</f>
        <v>16.29352748692077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7.9324966588913012E-2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132.12487466743292</v>
      </c>
      <c r="C26" s="248">
        <f>B26*'GWP N2O_CH4'!B5</f>
        <v>2774.6223680160915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37.167939372732334</v>
      </c>
      <c r="C27" s="248">
        <f>B27*'GWP N2O_CH4'!B5</f>
        <v>780.52672682737898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1.4718184457552161</v>
      </c>
      <c r="C28" s="248">
        <f>B28*'GWP N2O_CH4'!B4</f>
        <v>456.26371818411701</v>
      </c>
      <c r="D28" s="50"/>
    </row>
    <row r="29" spans="1:4">
      <c r="A29" s="41" t="s">
        <v>277</v>
      </c>
      <c r="B29" s="248">
        <f>B34*'ha_N2O bodem landbouw'!B4</f>
        <v>11.939101759428322</v>
      </c>
      <c r="C29" s="248">
        <f>B29*'GWP N2O_CH4'!B4</f>
        <v>3701.1215454227799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1.9730933702873251E-3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1.7106380844460214E-6</v>
      </c>
      <c r="C5" s="446" t="s">
        <v>211</v>
      </c>
      <c r="D5" s="431">
        <f>SUM(D6:D11)</f>
        <v>7.8051474008575421E-6</v>
      </c>
      <c r="E5" s="431">
        <f>SUM(E6:E11)</f>
        <v>9.0423908943519898E-4</v>
      </c>
      <c r="F5" s="444" t="s">
        <v>211</v>
      </c>
      <c r="G5" s="431">
        <f>SUM(G6:G11)</f>
        <v>0.24541076631934003</v>
      </c>
      <c r="H5" s="431">
        <f>SUM(H6:H11)</f>
        <v>2.6941971507936691E-2</v>
      </c>
      <c r="I5" s="446" t="s">
        <v>211</v>
      </c>
      <c r="J5" s="446" t="s">
        <v>211</v>
      </c>
      <c r="K5" s="446" t="s">
        <v>211</v>
      </c>
      <c r="L5" s="446" t="s">
        <v>211</v>
      </c>
      <c r="M5" s="431">
        <f>SUM(M6:M11)</f>
        <v>1.1843870240920326E-2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7.8333150599276848E-7</v>
      </c>
      <c r="C6" s="432"/>
      <c r="D6" s="432">
        <f>vkm_2011_GW_PW*SUMIFS(TableVerdeelsleutelVkm[CNG],TableVerdeelsleutelVkm[Voertuigtype],"Lichte voertuigen")*SUMIFS(TableECFTransport[EnergieConsumptieFactor (PJ per km)],TableECFTransport[Index],CONCATENATE($A6,"_CNG_CNG"))</f>
        <v>3.376851067981102E-6</v>
      </c>
      <c r="E6" s="434">
        <f>vkm_2011_GW_PW*SUMIFS(TableVerdeelsleutelVkm[LPG],TableVerdeelsleutelVkm[Voertuigtype],"Lichte voertuigen")*SUMIFS(TableECFTransport[EnergieConsumptieFactor (PJ per km)],TableECFTransport[Index],CONCATENATE($A6,"_LPG_LPG"))</f>
        <v>3.5134063370015274E-4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4.3215862473142456E-2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1.1377841025992952E-2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2.3925578195768352E-3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2.2846522446219372E-2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7.8337559477594216E-6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9.8692696271679686E-4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8.7708290780652709E-8</v>
      </c>
      <c r="C8" s="432"/>
      <c r="D8" s="434">
        <f>vkm_2011_NGW_PW*SUMIFS(TableVerdeelsleutelVkm[CNG],TableVerdeelsleutelVkm[Voertuigtype],"Lichte voertuigen")*SUMIFS(TableECFTransport[EnergieConsumptieFactor (PJ per km)],TableECFTransport[Index],CONCATENATE($A8,"_CNG_CNG"))</f>
        <v>6.7832105134806686E-7</v>
      </c>
      <c r="E8" s="434">
        <f>vkm_2011_NGW_PW*SUMIFS(TableVerdeelsleutelVkm[LPG],TableVerdeelsleutelVkm[Voertuigtype],"Lichte voertuigen")*SUMIFS(TableECFTransport[EnergieConsumptieFactor (PJ per km)],TableECFTransport[Index],CONCATENATE($A8,"_LPG_LPG"))</f>
        <v>6.4440340361155682E-5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7.5179518450537051E-3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2.1816757998449816E-3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4.2557803112024952E-4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2.8146038831613355E-3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8.3839655411303304E-7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1.2157975265220951E-4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8.3959828767260018E-7</v>
      </c>
      <c r="C10" s="432"/>
      <c r="D10" s="434">
        <f>vkm_2011_SW_PW*SUMIFS(TableVerdeelsleutelVkm[CNG],TableVerdeelsleutelVkm[Voertuigtype],"Lichte voertuigen")*SUMIFS(TableECFTransport[EnergieConsumptieFactor (PJ per km)],TableECFTransport[Index],CONCATENATE($A10,"_CNG_CNG"))</f>
        <v>3.7499752815283725E-6</v>
      </c>
      <c r="E10" s="434">
        <f>vkm_2011_SW_PW*SUMIFS(TableVerdeelsleutelVkm[LPG],TableVerdeelsleutelVkm[Voertuigtype],"Lichte voertuigen")*SUMIFS(TableECFTransport[EnergieConsumptieFactor (PJ per km)],TableECFTransport[Index],CONCATENATE($A10,"_LPG_LPG"))</f>
        <v>4.8845811537389055E-4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5.5235527742416482E-2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1.3332156509773072E-2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3.0020111313040308E-3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0.11378029792934669</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4.162601982381388E-5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4.9152165435502049E-3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0.47517724567945036</v>
      </c>
      <c r="C14" s="21"/>
      <c r="D14" s="21">
        <f t="shared" ref="D14:M14" si="0">((D5)*10^9/3600)+D12</f>
        <v>2.1680965002382062</v>
      </c>
      <c r="E14" s="21">
        <f t="shared" si="0"/>
        <v>251.1775248431108</v>
      </c>
      <c r="F14" s="21"/>
      <c r="G14" s="21">
        <f t="shared" si="0"/>
        <v>68169.657310927782</v>
      </c>
      <c r="H14" s="21">
        <f t="shared" si="0"/>
        <v>7483.8809744268583</v>
      </c>
      <c r="I14" s="21"/>
      <c r="J14" s="21"/>
      <c r="K14" s="21"/>
      <c r="L14" s="21"/>
      <c r="M14" s="21">
        <f t="shared" si="0"/>
        <v>3289.9639558112017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0.21874553401589866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0.10394290035835524</v>
      </c>
      <c r="C18" s="23"/>
      <c r="D18" s="23">
        <f t="shared" ref="D18:M18" si="1">D14*D16</f>
        <v>0.43795549304811771</v>
      </c>
      <c r="E18" s="23">
        <f t="shared" si="1"/>
        <v>57.017298139386156</v>
      </c>
      <c r="F18" s="23"/>
      <c r="G18" s="23">
        <f t="shared" si="1"/>
        <v>18201.298502017718</v>
      </c>
      <c r="H18" s="23">
        <f t="shared" si="1"/>
        <v>1863.4863626322876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2.7875516510862874E-3</v>
      </c>
      <c r="C50" s="322">
        <f t="shared" ref="C50:P50" si="2">SUM(C51:C52)</f>
        <v>0</v>
      </c>
      <c r="D50" s="322">
        <f t="shared" si="2"/>
        <v>0</v>
      </c>
      <c r="E50" s="322">
        <f t="shared" si="2"/>
        <v>0</v>
      </c>
      <c r="F50" s="322">
        <f t="shared" si="2"/>
        <v>0</v>
      </c>
      <c r="G50" s="322">
        <f t="shared" si="2"/>
        <v>6.538557712501917E-4</v>
      </c>
      <c r="H50" s="322">
        <f t="shared" si="2"/>
        <v>0</v>
      </c>
      <c r="I50" s="322">
        <f t="shared" si="2"/>
        <v>0</v>
      </c>
      <c r="J50" s="322">
        <f t="shared" si="2"/>
        <v>0</v>
      </c>
      <c r="K50" s="322">
        <f t="shared" si="2"/>
        <v>0</v>
      </c>
      <c r="L50" s="322">
        <f t="shared" si="2"/>
        <v>0</v>
      </c>
      <c r="M50" s="322">
        <f t="shared" si="2"/>
        <v>2.787103086731941E-5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6.538557712501917E-4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2.787103086731941E-5</v>
      </c>
      <c r="N51" s="324"/>
      <c r="O51" s="324"/>
      <c r="P51" s="327"/>
    </row>
    <row r="52" spans="1:18">
      <c r="A52" s="4" t="s">
        <v>330</v>
      </c>
      <c r="B52" s="328">
        <f>vkm_2011_tram*SUMIFS(TableECFTransport[EnergieConsumptieFactor (PJ per km)],TableECFTransport[Index],"Tram_gemiddeld_Electric_Electric")</f>
        <v>2.7875516510862874E-3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774.31990307952435</v>
      </c>
      <c r="C54" s="21">
        <f t="shared" ref="C54:P54" si="3">(C50)*10^9/3600</f>
        <v>0</v>
      </c>
      <c r="D54" s="21">
        <f t="shared" si="3"/>
        <v>0</v>
      </c>
      <c r="E54" s="21">
        <f t="shared" si="3"/>
        <v>0</v>
      </c>
      <c r="F54" s="21">
        <f t="shared" si="3"/>
        <v>0</v>
      </c>
      <c r="G54" s="21">
        <f t="shared" si="3"/>
        <v>181.62660312505326</v>
      </c>
      <c r="H54" s="21">
        <f t="shared" si="3"/>
        <v>0</v>
      </c>
      <c r="I54" s="21">
        <f t="shared" si="3"/>
        <v>0</v>
      </c>
      <c r="J54" s="21">
        <f t="shared" si="3"/>
        <v>0</v>
      </c>
      <c r="K54" s="21">
        <f t="shared" si="3"/>
        <v>0</v>
      </c>
      <c r="L54" s="21">
        <f t="shared" si="3"/>
        <v>0</v>
      </c>
      <c r="M54" s="21">
        <f t="shared" si="3"/>
        <v>7.741953018699836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0.21874553401589866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169.37902069826944</v>
      </c>
      <c r="C58" s="23">
        <f t="shared" ref="C58:P58" ca="1" si="4">C54*C56</f>
        <v>0</v>
      </c>
      <c r="D58" s="23">
        <f t="shared" si="4"/>
        <v>0</v>
      </c>
      <c r="E58" s="23">
        <f t="shared" si="4"/>
        <v>0</v>
      </c>
      <c r="F58" s="23">
        <f t="shared" si="4"/>
        <v>0</v>
      </c>
      <c r="G58" s="23">
        <f t="shared" si="4"/>
        <v>48.494303034389226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30143.26372405397</v>
      </c>
      <c r="D10" s="687">
        <f ca="1">tertiair!C16</f>
        <v>0</v>
      </c>
      <c r="E10" s="687">
        <f ca="1">tertiair!D16</f>
        <v>30995.646770386054</v>
      </c>
      <c r="F10" s="687">
        <f>tertiair!E16</f>
        <v>825.7033305954684</v>
      </c>
      <c r="G10" s="687">
        <f ca="1">tertiair!F16</f>
        <v>5033.9651870167563</v>
      </c>
      <c r="H10" s="687">
        <f>tertiair!G16</f>
        <v>0</v>
      </c>
      <c r="I10" s="687">
        <f>tertiair!H16</f>
        <v>0</v>
      </c>
      <c r="J10" s="687">
        <f>tertiair!I16</f>
        <v>0</v>
      </c>
      <c r="K10" s="687">
        <f>tertiair!J16</f>
        <v>0</v>
      </c>
      <c r="L10" s="687">
        <f>tertiair!K16</f>
        <v>0</v>
      </c>
      <c r="M10" s="687">
        <f ca="1">tertiair!L16</f>
        <v>0</v>
      </c>
      <c r="N10" s="687">
        <f>tertiair!M16</f>
        <v>0</v>
      </c>
      <c r="O10" s="687">
        <f ca="1">tertiair!N16</f>
        <v>580.66069410706859</v>
      </c>
      <c r="P10" s="687">
        <f>tertiair!O16</f>
        <v>1.5633333333333335</v>
      </c>
      <c r="Q10" s="688">
        <f>tertiair!P16</f>
        <v>0</v>
      </c>
      <c r="R10" s="690">
        <f ca="1">SUM(C10:Q10)</f>
        <v>67580.803039492646</v>
      </c>
      <c r="S10" s="67"/>
    </row>
    <row r="11" spans="1:19" s="456" customFormat="1">
      <c r="A11" s="802" t="s">
        <v>225</v>
      </c>
      <c r="B11" s="807"/>
      <c r="C11" s="687">
        <f>huishoudens!B8</f>
        <v>29721.874050747767</v>
      </c>
      <c r="D11" s="687">
        <f>huishoudens!C8</f>
        <v>0</v>
      </c>
      <c r="E11" s="687">
        <f>huishoudens!D8</f>
        <v>62453.015609752743</v>
      </c>
      <c r="F11" s="687">
        <f>huishoudens!E8</f>
        <v>0</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0</v>
      </c>
      <c r="P11" s="687">
        <f>huishoudens!O8</f>
        <v>39.083333333333336</v>
      </c>
      <c r="Q11" s="688">
        <f>huishoudens!P8</f>
        <v>0</v>
      </c>
      <c r="R11" s="690">
        <f>SUM(C11:Q11)</f>
        <v>92213.972993833842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2218.5379485734074</v>
      </c>
      <c r="D13" s="687">
        <f>industrie!C18</f>
        <v>0</v>
      </c>
      <c r="E13" s="687">
        <f>industrie!D18</f>
        <v>2502.4716906524</v>
      </c>
      <c r="F13" s="687">
        <f>industrie!E18</f>
        <v>26.894432791491155</v>
      </c>
      <c r="G13" s="687">
        <f>industrie!F18</f>
        <v>943.75869181887742</v>
      </c>
      <c r="H13" s="687">
        <f>industrie!G18</f>
        <v>0</v>
      </c>
      <c r="I13" s="687">
        <f>industrie!H18</f>
        <v>0</v>
      </c>
      <c r="J13" s="687">
        <f>industrie!I18</f>
        <v>0</v>
      </c>
      <c r="K13" s="687">
        <f>industrie!J18</f>
        <v>8.4725340736506318</v>
      </c>
      <c r="L13" s="687">
        <f>industrie!K18</f>
        <v>0</v>
      </c>
      <c r="M13" s="687">
        <f>industrie!L18</f>
        <v>0</v>
      </c>
      <c r="N13" s="687">
        <f>industrie!M18</f>
        <v>0</v>
      </c>
      <c r="O13" s="687">
        <f>industrie!N18</f>
        <v>88.174322137628849</v>
      </c>
      <c r="P13" s="687">
        <f>industrie!O18</f>
        <v>0</v>
      </c>
      <c r="Q13" s="688">
        <f>industrie!P18</f>
        <v>0</v>
      </c>
      <c r="R13" s="690">
        <f>SUM(C13:Q13)</f>
        <v>5788.3096200474556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62083.675723375149</v>
      </c>
      <c r="D16" s="720">
        <f t="shared" ref="D16:R16" ca="1" si="0">SUM(D9:D15)</f>
        <v>0</v>
      </c>
      <c r="E16" s="720">
        <f t="shared" ca="1" si="0"/>
        <v>95951.134070791188</v>
      </c>
      <c r="F16" s="720">
        <f t="shared" si="0"/>
        <v>852.59776338695951</v>
      </c>
      <c r="G16" s="720">
        <f t="shared" ca="1" si="0"/>
        <v>5977.7238788356335</v>
      </c>
      <c r="H16" s="720">
        <f t="shared" si="0"/>
        <v>0</v>
      </c>
      <c r="I16" s="720">
        <f t="shared" si="0"/>
        <v>0</v>
      </c>
      <c r="J16" s="720">
        <f t="shared" si="0"/>
        <v>0</v>
      </c>
      <c r="K16" s="720">
        <f t="shared" si="0"/>
        <v>8.4725340736506318</v>
      </c>
      <c r="L16" s="720">
        <f t="shared" si="0"/>
        <v>0</v>
      </c>
      <c r="M16" s="720">
        <f t="shared" ca="1" si="0"/>
        <v>0</v>
      </c>
      <c r="N16" s="720">
        <f t="shared" si="0"/>
        <v>0</v>
      </c>
      <c r="O16" s="720">
        <f t="shared" ca="1" si="0"/>
        <v>668.8350162446975</v>
      </c>
      <c r="P16" s="720">
        <f t="shared" si="0"/>
        <v>40.646666666666668</v>
      </c>
      <c r="Q16" s="720">
        <f t="shared" si="0"/>
        <v>0</v>
      </c>
      <c r="R16" s="720">
        <f t="shared" ca="1" si="0"/>
        <v>165583.08565337394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774.31990307952435</v>
      </c>
      <c r="D19" s="687">
        <f>transport!C54</f>
        <v>0</v>
      </c>
      <c r="E19" s="687">
        <f>transport!D54</f>
        <v>0</v>
      </c>
      <c r="F19" s="687">
        <f>transport!E54</f>
        <v>0</v>
      </c>
      <c r="G19" s="687">
        <f>transport!F54</f>
        <v>0</v>
      </c>
      <c r="H19" s="687">
        <f>transport!G54</f>
        <v>181.62660312505326</v>
      </c>
      <c r="I19" s="687">
        <f>transport!H54</f>
        <v>0</v>
      </c>
      <c r="J19" s="687">
        <f>transport!I54</f>
        <v>0</v>
      </c>
      <c r="K19" s="687">
        <f>transport!J54</f>
        <v>0</v>
      </c>
      <c r="L19" s="687">
        <f>transport!K54</f>
        <v>0</v>
      </c>
      <c r="M19" s="687">
        <f>transport!L54</f>
        <v>0</v>
      </c>
      <c r="N19" s="687">
        <f>transport!M54</f>
        <v>7.741953018699836</v>
      </c>
      <c r="O19" s="687">
        <f>transport!N54</f>
        <v>0</v>
      </c>
      <c r="P19" s="687">
        <f>transport!O54</f>
        <v>0</v>
      </c>
      <c r="Q19" s="688">
        <f>transport!P54</f>
        <v>0</v>
      </c>
      <c r="R19" s="690">
        <f>SUM(C19:Q19)</f>
        <v>963.6884592232775</v>
      </c>
      <c r="S19" s="67"/>
    </row>
    <row r="20" spans="1:19" s="456" customFormat="1">
      <c r="A20" s="802" t="s">
        <v>307</v>
      </c>
      <c r="B20" s="807"/>
      <c r="C20" s="687">
        <f>transport!B14</f>
        <v>0.47517724567945036</v>
      </c>
      <c r="D20" s="687">
        <f>transport!C14</f>
        <v>0</v>
      </c>
      <c r="E20" s="687">
        <f>transport!D14</f>
        <v>2.1680965002382062</v>
      </c>
      <c r="F20" s="687">
        <f>transport!E14</f>
        <v>251.1775248431108</v>
      </c>
      <c r="G20" s="687">
        <f>transport!F14</f>
        <v>0</v>
      </c>
      <c r="H20" s="687">
        <f>transport!G14</f>
        <v>68169.657310927782</v>
      </c>
      <c r="I20" s="687">
        <f>transport!H14</f>
        <v>7483.8809744268583</v>
      </c>
      <c r="J20" s="687">
        <f>transport!I14</f>
        <v>0</v>
      </c>
      <c r="K20" s="687">
        <f>transport!J14</f>
        <v>0</v>
      </c>
      <c r="L20" s="687">
        <f>transport!K14</f>
        <v>0</v>
      </c>
      <c r="M20" s="687">
        <f>transport!L14</f>
        <v>0</v>
      </c>
      <c r="N20" s="687">
        <f>transport!M14</f>
        <v>3289.9639558112017</v>
      </c>
      <c r="O20" s="687">
        <f>transport!N14</f>
        <v>0</v>
      </c>
      <c r="P20" s="687">
        <f>transport!O14</f>
        <v>0</v>
      </c>
      <c r="Q20" s="688">
        <f>transport!P14</f>
        <v>0</v>
      </c>
      <c r="R20" s="690">
        <f>SUM(C20:Q20)</f>
        <v>79197.323039754876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774.7950803252038</v>
      </c>
      <c r="D22" s="805">
        <f t="shared" ref="D22:R22" si="1">SUM(D18:D21)</f>
        <v>0</v>
      </c>
      <c r="E22" s="805">
        <f t="shared" si="1"/>
        <v>2.1680965002382062</v>
      </c>
      <c r="F22" s="805">
        <f t="shared" si="1"/>
        <v>251.1775248431108</v>
      </c>
      <c r="G22" s="805">
        <f t="shared" si="1"/>
        <v>0</v>
      </c>
      <c r="H22" s="805">
        <f t="shared" si="1"/>
        <v>68351.283914052838</v>
      </c>
      <c r="I22" s="805">
        <f t="shared" si="1"/>
        <v>7483.8809744268583</v>
      </c>
      <c r="J22" s="805">
        <f t="shared" si="1"/>
        <v>0</v>
      </c>
      <c r="K22" s="805">
        <f t="shared" si="1"/>
        <v>0</v>
      </c>
      <c r="L22" s="805">
        <f t="shared" si="1"/>
        <v>0</v>
      </c>
      <c r="M22" s="805">
        <f t="shared" si="1"/>
        <v>0</v>
      </c>
      <c r="N22" s="805">
        <f t="shared" si="1"/>
        <v>3297.7059088299015</v>
      </c>
      <c r="O22" s="805">
        <f t="shared" si="1"/>
        <v>0</v>
      </c>
      <c r="P22" s="805">
        <f t="shared" si="1"/>
        <v>0</v>
      </c>
      <c r="Q22" s="805">
        <f t="shared" si="1"/>
        <v>0</v>
      </c>
      <c r="R22" s="805">
        <f t="shared" si="1"/>
        <v>80161.011498978158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515.36723952395437</v>
      </c>
      <c r="D24" s="687">
        <f>+landbouw!C8</f>
        <v>0</v>
      </c>
      <c r="E24" s="687">
        <f>+landbouw!D8</f>
        <v>65.785921736595228</v>
      </c>
      <c r="F24" s="687">
        <f>+landbouw!E8</f>
        <v>5.3970373047523097</v>
      </c>
      <c r="G24" s="687">
        <f>+landbouw!F8</f>
        <v>2206.1633810976909</v>
      </c>
      <c r="H24" s="687">
        <f>+landbouw!G8</f>
        <v>0</v>
      </c>
      <c r="I24" s="687">
        <f>+landbouw!H8</f>
        <v>0</v>
      </c>
      <c r="J24" s="687">
        <f>+landbouw!I8</f>
        <v>0</v>
      </c>
      <c r="K24" s="687">
        <f>+landbouw!J8</f>
        <v>46.026913804860932</v>
      </c>
      <c r="L24" s="687">
        <f>+landbouw!K8</f>
        <v>0</v>
      </c>
      <c r="M24" s="687">
        <f>+landbouw!L8</f>
        <v>0</v>
      </c>
      <c r="N24" s="687">
        <f>+landbouw!M8</f>
        <v>0</v>
      </c>
      <c r="O24" s="687">
        <f>+landbouw!N8</f>
        <v>0</v>
      </c>
      <c r="P24" s="687">
        <f>+landbouw!O8</f>
        <v>0</v>
      </c>
      <c r="Q24" s="688">
        <f>+landbouw!P8</f>
        <v>0</v>
      </c>
      <c r="R24" s="690">
        <f>SUM(C24:Q24)</f>
        <v>2838.7404934678539</v>
      </c>
      <c r="S24" s="67"/>
    </row>
    <row r="25" spans="1:19" s="456" customFormat="1" ht="15" thickBot="1">
      <c r="A25" s="824" t="s">
        <v>925</v>
      </c>
      <c r="B25" s="988"/>
      <c r="C25" s="989">
        <f>IF(Onbekend_ele_kWh="---",0,Onbekend_ele_kWh)/1000+IF(REST_rest_ele_kWh="---",0,REST_rest_ele_kWh)/1000</f>
        <v>2697.7704085313198</v>
      </c>
      <c r="D25" s="989"/>
      <c r="E25" s="989">
        <f>IF(onbekend_gas_kWh="---",0,onbekend_gas_kWh)/1000+IF(REST_rest_gas_kWh="---",0,REST_rest_gas_kWh)/1000</f>
        <v>3799.9497240160699</v>
      </c>
      <c r="F25" s="989"/>
      <c r="G25" s="989"/>
      <c r="H25" s="989"/>
      <c r="I25" s="989"/>
      <c r="J25" s="989"/>
      <c r="K25" s="989"/>
      <c r="L25" s="989"/>
      <c r="M25" s="989"/>
      <c r="N25" s="989"/>
      <c r="O25" s="989"/>
      <c r="P25" s="989"/>
      <c r="Q25" s="990"/>
      <c r="R25" s="690">
        <f>SUM(C25:Q25)</f>
        <v>6497.7201325473898</v>
      </c>
      <c r="S25" s="67"/>
    </row>
    <row r="26" spans="1:19" s="456" customFormat="1" ht="15.75" thickBot="1">
      <c r="A26" s="693" t="s">
        <v>926</v>
      </c>
      <c r="B26" s="810"/>
      <c r="C26" s="805">
        <f>SUM(C24:C25)</f>
        <v>3213.1376480552744</v>
      </c>
      <c r="D26" s="805">
        <f t="shared" ref="D26:R26" si="2">SUM(D24:D25)</f>
        <v>0</v>
      </c>
      <c r="E26" s="805">
        <f t="shared" si="2"/>
        <v>3865.7356457526653</v>
      </c>
      <c r="F26" s="805">
        <f t="shared" si="2"/>
        <v>5.3970373047523097</v>
      </c>
      <c r="G26" s="805">
        <f t="shared" si="2"/>
        <v>2206.1633810976909</v>
      </c>
      <c r="H26" s="805">
        <f t="shared" si="2"/>
        <v>0</v>
      </c>
      <c r="I26" s="805">
        <f t="shared" si="2"/>
        <v>0</v>
      </c>
      <c r="J26" s="805">
        <f t="shared" si="2"/>
        <v>0</v>
      </c>
      <c r="K26" s="805">
        <f t="shared" si="2"/>
        <v>46.026913804860932</v>
      </c>
      <c r="L26" s="805">
        <f t="shared" si="2"/>
        <v>0</v>
      </c>
      <c r="M26" s="805">
        <f t="shared" si="2"/>
        <v>0</v>
      </c>
      <c r="N26" s="805">
        <f t="shared" si="2"/>
        <v>0</v>
      </c>
      <c r="O26" s="805">
        <f t="shared" si="2"/>
        <v>0</v>
      </c>
      <c r="P26" s="805">
        <f t="shared" si="2"/>
        <v>0</v>
      </c>
      <c r="Q26" s="805">
        <f t="shared" si="2"/>
        <v>0</v>
      </c>
      <c r="R26" s="805">
        <f t="shared" si="2"/>
        <v>9336.4606260152432</v>
      </c>
      <c r="S26" s="67"/>
    </row>
    <row r="27" spans="1:19" s="456" customFormat="1" ht="17.25" thickTop="1" thickBot="1">
      <c r="A27" s="694" t="s">
        <v>116</v>
      </c>
      <c r="B27" s="797"/>
      <c r="C27" s="695">
        <f ca="1">C22+C16+C26</f>
        <v>66071.60845175563</v>
      </c>
      <c r="D27" s="695">
        <f t="shared" ref="D27:R27" ca="1" si="3">D22+D16+D26</f>
        <v>0</v>
      </c>
      <c r="E27" s="695">
        <f t="shared" ca="1" si="3"/>
        <v>99819.037813044095</v>
      </c>
      <c r="F27" s="695">
        <f t="shared" si="3"/>
        <v>1109.1723255348227</v>
      </c>
      <c r="G27" s="695">
        <f t="shared" ca="1" si="3"/>
        <v>8183.8872599333245</v>
      </c>
      <c r="H27" s="695">
        <f t="shared" si="3"/>
        <v>68351.283914052838</v>
      </c>
      <c r="I27" s="695">
        <f t="shared" si="3"/>
        <v>7483.8809744268583</v>
      </c>
      <c r="J27" s="695">
        <f t="shared" si="3"/>
        <v>0</v>
      </c>
      <c r="K27" s="695">
        <f t="shared" si="3"/>
        <v>54.49944787851156</v>
      </c>
      <c r="L27" s="695">
        <f t="shared" si="3"/>
        <v>0</v>
      </c>
      <c r="M27" s="695">
        <f t="shared" ca="1" si="3"/>
        <v>0</v>
      </c>
      <c r="N27" s="695">
        <f t="shared" si="3"/>
        <v>3297.7059088299015</v>
      </c>
      <c r="O27" s="695">
        <f t="shared" ca="1" si="3"/>
        <v>668.8350162446975</v>
      </c>
      <c r="P27" s="695">
        <f t="shared" si="3"/>
        <v>40.646666666666668</v>
      </c>
      <c r="Q27" s="695">
        <f t="shared" si="3"/>
        <v>0</v>
      </c>
      <c r="R27" s="695">
        <f t="shared" ca="1" si="3"/>
        <v>255080.55777836734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6593.7043203002513</v>
      </c>
      <c r="D40" s="687">
        <f ca="1">tertiair!C20</f>
        <v>0</v>
      </c>
      <c r="E40" s="687">
        <f ca="1">tertiair!D20</f>
        <v>6261.1206476179832</v>
      </c>
      <c r="F40" s="687">
        <f>tertiair!E20</f>
        <v>187.43465604517132</v>
      </c>
      <c r="G40" s="687">
        <f ca="1">tertiair!F20</f>
        <v>1344.068704933474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14386.328328896878</v>
      </c>
    </row>
    <row r="41" spans="1:18">
      <c r="A41" s="815" t="s">
        <v>225</v>
      </c>
      <c r="B41" s="822"/>
      <c r="C41" s="687">
        <f ca="1">huishoudens!B12</f>
        <v>6501.5272111841014</v>
      </c>
      <c r="D41" s="687">
        <f ca="1">huishoudens!C12</f>
        <v>0</v>
      </c>
      <c r="E41" s="687">
        <f>huishoudens!D12</f>
        <v>12615.509153170055</v>
      </c>
      <c r="F41" s="687">
        <f>huishoudens!E12</f>
        <v>0</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19117.036364354157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485.29526829522632</v>
      </c>
      <c r="D43" s="687">
        <f ca="1">industrie!C22</f>
        <v>0</v>
      </c>
      <c r="E43" s="687">
        <f>industrie!D22</f>
        <v>505.49928151178483</v>
      </c>
      <c r="F43" s="687">
        <f>industrie!E22</f>
        <v>6.1050362436684926</v>
      </c>
      <c r="G43" s="687">
        <f>industrie!F22</f>
        <v>251.9835707156403</v>
      </c>
      <c r="H43" s="687">
        <f>industrie!G22</f>
        <v>0</v>
      </c>
      <c r="I43" s="687">
        <f>industrie!H22</f>
        <v>0</v>
      </c>
      <c r="J43" s="687">
        <f>industrie!I22</f>
        <v>0</v>
      </c>
      <c r="K43" s="687">
        <f>industrie!J22</f>
        <v>2.9992770620723235</v>
      </c>
      <c r="L43" s="687">
        <f>industrie!K22</f>
        <v>0</v>
      </c>
      <c r="M43" s="687">
        <f>industrie!L22</f>
        <v>0</v>
      </c>
      <c r="N43" s="687">
        <f>industrie!M22</f>
        <v>0</v>
      </c>
      <c r="O43" s="687">
        <f>industrie!N22</f>
        <v>0</v>
      </c>
      <c r="P43" s="687">
        <f>industrie!O22</f>
        <v>0</v>
      </c>
      <c r="Q43" s="762">
        <f>industrie!P22</f>
        <v>0</v>
      </c>
      <c r="R43" s="842">
        <f t="shared" ca="1" si="4"/>
        <v>1251.8824338283921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13580.526799779578</v>
      </c>
      <c r="D46" s="720">
        <f t="shared" ref="D46:Q46" ca="1" si="5">SUM(D39:D45)</f>
        <v>0</v>
      </c>
      <c r="E46" s="720">
        <f t="shared" ca="1" si="5"/>
        <v>19382.129082299823</v>
      </c>
      <c r="F46" s="720">
        <f t="shared" si="5"/>
        <v>193.5396922888398</v>
      </c>
      <c r="G46" s="720">
        <f t="shared" ca="1" si="5"/>
        <v>1596.0522756491143</v>
      </c>
      <c r="H46" s="720">
        <f t="shared" si="5"/>
        <v>0</v>
      </c>
      <c r="I46" s="720">
        <f t="shared" si="5"/>
        <v>0</v>
      </c>
      <c r="J46" s="720">
        <f t="shared" si="5"/>
        <v>0</v>
      </c>
      <c r="K46" s="720">
        <f t="shared" si="5"/>
        <v>2.9992770620723235</v>
      </c>
      <c r="L46" s="720">
        <f t="shared" si="5"/>
        <v>0</v>
      </c>
      <c r="M46" s="720">
        <f t="shared" ca="1" si="5"/>
        <v>0</v>
      </c>
      <c r="N46" s="720">
        <f t="shared" si="5"/>
        <v>0</v>
      </c>
      <c r="O46" s="720">
        <f t="shared" ca="1" si="5"/>
        <v>0</v>
      </c>
      <c r="P46" s="720">
        <f t="shared" si="5"/>
        <v>0</v>
      </c>
      <c r="Q46" s="720">
        <f t="shared" si="5"/>
        <v>0</v>
      </c>
      <c r="R46" s="720">
        <f ca="1">SUM(R39:R45)</f>
        <v>34755.247127079419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169.37902069826944</v>
      </c>
      <c r="D49" s="687">
        <f ca="1">transport!C58</f>
        <v>0</v>
      </c>
      <c r="E49" s="687">
        <f>transport!D58</f>
        <v>0</v>
      </c>
      <c r="F49" s="687">
        <f>transport!E58</f>
        <v>0</v>
      </c>
      <c r="G49" s="687">
        <f>transport!F58</f>
        <v>0</v>
      </c>
      <c r="H49" s="687">
        <f>transport!G58</f>
        <v>48.494303034389226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217.87332373265866</v>
      </c>
    </row>
    <row r="50" spans="1:18">
      <c r="A50" s="818" t="s">
        <v>307</v>
      </c>
      <c r="B50" s="828"/>
      <c r="C50" s="995">
        <f ca="1">transport!B18</f>
        <v>0.10394290035835524</v>
      </c>
      <c r="D50" s="995">
        <f>transport!C18</f>
        <v>0</v>
      </c>
      <c r="E50" s="995">
        <f>transport!D18</f>
        <v>0.43795549304811771</v>
      </c>
      <c r="F50" s="995">
        <f>transport!E18</f>
        <v>57.017298139386156</v>
      </c>
      <c r="G50" s="995">
        <f>transport!F18</f>
        <v>0</v>
      </c>
      <c r="H50" s="995">
        <f>transport!G18</f>
        <v>18201.298502017718</v>
      </c>
      <c r="I50" s="995">
        <f>transport!H18</f>
        <v>1863.4863626322876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20122.344061182797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169.4829635986278</v>
      </c>
      <c r="D52" s="720">
        <f t="shared" ref="D52:Q52" ca="1" si="6">SUM(D48:D51)</f>
        <v>0</v>
      </c>
      <c r="E52" s="720">
        <f t="shared" si="6"/>
        <v>0.43795549304811771</v>
      </c>
      <c r="F52" s="720">
        <f t="shared" si="6"/>
        <v>57.017298139386156</v>
      </c>
      <c r="G52" s="720">
        <f t="shared" si="6"/>
        <v>0</v>
      </c>
      <c r="H52" s="720">
        <f t="shared" si="6"/>
        <v>18249.792805052108</v>
      </c>
      <c r="I52" s="720">
        <f t="shared" si="6"/>
        <v>1863.4863626322876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20340.217384915457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112.73428202396695</v>
      </c>
      <c r="D54" s="995">
        <f ca="1">+landbouw!C12</f>
        <v>0</v>
      </c>
      <c r="E54" s="995">
        <f>+landbouw!D12</f>
        <v>13.288756190792236</v>
      </c>
      <c r="F54" s="995">
        <f>+landbouw!E12</f>
        <v>1.2251274681787743</v>
      </c>
      <c r="G54" s="995">
        <f>+landbouw!F12</f>
        <v>589.04562275308353</v>
      </c>
      <c r="H54" s="995">
        <f>+landbouw!G12</f>
        <v>0</v>
      </c>
      <c r="I54" s="995">
        <f>+landbouw!H12</f>
        <v>0</v>
      </c>
      <c r="J54" s="995">
        <f>+landbouw!I12</f>
        <v>0</v>
      </c>
      <c r="K54" s="995">
        <f>+landbouw!J12</f>
        <v>16.29352748692077</v>
      </c>
      <c r="L54" s="995">
        <f>+landbouw!K12</f>
        <v>0</v>
      </c>
      <c r="M54" s="995">
        <f>+landbouw!L12</f>
        <v>0</v>
      </c>
      <c r="N54" s="995">
        <f>+landbouw!M12</f>
        <v>0</v>
      </c>
      <c r="O54" s="995">
        <f>+landbouw!N12</f>
        <v>0</v>
      </c>
      <c r="P54" s="995">
        <f>+landbouw!O12</f>
        <v>0</v>
      </c>
      <c r="Q54" s="996">
        <f>+landbouw!P12</f>
        <v>0</v>
      </c>
      <c r="R54" s="719">
        <f ca="1">SUM(C54:Q54)</f>
        <v>732.58731592294225</v>
      </c>
    </row>
    <row r="55" spans="1:18" ht="15" thickBot="1">
      <c r="A55" s="818" t="s">
        <v>925</v>
      </c>
      <c r="B55" s="828"/>
      <c r="C55" s="995">
        <f ca="1">C25*'EF ele_warmte'!B12</f>
        <v>590.12522866647271</v>
      </c>
      <c r="D55" s="995"/>
      <c r="E55" s="995">
        <f>E25*EF_CO2_aardgas</f>
        <v>767.58984425124618</v>
      </c>
      <c r="F55" s="995"/>
      <c r="G55" s="995"/>
      <c r="H55" s="995"/>
      <c r="I55" s="995"/>
      <c r="J55" s="995"/>
      <c r="K55" s="995"/>
      <c r="L55" s="995"/>
      <c r="M55" s="995"/>
      <c r="N55" s="995"/>
      <c r="O55" s="995"/>
      <c r="P55" s="995"/>
      <c r="Q55" s="996"/>
      <c r="R55" s="719">
        <f ca="1">SUM(C55:Q55)</f>
        <v>1357.7150729177188</v>
      </c>
    </row>
    <row r="56" spans="1:18" ht="15.75" thickBot="1">
      <c r="A56" s="816" t="s">
        <v>926</v>
      </c>
      <c r="B56" s="829"/>
      <c r="C56" s="720">
        <f ca="1">SUM(C54:C55)</f>
        <v>702.85951069043972</v>
      </c>
      <c r="D56" s="720">
        <f t="shared" ref="D56:Q56" ca="1" si="7">SUM(D54:D55)</f>
        <v>0</v>
      </c>
      <c r="E56" s="720">
        <f t="shared" si="7"/>
        <v>780.87860044203842</v>
      </c>
      <c r="F56" s="720">
        <f t="shared" si="7"/>
        <v>1.2251274681787743</v>
      </c>
      <c r="G56" s="720">
        <f t="shared" si="7"/>
        <v>589.04562275308353</v>
      </c>
      <c r="H56" s="720">
        <f t="shared" si="7"/>
        <v>0</v>
      </c>
      <c r="I56" s="720">
        <f t="shared" si="7"/>
        <v>0</v>
      </c>
      <c r="J56" s="720">
        <f t="shared" si="7"/>
        <v>0</v>
      </c>
      <c r="K56" s="720">
        <f t="shared" si="7"/>
        <v>16.29352748692077</v>
      </c>
      <c r="L56" s="720">
        <f t="shared" si="7"/>
        <v>0</v>
      </c>
      <c r="M56" s="720">
        <f t="shared" si="7"/>
        <v>0</v>
      </c>
      <c r="N56" s="720">
        <f t="shared" si="7"/>
        <v>0</v>
      </c>
      <c r="O56" s="720">
        <f t="shared" si="7"/>
        <v>0</v>
      </c>
      <c r="P56" s="720">
        <f t="shared" si="7"/>
        <v>0</v>
      </c>
      <c r="Q56" s="721">
        <f t="shared" si="7"/>
        <v>0</v>
      </c>
      <c r="R56" s="722">
        <f ca="1">SUM(R54:R55)</f>
        <v>2090.302388840661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14452.869274068646</v>
      </c>
      <c r="D61" s="728">
        <f t="shared" ref="D61:Q61" ca="1" si="8">D46+D52+D56</f>
        <v>0</v>
      </c>
      <c r="E61" s="728">
        <f t="shared" ca="1" si="8"/>
        <v>20163.445638234913</v>
      </c>
      <c r="F61" s="728">
        <f t="shared" si="8"/>
        <v>251.78211789640474</v>
      </c>
      <c r="G61" s="728">
        <f t="shared" ca="1" si="8"/>
        <v>2185.0978984021976</v>
      </c>
      <c r="H61" s="728">
        <f t="shared" si="8"/>
        <v>18249.792805052108</v>
      </c>
      <c r="I61" s="728">
        <f t="shared" si="8"/>
        <v>1863.4863626322876</v>
      </c>
      <c r="J61" s="728">
        <f t="shared" si="8"/>
        <v>0</v>
      </c>
      <c r="K61" s="728">
        <f t="shared" si="8"/>
        <v>19.292804548993093</v>
      </c>
      <c r="L61" s="728">
        <f t="shared" si="8"/>
        <v>0</v>
      </c>
      <c r="M61" s="728">
        <f t="shared" ca="1" si="8"/>
        <v>0</v>
      </c>
      <c r="N61" s="728">
        <f t="shared" si="8"/>
        <v>0</v>
      </c>
      <c r="O61" s="728">
        <f t="shared" ca="1" si="8"/>
        <v>0</v>
      </c>
      <c r="P61" s="728">
        <f t="shared" si="8"/>
        <v>0</v>
      </c>
      <c r="Q61" s="728">
        <f t="shared" si="8"/>
        <v>0</v>
      </c>
      <c r="R61" s="728">
        <f ca="1">R46+R52+R56</f>
        <v>57185.766900835537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0.21874553401589861</v>
      </c>
      <c r="D63" s="772">
        <f t="shared" ca="1" si="9"/>
        <v>0</v>
      </c>
      <c r="E63" s="997">
        <f t="shared" ca="1" si="9"/>
        <v>0.20200000000000007</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674.00992655812161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674.00992655812161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674.00992655812161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674.00992655812161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29721.874050747767</v>
      </c>
      <c r="C4" s="460">
        <f>huishoudens!C8</f>
        <v>0</v>
      </c>
      <c r="D4" s="460">
        <f>huishoudens!D8</f>
        <v>62453.015609752743</v>
      </c>
      <c r="E4" s="460">
        <f>huishoudens!E8</f>
        <v>0</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0</v>
      </c>
      <c r="O4" s="460">
        <f>huishoudens!O8</f>
        <v>39.083333333333336</v>
      </c>
      <c r="P4" s="461">
        <f>huishoudens!P8</f>
        <v>0</v>
      </c>
      <c r="Q4" s="462">
        <f>SUM(B4:P4)</f>
        <v>92213.972993833842</v>
      </c>
    </row>
    <row r="5" spans="1:17">
      <c r="A5" s="459" t="s">
        <v>156</v>
      </c>
      <c r="B5" s="460">
        <f ca="1">tertiair!B16</f>
        <v>28554.684724053968</v>
      </c>
      <c r="C5" s="460">
        <f ca="1">tertiair!C16</f>
        <v>0</v>
      </c>
      <c r="D5" s="460">
        <f ca="1">tertiair!D16</f>
        <v>30995.646770386054</v>
      </c>
      <c r="E5" s="460">
        <f>tertiair!E16</f>
        <v>825.7033305954684</v>
      </c>
      <c r="F5" s="460">
        <f ca="1">tertiair!F16</f>
        <v>5033.9651870167563</v>
      </c>
      <c r="G5" s="460">
        <f>tertiair!G16</f>
        <v>0</v>
      </c>
      <c r="H5" s="460">
        <f>tertiair!H16</f>
        <v>0</v>
      </c>
      <c r="I5" s="460">
        <f>tertiair!I16</f>
        <v>0</v>
      </c>
      <c r="J5" s="460">
        <f>tertiair!J16</f>
        <v>0</v>
      </c>
      <c r="K5" s="460">
        <f>tertiair!K16</f>
        <v>0</v>
      </c>
      <c r="L5" s="460">
        <f ca="1">tertiair!L16</f>
        <v>0</v>
      </c>
      <c r="M5" s="460">
        <f>tertiair!M16</f>
        <v>0</v>
      </c>
      <c r="N5" s="460">
        <f ca="1">tertiair!N16</f>
        <v>580.66069410706859</v>
      </c>
      <c r="O5" s="460">
        <f>tertiair!O16</f>
        <v>1.5633333333333335</v>
      </c>
      <c r="P5" s="461">
        <f>tertiair!P16</f>
        <v>0</v>
      </c>
      <c r="Q5" s="459">
        <f t="shared" ref="Q5:Q14" ca="1" si="0">SUM(B5:P5)</f>
        <v>65992.224039492648</v>
      </c>
    </row>
    <row r="6" spans="1:17">
      <c r="A6" s="459" t="s">
        <v>194</v>
      </c>
      <c r="B6" s="460">
        <f>'openbare verlichting'!B8</f>
        <v>1588.579</v>
      </c>
      <c r="C6" s="460"/>
      <c r="D6" s="460"/>
      <c r="E6" s="460"/>
      <c r="F6" s="460"/>
      <c r="G6" s="460"/>
      <c r="H6" s="460"/>
      <c r="I6" s="460"/>
      <c r="J6" s="460"/>
      <c r="K6" s="460"/>
      <c r="L6" s="460"/>
      <c r="M6" s="460"/>
      <c r="N6" s="460"/>
      <c r="O6" s="460"/>
      <c r="P6" s="461"/>
      <c r="Q6" s="459">
        <f t="shared" si="0"/>
        <v>1588.579</v>
      </c>
    </row>
    <row r="7" spans="1:17">
      <c r="A7" s="459" t="s">
        <v>112</v>
      </c>
      <c r="B7" s="460">
        <f>landbouw!B8</f>
        <v>515.36723952395437</v>
      </c>
      <c r="C7" s="460">
        <f>landbouw!C8</f>
        <v>0</v>
      </c>
      <c r="D7" s="460">
        <f>landbouw!D8</f>
        <v>65.785921736595228</v>
      </c>
      <c r="E7" s="460">
        <f>landbouw!E8</f>
        <v>5.3970373047523097</v>
      </c>
      <c r="F7" s="460">
        <f>landbouw!F8</f>
        <v>2206.1633810976909</v>
      </c>
      <c r="G7" s="460">
        <f>landbouw!G8</f>
        <v>0</v>
      </c>
      <c r="H7" s="460">
        <f>landbouw!H8</f>
        <v>0</v>
      </c>
      <c r="I7" s="460">
        <f>landbouw!I8</f>
        <v>0</v>
      </c>
      <c r="J7" s="460">
        <f>landbouw!J8</f>
        <v>46.026913804860932</v>
      </c>
      <c r="K7" s="460">
        <f>landbouw!K8</f>
        <v>0</v>
      </c>
      <c r="L7" s="460">
        <f>landbouw!L8</f>
        <v>0</v>
      </c>
      <c r="M7" s="460">
        <f>landbouw!M8</f>
        <v>0</v>
      </c>
      <c r="N7" s="460">
        <f>landbouw!N8</f>
        <v>0</v>
      </c>
      <c r="O7" s="460">
        <f>landbouw!O8</f>
        <v>0</v>
      </c>
      <c r="P7" s="461">
        <f>landbouw!P8</f>
        <v>0</v>
      </c>
      <c r="Q7" s="459">
        <f t="shared" si="0"/>
        <v>2838.7404934678539</v>
      </c>
    </row>
    <row r="8" spans="1:17">
      <c r="A8" s="459" t="s">
        <v>655</v>
      </c>
      <c r="B8" s="460">
        <f>industrie!B18</f>
        <v>2218.5379485734074</v>
      </c>
      <c r="C8" s="460">
        <f>industrie!C18</f>
        <v>0</v>
      </c>
      <c r="D8" s="460">
        <f>industrie!D18</f>
        <v>2502.4716906524</v>
      </c>
      <c r="E8" s="460">
        <f>industrie!E18</f>
        <v>26.894432791491155</v>
      </c>
      <c r="F8" s="460">
        <f>industrie!F18</f>
        <v>943.75869181887742</v>
      </c>
      <c r="G8" s="460">
        <f>industrie!G18</f>
        <v>0</v>
      </c>
      <c r="H8" s="460">
        <f>industrie!H18</f>
        <v>0</v>
      </c>
      <c r="I8" s="460">
        <f>industrie!I18</f>
        <v>0</v>
      </c>
      <c r="J8" s="460">
        <f>industrie!J18</f>
        <v>8.4725340736506318</v>
      </c>
      <c r="K8" s="460">
        <f>industrie!K18</f>
        <v>0</v>
      </c>
      <c r="L8" s="460">
        <f>industrie!L18</f>
        <v>0</v>
      </c>
      <c r="M8" s="460">
        <f>industrie!M18</f>
        <v>0</v>
      </c>
      <c r="N8" s="460">
        <f>industrie!N18</f>
        <v>88.174322137628849</v>
      </c>
      <c r="O8" s="460">
        <f>industrie!O18</f>
        <v>0</v>
      </c>
      <c r="P8" s="461">
        <f>industrie!P18</f>
        <v>0</v>
      </c>
      <c r="Q8" s="459">
        <f t="shared" si="0"/>
        <v>5788.3096200474556</v>
      </c>
    </row>
    <row r="9" spans="1:17" s="465" customFormat="1">
      <c r="A9" s="463" t="s">
        <v>573</v>
      </c>
      <c r="B9" s="464">
        <f>transport!B14</f>
        <v>0.47517724567945036</v>
      </c>
      <c r="C9" s="464">
        <f>transport!C14</f>
        <v>0</v>
      </c>
      <c r="D9" s="464">
        <f>transport!D14</f>
        <v>2.1680965002382062</v>
      </c>
      <c r="E9" s="464">
        <f>transport!E14</f>
        <v>251.1775248431108</v>
      </c>
      <c r="F9" s="464">
        <f>transport!F14</f>
        <v>0</v>
      </c>
      <c r="G9" s="464">
        <f>transport!G14</f>
        <v>68169.657310927782</v>
      </c>
      <c r="H9" s="464">
        <f>transport!H14</f>
        <v>7483.8809744268583</v>
      </c>
      <c r="I9" s="464">
        <f>transport!I14</f>
        <v>0</v>
      </c>
      <c r="J9" s="464">
        <f>transport!J14</f>
        <v>0</v>
      </c>
      <c r="K9" s="464">
        <f>transport!K14</f>
        <v>0</v>
      </c>
      <c r="L9" s="464">
        <f>transport!L14</f>
        <v>0</v>
      </c>
      <c r="M9" s="464">
        <f>transport!M14</f>
        <v>3289.9639558112017</v>
      </c>
      <c r="N9" s="464">
        <f>transport!N14</f>
        <v>0</v>
      </c>
      <c r="O9" s="464">
        <f>transport!O14</f>
        <v>0</v>
      </c>
      <c r="P9" s="464">
        <f>transport!P14</f>
        <v>0</v>
      </c>
      <c r="Q9" s="463">
        <f>SUM(B9:P9)</f>
        <v>79197.323039754876</v>
      </c>
    </row>
    <row r="10" spans="1:17">
      <c r="A10" s="459" t="s">
        <v>563</v>
      </c>
      <c r="B10" s="460">
        <f>transport!B54</f>
        <v>774.31990307952435</v>
      </c>
      <c r="C10" s="460">
        <f>transport!C54</f>
        <v>0</v>
      </c>
      <c r="D10" s="460">
        <f>transport!D54</f>
        <v>0</v>
      </c>
      <c r="E10" s="460">
        <f>transport!E54</f>
        <v>0</v>
      </c>
      <c r="F10" s="460">
        <f>transport!F54</f>
        <v>0</v>
      </c>
      <c r="G10" s="460">
        <f>transport!G54</f>
        <v>181.62660312505326</v>
      </c>
      <c r="H10" s="460">
        <f>transport!H54</f>
        <v>0</v>
      </c>
      <c r="I10" s="460">
        <f>transport!I54</f>
        <v>0</v>
      </c>
      <c r="J10" s="460">
        <f>transport!J54</f>
        <v>0</v>
      </c>
      <c r="K10" s="460">
        <f>transport!K54</f>
        <v>0</v>
      </c>
      <c r="L10" s="460">
        <f>transport!L54</f>
        <v>0</v>
      </c>
      <c r="M10" s="460">
        <f>transport!M54</f>
        <v>7.741953018699836</v>
      </c>
      <c r="N10" s="460">
        <f>transport!N54</f>
        <v>0</v>
      </c>
      <c r="O10" s="460">
        <f>transport!O54</f>
        <v>0</v>
      </c>
      <c r="P10" s="461">
        <f>transport!P54</f>
        <v>0</v>
      </c>
      <c r="Q10" s="459">
        <f t="shared" si="0"/>
        <v>963.6884592232775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2697.7704085313198</v>
      </c>
      <c r="C14" s="467"/>
      <c r="D14" s="467">
        <f>'SEAP template'!E25</f>
        <v>3799.9497240160699</v>
      </c>
      <c r="E14" s="467"/>
      <c r="F14" s="467"/>
      <c r="G14" s="467"/>
      <c r="H14" s="467"/>
      <c r="I14" s="467"/>
      <c r="J14" s="467"/>
      <c r="K14" s="467"/>
      <c r="L14" s="467"/>
      <c r="M14" s="467"/>
      <c r="N14" s="467"/>
      <c r="O14" s="467"/>
      <c r="P14" s="468"/>
      <c r="Q14" s="459">
        <f t="shared" si="0"/>
        <v>6497.7201325473898</v>
      </c>
    </row>
    <row r="15" spans="1:17" s="472" customFormat="1">
      <c r="A15" s="469" t="s">
        <v>567</v>
      </c>
      <c r="B15" s="470">
        <f ca="1">SUM(B4:B14)</f>
        <v>66071.608451755616</v>
      </c>
      <c r="C15" s="470">
        <f t="shared" ref="C15:Q15" ca="1" si="1">SUM(C4:C14)</f>
        <v>0</v>
      </c>
      <c r="D15" s="470">
        <f t="shared" ca="1" si="1"/>
        <v>99819.037813044095</v>
      </c>
      <c r="E15" s="470">
        <f t="shared" si="1"/>
        <v>1109.1723255348227</v>
      </c>
      <c r="F15" s="470">
        <f t="shared" ca="1" si="1"/>
        <v>8183.8872599333245</v>
      </c>
      <c r="G15" s="470">
        <f t="shared" si="1"/>
        <v>68351.283914052838</v>
      </c>
      <c r="H15" s="470">
        <f t="shared" si="1"/>
        <v>7483.8809744268583</v>
      </c>
      <c r="I15" s="470">
        <f t="shared" si="1"/>
        <v>0</v>
      </c>
      <c r="J15" s="470">
        <f t="shared" si="1"/>
        <v>54.49944787851156</v>
      </c>
      <c r="K15" s="470">
        <f t="shared" si="1"/>
        <v>0</v>
      </c>
      <c r="L15" s="470">
        <f t="shared" ca="1" si="1"/>
        <v>0</v>
      </c>
      <c r="M15" s="470">
        <f t="shared" si="1"/>
        <v>3297.7059088299015</v>
      </c>
      <c r="N15" s="470">
        <f t="shared" ca="1" si="1"/>
        <v>668.8350162446975</v>
      </c>
      <c r="O15" s="470">
        <f t="shared" si="1"/>
        <v>40.646666666666668</v>
      </c>
      <c r="P15" s="470">
        <f t="shared" si="1"/>
        <v>0</v>
      </c>
      <c r="Q15" s="470">
        <f t="shared" ca="1" si="1"/>
        <v>255080.55777836737</v>
      </c>
    </row>
    <row r="17" spans="1:17">
      <c r="A17" s="473" t="s">
        <v>568</v>
      </c>
      <c r="B17" s="777">
        <f ca="1">huishoudens!B10</f>
        <v>0.21874553401589866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6501.5272111841014</v>
      </c>
      <c r="C22" s="460">
        <f t="shared" ref="C22:C32" ca="1" si="3">C4*$C$17</f>
        <v>0</v>
      </c>
      <c r="D22" s="460">
        <f t="shared" ref="D22:D32" si="4">D4*$D$17</f>
        <v>12615.509153170055</v>
      </c>
      <c r="E22" s="460">
        <f t="shared" ref="E22:E32" si="5">E4*$E$17</f>
        <v>0</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19117.036364354157</v>
      </c>
    </row>
    <row r="23" spans="1:17">
      <c r="A23" s="459" t="s">
        <v>156</v>
      </c>
      <c r="B23" s="460">
        <f t="shared" ca="1" si="2"/>
        <v>6246.2097586188092</v>
      </c>
      <c r="C23" s="460">
        <f t="shared" ca="1" si="3"/>
        <v>0</v>
      </c>
      <c r="D23" s="460">
        <f t="shared" ca="1" si="4"/>
        <v>6261.1206476179832</v>
      </c>
      <c r="E23" s="460">
        <f t="shared" si="5"/>
        <v>187.43465604517132</v>
      </c>
      <c r="F23" s="460">
        <f t="shared" ca="1" si="6"/>
        <v>1344.068704933474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14038.833767215438</v>
      </c>
    </row>
    <row r="24" spans="1:17">
      <c r="A24" s="459" t="s">
        <v>194</v>
      </c>
      <c r="B24" s="460">
        <f t="shared" ca="1" si="2"/>
        <v>347.49456168144229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347.49456168144229</v>
      </c>
    </row>
    <row r="25" spans="1:17">
      <c r="A25" s="459" t="s">
        <v>112</v>
      </c>
      <c r="B25" s="460">
        <f t="shared" ca="1" si="2"/>
        <v>112.73428202396695</v>
      </c>
      <c r="C25" s="460">
        <f t="shared" ca="1" si="3"/>
        <v>0</v>
      </c>
      <c r="D25" s="460">
        <f t="shared" si="4"/>
        <v>13.288756190792236</v>
      </c>
      <c r="E25" s="460">
        <f t="shared" si="5"/>
        <v>1.2251274681787743</v>
      </c>
      <c r="F25" s="460">
        <f t="shared" si="6"/>
        <v>589.04562275308353</v>
      </c>
      <c r="G25" s="460">
        <f t="shared" si="7"/>
        <v>0</v>
      </c>
      <c r="H25" s="460">
        <f t="shared" si="8"/>
        <v>0</v>
      </c>
      <c r="I25" s="460">
        <f t="shared" si="9"/>
        <v>0</v>
      </c>
      <c r="J25" s="460">
        <f t="shared" si="10"/>
        <v>16.29352748692077</v>
      </c>
      <c r="K25" s="460">
        <f t="shared" si="11"/>
        <v>0</v>
      </c>
      <c r="L25" s="460">
        <f t="shared" si="12"/>
        <v>0</v>
      </c>
      <c r="M25" s="460">
        <f t="shared" si="13"/>
        <v>0</v>
      </c>
      <c r="N25" s="460">
        <f t="shared" si="14"/>
        <v>0</v>
      </c>
      <c r="O25" s="460">
        <f t="shared" si="15"/>
        <v>0</v>
      </c>
      <c r="P25" s="461">
        <f t="shared" si="16"/>
        <v>0</v>
      </c>
      <c r="Q25" s="459">
        <f t="shared" ca="1" si="17"/>
        <v>732.58731592294225</v>
      </c>
    </row>
    <row r="26" spans="1:17">
      <c r="A26" s="459" t="s">
        <v>655</v>
      </c>
      <c r="B26" s="460">
        <f t="shared" ca="1" si="2"/>
        <v>485.29526829522632</v>
      </c>
      <c r="C26" s="460">
        <f t="shared" ca="1" si="3"/>
        <v>0</v>
      </c>
      <c r="D26" s="460">
        <f t="shared" si="4"/>
        <v>505.49928151178483</v>
      </c>
      <c r="E26" s="460">
        <f t="shared" si="5"/>
        <v>6.1050362436684926</v>
      </c>
      <c r="F26" s="460">
        <f t="shared" si="6"/>
        <v>251.9835707156403</v>
      </c>
      <c r="G26" s="460">
        <f t="shared" si="7"/>
        <v>0</v>
      </c>
      <c r="H26" s="460">
        <f t="shared" si="8"/>
        <v>0</v>
      </c>
      <c r="I26" s="460">
        <f t="shared" si="9"/>
        <v>0</v>
      </c>
      <c r="J26" s="460">
        <f t="shared" si="10"/>
        <v>2.9992770620723235</v>
      </c>
      <c r="K26" s="460">
        <f t="shared" si="11"/>
        <v>0</v>
      </c>
      <c r="L26" s="460">
        <f t="shared" si="12"/>
        <v>0</v>
      </c>
      <c r="M26" s="460">
        <f t="shared" si="13"/>
        <v>0</v>
      </c>
      <c r="N26" s="460">
        <f t="shared" si="14"/>
        <v>0</v>
      </c>
      <c r="O26" s="460">
        <f t="shared" si="15"/>
        <v>0</v>
      </c>
      <c r="P26" s="461">
        <f t="shared" si="16"/>
        <v>0</v>
      </c>
      <c r="Q26" s="459">
        <f t="shared" ca="1" si="17"/>
        <v>1251.8824338283921</v>
      </c>
    </row>
    <row r="27" spans="1:17" s="465" customFormat="1">
      <c r="A27" s="463" t="s">
        <v>573</v>
      </c>
      <c r="B27" s="771">
        <f t="shared" ca="1" si="2"/>
        <v>0.10394290035835524</v>
      </c>
      <c r="C27" s="464">
        <f t="shared" ca="1" si="3"/>
        <v>0</v>
      </c>
      <c r="D27" s="464">
        <f t="shared" si="4"/>
        <v>0.43795549304811771</v>
      </c>
      <c r="E27" s="464">
        <f t="shared" si="5"/>
        <v>57.017298139386156</v>
      </c>
      <c r="F27" s="464">
        <f t="shared" si="6"/>
        <v>0</v>
      </c>
      <c r="G27" s="464">
        <f t="shared" si="7"/>
        <v>18201.298502017718</v>
      </c>
      <c r="H27" s="464">
        <f t="shared" si="8"/>
        <v>1863.4863626322876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20122.344061182797</v>
      </c>
    </row>
    <row r="28" spans="1:17">
      <c r="A28" s="459" t="s">
        <v>563</v>
      </c>
      <c r="B28" s="460">
        <f t="shared" ca="1" si="2"/>
        <v>169.37902069826944</v>
      </c>
      <c r="C28" s="460">
        <f t="shared" ca="1" si="3"/>
        <v>0</v>
      </c>
      <c r="D28" s="460">
        <f t="shared" si="4"/>
        <v>0</v>
      </c>
      <c r="E28" s="460">
        <f t="shared" si="5"/>
        <v>0</v>
      </c>
      <c r="F28" s="460">
        <f t="shared" si="6"/>
        <v>0</v>
      </c>
      <c r="G28" s="460">
        <f t="shared" si="7"/>
        <v>48.494303034389226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217.87332373265866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590.12522866647271</v>
      </c>
      <c r="C32" s="460">
        <f t="shared" ca="1" si="3"/>
        <v>0</v>
      </c>
      <c r="D32" s="460">
        <f t="shared" si="4"/>
        <v>767.58984425124618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1357.7150729177188</v>
      </c>
    </row>
    <row r="33" spans="1:17" s="472" customFormat="1">
      <c r="A33" s="469" t="s">
        <v>567</v>
      </c>
      <c r="B33" s="470">
        <f ca="1">SUM(B22:B32)</f>
        <v>14452.869274068646</v>
      </c>
      <c r="C33" s="470">
        <f t="shared" ref="C33:Q33" ca="1" si="19">SUM(C22:C32)</f>
        <v>0</v>
      </c>
      <c r="D33" s="470">
        <f t="shared" ca="1" si="19"/>
        <v>20163.445638234909</v>
      </c>
      <c r="E33" s="470">
        <f t="shared" si="19"/>
        <v>251.78211789640474</v>
      </c>
      <c r="F33" s="470">
        <f t="shared" ca="1" si="19"/>
        <v>2185.0978984021976</v>
      </c>
      <c r="G33" s="470">
        <f t="shared" si="19"/>
        <v>18249.792805052108</v>
      </c>
      <c r="H33" s="470">
        <f t="shared" si="19"/>
        <v>1863.4863626322876</v>
      </c>
      <c r="I33" s="470">
        <f t="shared" si="19"/>
        <v>0</v>
      </c>
      <c r="J33" s="470">
        <f t="shared" si="19"/>
        <v>19.292804548993093</v>
      </c>
      <c r="K33" s="470">
        <f t="shared" si="19"/>
        <v>0</v>
      </c>
      <c r="L33" s="470">
        <f t="shared" ca="1" si="19"/>
        <v>0</v>
      </c>
      <c r="M33" s="470">
        <f t="shared" si="19"/>
        <v>0</v>
      </c>
      <c r="N33" s="470">
        <f t="shared" ca="1" si="19"/>
        <v>0</v>
      </c>
      <c r="O33" s="470">
        <f t="shared" si="19"/>
        <v>0</v>
      </c>
      <c r="P33" s="470">
        <f t="shared" si="19"/>
        <v>0</v>
      </c>
      <c r="Q33" s="470">
        <f t="shared" ca="1" si="19"/>
        <v>57185.766900835544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674.00992655812161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674.00992655812161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0.21874553401589866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0.21874553401589866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2019-08-12T09:21:35Z</dcterms:modified>
</cp:coreProperties>
</file>