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C98"/>
  <c r="B101" s="1"/>
  <c r="C8" s="1"/>
  <c r="D76" i="14" s="1"/>
  <c r="B17" i="18"/>
  <c r="B20" s="1"/>
  <c r="G20"/>
  <c r="O18"/>
  <c r="L20"/>
  <c r="O19"/>
  <c r="B10"/>
  <c r="I101"/>
  <c r="H8" s="1"/>
  <c r="H10" s="1"/>
  <c r="I102"/>
  <c r="H17" s="1"/>
  <c r="H20" s="1"/>
  <c r="E102"/>
  <c r="E17" s="1"/>
  <c r="E20" s="1"/>
  <c r="H102"/>
  <c r="D102"/>
  <c r="G102"/>
  <c r="C102"/>
  <c r="F102"/>
  <c r="B102"/>
  <c r="C17" s="1"/>
  <c r="D14" i="48"/>
  <c r="P7"/>
  <c r="P25" s="1"/>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P49"/>
  <c r="Q20"/>
  <c r="P20"/>
  <c r="O20"/>
  <c r="M20"/>
  <c r="L20"/>
  <c r="K20"/>
  <c r="J20"/>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R44"/>
  <c r="P26"/>
  <c r="H26"/>
  <c r="E25"/>
  <c r="Q26"/>
  <c r="N26"/>
  <c r="I26"/>
  <c r="J22"/>
  <c r="D5" i="17"/>
  <c r="D8" i="55" l="1"/>
  <c r="D10" s="1"/>
  <c r="L78" i="14"/>
  <c r="L8" i="55"/>
  <c r="G78" i="14"/>
  <c r="G9" i="55"/>
  <c r="G10" s="1"/>
  <c r="O78" i="14"/>
  <c r="O9" i="55"/>
  <c r="C77" i="14"/>
  <c r="C9" i="55" s="1"/>
  <c r="F9"/>
  <c r="N78" i="14"/>
  <c r="N9" i="55"/>
  <c r="R25" i="14"/>
  <c r="F20" i="55"/>
  <c r="G20"/>
  <c r="O20"/>
  <c r="H101" i="18"/>
  <c r="J8" s="1"/>
  <c r="H90" i="14"/>
  <c r="Q52"/>
  <c r="O32" i="48"/>
  <c r="D101" i="18"/>
  <c r="Q22" i="14"/>
  <c r="M87"/>
  <c r="P32" i="48"/>
  <c r="G101" i="18"/>
  <c r="E90" i="14"/>
  <c r="E18" i="55"/>
  <c r="E20" s="1"/>
  <c r="N10"/>
  <c r="P22" i="14"/>
  <c r="L90"/>
  <c r="D22"/>
  <c r="L10" i="55"/>
  <c r="K20"/>
  <c r="F101" i="18"/>
  <c r="F90" i="14"/>
  <c r="F18" i="55"/>
  <c r="N90" i="14"/>
  <c r="N18" i="55"/>
  <c r="N20" s="1"/>
  <c r="M76" i="14"/>
  <c r="M8" i="55" s="1"/>
  <c r="M10" s="1"/>
  <c r="E101" i="18"/>
  <c r="E8" s="1"/>
  <c r="K22" i="14"/>
  <c r="L22"/>
  <c r="L20" i="55"/>
  <c r="C101" i="18"/>
  <c r="R9" i="14"/>
  <c r="E10" i="55"/>
  <c r="O10"/>
  <c r="H20"/>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O17" i="18"/>
  <c r="O20" s="1"/>
  <c r="E10"/>
  <c r="F76" i="14"/>
  <c r="I10" i="18"/>
  <c r="I76" i="14"/>
  <c r="I8" i="55" s="1"/>
  <c r="I10" s="1"/>
  <c r="J20" i="18"/>
  <c r="J87" i="14"/>
  <c r="I20" i="18"/>
  <c r="I87" i="14"/>
  <c r="I17" i="55" s="1"/>
  <c r="I20" s="1"/>
  <c r="O8" i="18"/>
  <c r="O10" s="1"/>
  <c r="J10"/>
  <c r="J76" i="14"/>
  <c r="Q87"/>
  <c r="D90"/>
  <c r="F8" i="55" l="1"/>
  <c r="F10" s="1"/>
  <c r="F78" i="14"/>
  <c r="Q76"/>
  <c r="J78"/>
  <c r="J8" i="55"/>
  <c r="J10" s="1"/>
  <c r="Q90" i="14"/>
  <c r="B17" i="6" s="1"/>
  <c r="P17" i="55"/>
  <c r="P20" s="1"/>
  <c r="J90" i="14"/>
  <c r="J17" i="55"/>
  <c r="J20" s="1"/>
  <c r="I78" i="14"/>
  <c r="C76"/>
  <c r="B76"/>
  <c r="I90"/>
  <c r="B87"/>
  <c r="C87"/>
  <c r="H14" i="15"/>
  <c r="H16" s="1"/>
  <c r="G14"/>
  <c r="G16" s="1"/>
  <c r="I10" i="14" l="1"/>
  <c r="I16" s="1"/>
  <c r="H5" i="48"/>
  <c r="P8" i="55"/>
  <c r="P10" s="1"/>
  <c r="Q78" i="14"/>
  <c r="B9" i="6" s="1"/>
  <c r="B78" i="14"/>
  <c r="B8" i="55"/>
  <c r="B10" s="1"/>
  <c r="G5" i="48"/>
  <c r="H10" i="14"/>
  <c r="H16" s="1"/>
  <c r="C78"/>
  <c r="C8" i="55"/>
  <c r="C10" s="1"/>
  <c r="B90" i="14"/>
  <c r="B17" i="55"/>
  <c r="B20" s="1"/>
  <c r="C90" i="14"/>
  <c r="C17" i="55"/>
  <c r="C2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9"/>
  <c r="N24"/>
  <c r="N31"/>
  <c r="N30"/>
  <c r="N27"/>
  <c r="N28"/>
  <c r="B7"/>
  <c r="C24" i="14"/>
  <c r="C26" s="1"/>
  <c r="E30" i="48"/>
  <c r="E24"/>
  <c r="E32"/>
  <c r="E28"/>
  <c r="E29"/>
  <c r="E31"/>
  <c r="M26"/>
  <c r="M32"/>
  <c r="M30"/>
  <c r="M24"/>
  <c r="M29"/>
  <c r="M25"/>
  <c r="M22"/>
  <c r="K5"/>
  <c r="L10" i="14"/>
  <c r="L16" s="1"/>
  <c r="L27" s="1"/>
  <c r="D22" i="48"/>
  <c r="D29"/>
  <c r="D30"/>
  <c r="D24"/>
  <c r="D32"/>
  <c r="D31"/>
  <c r="D28"/>
  <c r="L29"/>
  <c r="L22"/>
  <c r="L30"/>
  <c r="L28"/>
  <c r="L24"/>
  <c r="L32"/>
  <c r="L27"/>
  <c r="L31"/>
  <c r="P5"/>
  <c r="P23" s="1"/>
  <c r="Q10" i="14"/>
  <c r="J15" i="16"/>
  <c r="F32" i="48"/>
  <c r="F27"/>
  <c r="F29"/>
  <c r="F28"/>
  <c r="F24"/>
  <c r="F31"/>
  <c r="F30"/>
  <c r="K30"/>
  <c r="K32"/>
  <c r="K31"/>
  <c r="K28"/>
  <c r="K27"/>
  <c r="K29"/>
  <c r="K26"/>
  <c r="K24"/>
  <c r="K22"/>
  <c r="K25"/>
  <c r="B10"/>
  <c r="C19" i="14"/>
  <c r="J32" i="48"/>
  <c r="J29"/>
  <c r="J31"/>
  <c r="J24"/>
  <c r="J30"/>
  <c r="J28"/>
  <c r="J27"/>
  <c r="D4"/>
  <c r="E11" i="14"/>
  <c r="H30" i="48"/>
  <c r="H32"/>
  <c r="H26"/>
  <c r="H22"/>
  <c r="H24"/>
  <c r="H25"/>
  <c r="H29"/>
  <c r="H28"/>
  <c r="H23"/>
  <c r="C18" i="16"/>
  <c r="N10" i="14"/>
  <c r="N16" s="1"/>
  <c r="M5" i="48"/>
  <c r="I5"/>
  <c r="J10" i="14"/>
  <c r="J16" s="1"/>
  <c r="J27" s="1"/>
  <c r="Q11"/>
  <c r="P4" i="48"/>
  <c r="P11" i="14"/>
  <c r="O4" i="48"/>
  <c r="I31"/>
  <c r="I32"/>
  <c r="I30"/>
  <c r="I28"/>
  <c r="I24"/>
  <c r="I26"/>
  <c r="I29"/>
  <c r="I22"/>
  <c r="I25"/>
  <c r="I27"/>
  <c r="H12" i="22"/>
  <c r="H13" i="48"/>
  <c r="H31" s="1"/>
  <c r="I18" i="14"/>
  <c r="C4" i="48"/>
  <c r="D11" i="14"/>
  <c r="G30" i="48"/>
  <c r="G32"/>
  <c r="G26"/>
  <c r="G29"/>
  <c r="G24"/>
  <c r="G22"/>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K15" i="48" l="1"/>
  <c r="K23"/>
  <c r="K33" s="1"/>
  <c r="O22"/>
  <c r="P10" i="14"/>
  <c r="O5" i="48"/>
  <c r="O23" s="1"/>
  <c r="N18" i="14"/>
  <c r="M13" i="48"/>
  <c r="M31" s="1"/>
  <c r="I33"/>
  <c r="Q16" i="14"/>
  <c r="Q27" s="1"/>
  <c r="M23" i="48"/>
  <c r="I23"/>
  <c r="I15"/>
  <c r="G12" i="22"/>
  <c r="G13" i="48"/>
  <c r="H18" i="14"/>
  <c r="R18" s="1"/>
  <c r="P22" i="16"/>
  <c r="Q43" i="14" s="1"/>
  <c r="P8" i="48"/>
  <c r="P26" s="1"/>
  <c r="Q13" i="14"/>
  <c r="L46"/>
  <c r="L61" s="1"/>
  <c r="L63" s="1"/>
  <c r="J63"/>
  <c r="G31" i="20"/>
  <c r="H48" i="14" s="1"/>
  <c r="I22"/>
  <c r="I27" s="1"/>
  <c r="I20"/>
  <c r="H9" i="48"/>
  <c r="G11" i="14"/>
  <c r="F4" i="48"/>
  <c r="F22" s="1"/>
  <c r="P22"/>
  <c r="D16" i="15"/>
  <c r="D5" i="48" s="1"/>
  <c r="J7"/>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E20" i="14" l="1"/>
  <c r="E22" s="1"/>
  <c r="D9" i="48"/>
  <c r="D27" s="1"/>
  <c r="O8"/>
  <c r="O26" s="1"/>
  <c r="O33" s="1"/>
  <c r="P13" i="14"/>
  <c r="N4" i="48"/>
  <c r="N22" s="1"/>
  <c r="O11" i="14"/>
  <c r="J4" i="48"/>
  <c r="J22" s="1"/>
  <c r="K11" i="14"/>
  <c r="Q13" i="48"/>
  <c r="G31"/>
  <c r="C20" i="14"/>
  <c r="B9" i="48"/>
  <c r="F20" i="14"/>
  <c r="F22" s="1"/>
  <c r="E9" i="48"/>
  <c r="E27" s="1"/>
  <c r="H27"/>
  <c r="H33" s="1"/>
  <c r="H15"/>
  <c r="P33"/>
  <c r="G14" i="22"/>
  <c r="C15" i="48"/>
  <c r="P16" i="14"/>
  <c r="P27" s="1"/>
  <c r="M10" i="48"/>
  <c r="M28" s="1"/>
  <c r="N19" i="14"/>
  <c r="E12" i="13"/>
  <c r="F41" i="14" s="1"/>
  <c r="F11"/>
  <c r="R11" s="1"/>
  <c r="E4" i="48"/>
  <c r="G10"/>
  <c r="H19" i="14"/>
  <c r="R19" s="1"/>
  <c r="P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22" l="1"/>
  <c r="N27" s="1"/>
  <c r="N63" s="1"/>
  <c r="G28" i="48"/>
  <c r="Q10"/>
  <c r="C22" i="14"/>
  <c r="M18" i="22"/>
  <c r="N50" i="14" s="1"/>
  <c r="N52" s="1"/>
  <c r="N61" s="1"/>
  <c r="N20"/>
  <c r="M9" i="48"/>
  <c r="G9"/>
  <c r="H20" i="14"/>
  <c r="H22" s="1"/>
  <c r="H27" s="1"/>
  <c r="H63" s="1"/>
  <c r="E22" i="48"/>
  <c r="Q4"/>
  <c r="D15"/>
  <c r="O15"/>
  <c r="J5"/>
  <c r="K10" i="14"/>
  <c r="E20" i="15"/>
  <c r="F40" i="14" s="1"/>
  <c r="E5" i="48"/>
  <c r="F10" i="14"/>
  <c r="L15" i="48"/>
  <c r="Q7"/>
  <c r="R24" i="14"/>
  <c r="R26" s="1"/>
  <c r="J18" i="16"/>
  <c r="N18"/>
  <c r="E18"/>
  <c r="F18"/>
  <c r="F22" s="1"/>
  <c r="G43" i="14" s="1"/>
  <c r="M27" i="48" l="1"/>
  <c r="M33" s="1"/>
  <c r="M15"/>
  <c r="G27"/>
  <c r="G33" s="1"/>
  <c r="G15"/>
  <c r="R20" i="14"/>
  <c r="R22" s="1"/>
  <c r="Q9"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<sst xmlns="http://schemas.openxmlformats.org/spreadsheetml/2006/main" count="2496" uniqueCount="965">
  <si>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</si>
  <si>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</si>
  <si>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</si>
  <si>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</si>
  <si>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</si>
  <si>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</si>
  <si>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</si>
  <si>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</si>
  <si>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</si>
  <si>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</si>
  <si>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</si>
  <si>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</si>
  <si>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</si>
  <si>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</si>
  <si>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</si>
  <si>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</si>
  <si>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</si>
  <si>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</si>
  <si>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</si>
  <si>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</si>
  <si>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</si>
  <si>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</si>
  <si>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</si>
  <si>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</si>
  <si>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</si>
  <si>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</si>
  <si>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</si>
  <si>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</si>
  <si>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</si>
  <si>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</si>
  <si>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</si>
  <si>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</si>
  <si>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</si>
  <si>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</si>
  <si>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</si>
  <si>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</si>
  <si>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</si>
  <si>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</si>
  <si>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</si>
  <si>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</si>
  <si>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</si>
  <si>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</si>
  <si>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</si>
  <si>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</si>
  <si>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</si>
  <si>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</si>
  <si>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</si>
  <si>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</si>
  <si>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</si>
  <si>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</si>
  <si>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</si>
  <si>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</si>
  <si>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</si>
  <si>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</si>
  <si>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</si>
  <si>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</si>
  <si>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</si>
  <si>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</si>
  <si>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</si>
  <si>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</si>
  <si>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</si>
  <si>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</si>
  <si>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</si>
  <si>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</si>
  <si>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</si>
  <si>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</si>
  <si>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</si>
  <si>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</si>
  <si>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</si>
  <si>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</si>
  <si>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</si>
  <si>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</si>
  <si>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</si>
  <si>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</si>
  <si>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</si>
  <si>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</si>
  <si>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</si>
  <si>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</si>
  <si>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</si>
  <si>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</si>
  <si>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</si>
  <si>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</si>
  <si>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</si>
  <si>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</si>
  <si>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</si>
  <si>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</si>
  <si>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</si>
  <si>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</si>
  <si>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</si>
  <si>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</si>
  <si>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</si>
  <si>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</si>
  <si>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</si>
  <si>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</si>
  <si>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</si>
  <si>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</si>
  <si>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</si>
  <si>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</si>
  <si>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</si>
  <si>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</si>
  <si>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</si>
  <si>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</si>
  <si>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</si>
  <si>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</si>
  <si>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</si>
  <si>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</si>
  <si>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</si>
  <si>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</si>
  <si>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</si>
  <si>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</si>
  <si>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</si>
  <si>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</si>
  <si>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</si>
  <si>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</si>
  <si>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</si>
  <si>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</si>
  <si>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</si>
  <si>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</si>
  <si>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</si>
  <si>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</si>
  <si>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</si>
  <si>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</si>
  <si>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</si>
  <si>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</si>
  <si>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</si>
  <si>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</si>
  <si>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</si>
  <si>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</si>
  <si>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</si>
  <si>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</si>
  <si>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</si>
  <si>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</si>
  <si>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</si>
  <si>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</si>
  <si>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</si>
  <si>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</si>
  <si>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</si>
  <si>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</si>
  <si>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</si>
  <si>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</si>
  <si>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</si>
  <si>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</si>
  <si>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</si>
  <si>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</si>
  <si>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</si>
  <si>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</si>
  <si>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</si>
  <si>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</si>
  <si>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</si>
  <si>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</si>
  <si>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</si>
  <si>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</si>
  <si>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</si>
  <si>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</si>
  <si>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</si>
  <si>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</si>
  <si>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</si>
  <si>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</si>
  <si>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</si>
  <si>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</si>
  <si>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</si>
  <si>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</si>
  <si>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</si>
  <si>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</si>
  <si>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</si>
  <si>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</si>
  <si>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</si>
  <si>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</si>
  <si>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</si>
  <si>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</si>
  <si>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</si>
  <si>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</si>
  <si>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</si>
  <si>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</si>
  <si>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</si>
  <si>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</si>
  <si>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</si>
  <si>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</si>
  <si>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</si>
  <si>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</si>
  <si>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</si>
  <si>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</si>
  <si>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</si>
  <si>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</si>
  <si>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</si>
  <si>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</si>
  <si>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</si>
  <si>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</si>
  <si>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</si>
  <si>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</si>
  <si>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</si>
  <si>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</si>
  <si>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</si>
  <si>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</si>
  <si>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</si>
  <si>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</si>
  <si>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</si>
  <si>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</si>
  <si>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</si>
  <si>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</si>
  <si>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</si>
  <si>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</si>
  <si>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</si>
  <si>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</si>
  <si>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</si>
  <si>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</si>
  <si>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</si>
  <si>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</si>
  <si>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</si>
  <si>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</si>
  <si>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</si>
  <si>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</si>
  <si>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</si>
  <si>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</si>
  <si>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</si>
  <si>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</si>
  <si>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</si>
  <si>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</si>
  <si>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</si>
  <si>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</si>
  <si>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</si>
  <si>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</si>
  <si>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</si>
  <si>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</si>
  <si>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</si>
  <si>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</si>
  <si>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</si>
  <si>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</si>
  <si>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</si>
  <si>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</si>
  <si>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</si>
  <si>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</si>
  <si>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</si>
  <si>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</si>
  <si>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</si>
  <si>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</si>
  <si>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</si>
  <si>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</si>
  <si>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</si>
  <si>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</si>
  <si>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</si>
  <si>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</si>
  <si>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</si>
  <si>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</si>
  <si>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</si>
  <si>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</si>
  <si>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</si>
  <si>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</si>
  <si>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</si>
  <si>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</si>
  <si>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</si>
  <si>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</si>
  <si>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</si>
  <si>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</si>
  <si>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</si>
  <si>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</si>
  <si>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</si>
  <si>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</si>
  <si>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</si>
  <si>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</si>
  <si>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</si>
  <si>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</si>
  <si>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</si>
  <si>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</si>
  <si>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</si>
  <si>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</si>
  <si>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</si>
  <si>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</si>
  <si>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</si>
  <si>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</si>
  <si>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</si>
  <si>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</si>
  <si>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</si>
  <si>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</si>
  <si>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</si>
  <si>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</si>
  <si>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</si>
  <si>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</si>
  <si>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</si>
  <si>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</si>
  <si>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</si>
  <si>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</si>
  <si>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</si>
  <si>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</si>
  <si>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</si>
  <si>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</si>
  <si>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</si>
  <si>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</si>
  <si>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</si>
  <si>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</si>
  <si>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</si>
  <si>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</si>
  <si>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</si>
  <si>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</si>
  <si>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</si>
  <si>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</si>
  <si>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</si>
  <si>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</si>
  <si>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</si>
  <si>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</si>
  <si>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</si>
  <si>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</si>
  <si>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</si>
  <si>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</si>
  <si>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</si>
  <si>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</si>
  <si>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</si>
  <si>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</si>
  <si>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</si>
  <si>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</si>
  <si>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</si>
  <si>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</si>
  <si>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</si>
  <si>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</si>
  <si>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</si>
  <si>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</si>
  <si>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</si>
  <si>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</si>
  <si>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</si>
  <si>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</si>
  <si>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</si>
  <si>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</si>
  <si>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</si>
  <si>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</si>
  <si>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</si>
  <si>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</si>
  <si>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</si>
  <si>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</si>
  <si>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</si>
  <si>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</si>
  <si>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</si>
  <si>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</si>
  <si>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</si>
  <si>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</si>
  <si>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</si>
  <si>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</si>
  <si>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</si>
  <si>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</si>
  <si>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</si>
  <si>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</si>
  <si>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</si>
  <si>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</si>
  <si>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</si>
  <si>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</si>
  <si>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</si>
  <si>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</si>
  <si>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</si>
  <si>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</si>
  <si>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</si>
  <si>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</si>
  <si>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</si>
  <si>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</si>
  <si>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</si>
  <si>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</si>
  <si>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</si>
  <si>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</si>
  <si>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</si>
  <si>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</si>
  <si>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</si>
  <si>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</si>
  <si>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</si>
  <si>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</si>
  <si>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</si>
  <si>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</si>
  <si>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</si>
  <si>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</si>
  <si>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</si>
  <si>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</si>
  <si>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</si>
  <si>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</si>
  <si>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</si>
  <si>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</si>
  <si>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</si>
  <si>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</si>
  <si>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</si>
  <si>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</si>
  <si>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</si>
  <si>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</si>
  <si>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</si>
  <si>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</si>
  <si>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</si>
  <si>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</si>
  <si>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</si>
  <si>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</si>
  <si>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</si>
  <si>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</si>
  <si>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</si>
  <si>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</si>
  <si>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</si>
  <si>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</si>
  <si>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</si>
  <si>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</si>
  <si>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</si>
  <si>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</si>
  <si>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</si>
  <si>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</si>
  <si>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</si>
  <si>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</si>
  <si>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</si>
  <si>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</si>
  <si>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</si>
  <si>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</si>
  <si>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</si>
  <si>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</si>
  <si>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</si>
  <si>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</si>
  <si>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</si>
  <si>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</si>
  <si>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</si>
  <si>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</si>
  <si>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</si>
  <si>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</si>
  <si>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</si>
  <si>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</si>
  <si>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</si>
  <si>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</si>
  <si>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</si>
  <si>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</si>
  <si>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</si>
  <si>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</si>
  <si>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</si>
  <si>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</si>
  <si>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</si>
  <si>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</si>
  <si>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</si>
  <si>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</si>
  <si>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</si>
  <si>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</si>
  <si>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</si>
  <si>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</si>
  <si>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</si>
  <si>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</si>
  <si>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</si>
  <si>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</si>
  <si>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</si>
  <si>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</si>
  <si>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</si>
  <si>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</si>
  <si>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</si>
  <si>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</si>
  <si>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</si>
  <si>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</si>
  <si>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</si>
  <si>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</si>
  <si>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</si>
  <si>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</si>
  <si>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</si>
  <si>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</si>
  <si>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</si>
  <si>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</si>
  <si>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</si>
  <si>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</si>
  <si>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</si>
  <si>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</si>
  <si>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</si>
  <si>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</si>
  <si>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</si>
  <si>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</si>
  <si>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</si>
  <si>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</si>
  <si>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</si>
  <si>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</si>
  <si>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</si>
  <si>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</si>
  <si>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</si>
  <si>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</si>
  <si>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</si>
  <si>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</si>
  <si>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</si>
  <si>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</si>
  <si>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</si>
  <si>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</si>
  <si>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</si>
  <si>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</si>
  <si>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</si>
  <si>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</si>
  <si>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</si>
  <si>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</si>
  <si>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</si>
  <si>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</si>
  <si>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</si>
  <si>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</si>
  <si>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</si>
  <si>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</si>
  <si>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</si>
  <si>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</si>
  <si>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</si>
  <si>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</si>
  <si>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</si>
  <si>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</si>
  <si>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</si>
  <si>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</si>
  <si>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</si>
  <si>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</si>
  <si>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</si>
  <si>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</si>
  <si>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</si>
  <si>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</si>
  <si>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</si>
  <si>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</si>
  <si>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</si>
  <si>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</si>
  <si>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</si>
  <si>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</si>
  <si>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</si>
  <si>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</si>
  <si>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</si>
  <si>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</si>
  <si>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</si>
  <si>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</si>
  <si>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</si>
  <si>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</si>
  <si>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</si>
  <si>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</si>
  <si>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</si>
  <si>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</si>
  <si>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</si>
  <si>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</si>
  <si>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</si>
  <si>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</si>
  <si>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</si>
  <si>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</si>
  <si>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</si>
  <si>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</si>
  <si>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</si>
  <si>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</si>
  <si>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</si>
  <si>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</si>
  <si>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</si>
  <si>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</si>
  <si>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</si>
  <si>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</si>
  <si>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</si>
  <si>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</si>
  <si>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</si>
  <si>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</si>
  <si>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</si>
  <si>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</si>
  <si>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</si>
  <si>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</si>
  <si>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</si>
  <si>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</si>
  <si>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</si>
  <si>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</si>
  <si>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</si>
  <si>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</si>
  <si>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</si>
  <si>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</si>
  <si>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</si>
  <si>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</si>
  <si>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</si>
  <si>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</si>
  <si>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</si>
  <si>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</si>
  <si>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</si>
  <si>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</si>
  <si>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</si>
  <si>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</si>
  <si>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</si>
  <si>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</si>
  <si>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</si>
  <si>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</si>
  <si>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</si>
  <si>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</si>
  <si>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</si>
  <si>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</si>
  <si>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</si>
  <si>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</si>
  <si>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</si>
  <si>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</si>
  <si>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</si>
  <si>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</si>
  <si>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</si>
  <si>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</si>
  <si>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</si>
  <si>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</si>
  <si>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</si>
  <si>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</si>
  <si>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</si>
  <si>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</si>
  <si>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</si>
  <si>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</si>
  <si>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</si>
  <si>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</si>
  <si>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</si>
  <si>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</si>
  <si>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</si>
  <si>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</si>
  <si>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</si>
  <si>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</si>
  <si>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</si>
  <si>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</si>
  <si>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</si>
  <si>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</si>
  <si>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</si>
  <si>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</si>
  <si>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</si>
  <si>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</si>
  <si>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</si>
  <si>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</si>
  <si>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</si>
  <si>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</si>
  <si>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</si>
  <si>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</si>
  <si>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</si>
  <si>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</si>
  <si>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</si>
  <si>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</si>
  <si>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</si>
  <si>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</si>
  <si>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</si>
  <si>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</si>
  <si>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</si>
  <si>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</si>
  <si>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</si>
  <si>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</si>
  <si>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</si>
  <si>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</si>
  <si>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</si>
  <si>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</si>
  <si>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</si>
  <si>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</si>
  <si>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</si>
  <si>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</si>
  <si>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</si>
  <si>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</si>
  <si>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</si>
  <si>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</si>
  <si>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</si>
  <si>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</si>
  <si>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</si>
  <si>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</si>
  <si>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</si>
  <si>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</si>
  <si>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</si>
  <si>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</si>
  <si>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</si>
  <si>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</si>
  <si>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</si>
  <si>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</si>
  <si>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</si>
  <si>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</si>
  <si>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</si>
  <si>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</si>
  <si>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</si>
  <si>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</si>
  <si>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</si>
  <si>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</si>
  <si>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</si>
  <si>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</si>
  <si>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</si>
  <si>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</si>
  <si>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</si>
  <si>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</si>
  <si>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</si>
  <si>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</si>
  <si>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</si>
  <si>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</si>
  <si>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</si>
  <si>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</si>
  <si>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</si>
  <si>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</si>
  <si>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</si>
  <si>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</si>
  <si>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</si>
  <si>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</si>
  <si>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</si>
  <si>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</si>
  <si>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</si>
  <si>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</si>
  <si>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</si>
  <si>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</si>
  <si>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</si>
  <si>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</si>
  <si>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</si>
  <si>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</si>
  <si>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</si>
  <si>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</si>
  <si>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</si>
  <si>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</si>
  <si>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</si>
  <si>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</si>
  <si>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</si>
  <si>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</si>
  <si>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</si>
  <si>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</si>
  <si>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</si>
  <si>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</si>
  <si>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</si>
  <si>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</si>
  <si>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</si>
  <si>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</si>
  <si>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</si>
  <si>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</si>
  <si>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</si>
  <si>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</si>
  <si>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</si>
  <si>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</si>
  <si>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</si>
  <si>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</si>
  <si>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</si>
  <si>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</si>
  <si>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</si>
  <si>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</si>
  <si>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</si>
  <si>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</si>
  <si>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</si>
  <si>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</si>
  <si>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</si>
  <si>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</si>
  <si>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</si>
  <si>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</si>
  <si>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</si>
  <si>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</si>
  <si>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</si>
  <si>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</si>
  <si>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</si>
  <si>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</si>
  <si>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</si>
  <si>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</si>
  <si>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</si>
  <si>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</si>
  <si>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</si>
  <si>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</si>
  <si>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</si>
  <si>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</si>
  <si>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</si>
  <si>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</si>
  <si>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</si>
  <si>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</si>
  <si>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</si>
  <si>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</si>
  <si>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</si>
  <si>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</si>
  <si>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</si>
  <si>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</si>
  <si>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</si>
  <si>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</si>
  <si>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</si>
  <si>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</si>
  <si>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</si>
  <si>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</si>
  <si>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</si>
  <si>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</si>
  <si>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</si>
  <si>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</si>
  <si>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</si>
  <si>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</si>
  <si>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</si>
  <si>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</si>
  <si>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</si>
  <si>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</si>
  <si>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</si>
  <si>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</si>
  <si>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</si>
  <si>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</si>
  <si>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</si>
  <si>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</si>
  <si>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</si>
  <si>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</si>
  <si>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</si>
  <si>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</si>
  <si>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</si>
  <si>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</si>
  <si>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</si>
  <si>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</si>
  <si>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</si>
  <si>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</si>
  <si>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</si>
  <si>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</si>
  <si>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</si>
  <si>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</si>
  <si>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</si>
  <si>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</si>
  <si>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</si>
  <si>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</si>
  <si>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</si>
  <si>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</si>
  <si>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</si>
  <si>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</si>
  <si>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</si>
  <si>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</si>
  <si>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</si>
  <si>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</si>
  <si>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</si>
  <si>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</si>
  <si>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</si>
  <si>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</si>
  <si>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</si>
  <si>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</si>
  <si>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</si>
  <si>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</si>
  <si>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</si>
  <si>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</si>
  <si>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</si>
  <si>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</si>
  <si>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</si>
  <si>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</si>
  <si>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</si>
  <si>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</si>
  <si>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</si>
  <si>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</si>
  <si>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</si>
  <si>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</si>
  <si>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</si>
  <si>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</si>
  <si>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</si>
  <si>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</si>
  <si>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</si>
  <si>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</si>
  <si>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</si>
  <si>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</si>
  <si>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</si>
  <si>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</si>
  <si>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</si>
  <si>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</si>
  <si>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</si>
  <si>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</si>
  <si>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</si>
  <si>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</si>
  <si>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</si>
  <si>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</si>
  <si>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</si>
  <si>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</si>
  <si>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</si>
  <si>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</si>
  <si>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</si>
  <si>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</si>
  <si>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</si>
  <si>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</si>
  <si>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</si>
  <si>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</si>
  <si>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</si>
  <si>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</si>
  <si>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</si>
  <si>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</si>
  <si>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</si>
  <si>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</si>
  <si>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</si>
  <si>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</si>
  <si>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</si>
  <si>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</si>
  <si>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</si>
  <si>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</si>
  <si>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</si>
  <si>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</si>
  <si>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</si>
  <si>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</si>
  <si>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</si>
  <si>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</si>
  <si>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</si>
  <si>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</si>
  <si>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</si>
  <si>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</si>
  <si>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</si>
  <si>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</si>
  <si>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</si>
  <si>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</si>
  <si>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</si>
  <si>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</si>
  <si>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</si>
  <si>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</si>
  <si>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</si>
  <si>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</si>
  <si>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</si>
  <si>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</si>
  <si>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</si>
  <si>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</si>
  <si>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</si>
  <si>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</si>
  <si>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</si>
  <si>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</si>
  <si>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</si>
  <si>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</si>
  <si>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</si>
  <si>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</si>
  <si>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</si>
  <si>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</si>
  <si>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</si>
  <si>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</si>
  <si>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</si>
  <si>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</si>
  <si>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</si>
  <si>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</si>
  <si>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</si>
  <si>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</si>
  <si>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</si>
  <si>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</si>
  <si>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</si>
  <si>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</si>
  <si>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</si>
  <si>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</si>
  <si>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</si>
  <si>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</si>
  <si>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</si>
  <si>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</si>
  <si>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</si>
  <si>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</si>
  <si>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</si>
  <si>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</si>
  <si>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</si>
  <si>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</si>
  <si>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</si>
  <si>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</si>
  <si>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</si>
  <si>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</si>
  <si>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</si>
  <si>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</si>
  <si>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</si>
  <si>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</si>
  <si>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</si>
  <si>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</si>
  <si>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</si>
  <si>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</si>
  <si>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</si>
  <si>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</si>
  <si>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</si>
  <si>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</si>
  <si>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</si>
  <si>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</si>
  <si>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</si>
  <si>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</si>
  <si>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</si>
  <si>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</si>
  <si>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</si>
  <si>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</si>
  <si>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</si>
  <si>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</si>
  <si>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</si>
  <si>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</si>
  <si>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</si>
  <si>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</si>
  <si>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</si>
  <si>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</si>
  <si>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</si>
  <si>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</si>
  <si>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</si>
  <si>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</si>
  <si>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</si>
  <si>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</si>
  <si>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</si>
  <si>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</si>
  <si>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</si>
  <si>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</si>
  <si>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</si>
  <si>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</si>
  <si>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</si>
  <si>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</si>
  <si>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</si>
  <si>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</si>
  <si>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</si>
  <si>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</si>
  <si>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</si>
  <si>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</si>
  <si>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</si>
  <si>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</si>
  <si>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37007</t>
  </si>
  <si>
    <t>MEULEBEKE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</si>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</sst>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37007</v>
      </c>
      <c r="B6" s="396"/>
      <c r="C6" s="397"/>
    </row>
    <row r="7" spans="1:7" s="394" customFormat="1" ht="15.75" customHeight="1">
      <c r="A7" s="398" t="str">
        <f>txtMunicipality</f>
        <v>MEULEBEKE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14823.275156702888</v>
      </c>
      <c r="D10" s="687">
        <f ca="1">tertiair!C16</f>
        <v>0</v>
      </c>
      <c r="E10" s="687">
        <f ca="1">tertiair!D16</f>
        <v>12784.350468180615</v>
      </c>
      <c r="F10" s="687">
        <f>tertiair!E16</f>
        <v>243.67956202819187</v>
      </c>
      <c r="G10" s="687">
        <f ca="1">tertiair!F16</f>
        <v>2541.9553982387752</v>
      </c>
      <c r="H10" s="687">
        <f>tertiair!G16</f>
        <v>0</v>
      </c>
      <c r="I10" s="687">
        <f>tertiair!H16</f>
        <v>0</v>
      </c>
      <c r="J10" s="687">
        <f>tertiair!I16</f>
        <v>0</v>
      </c>
      <c r="K10" s="687">
        <f>tertiair!J16</f>
        <v>0</v>
      </c>
      <c r="L10" s="687">
        <f>tertiair!K16</f>
        <v>0</v>
      </c>
      <c r="M10" s="687">
        <f ca="1">tertiair!L16</f>
        <v>0</v>
      </c>
      <c r="N10" s="687">
        <f>tertiair!M16</f>
        <v>0</v>
      </c>
      <c r="O10" s="687">
        <f ca="1">tertiair!N16</f>
        <v>332.81693731360622</v>
      </c>
      <c r="P10" s="687">
        <f>tertiair!O16</f>
        <v>0</v>
      </c>
      <c r="Q10" s="688">
        <f>tertiair!P16</f>
        <v>0</v>
      </c>
      <c r="R10" s="690">
        <f ca="1">SUM(C10:Q10)</f>
        <v>30726.077522464078</v>
      </c>
      <c r="S10" s="67"/>
    </row>
    <row r="11" spans="1:19" s="456" customFormat="1">
      <c r="A11" s="802" t="s">
        <v>225</v>
      </c>
      <c r="B11" s="807"/>
      <c r="C11" s="687">
        <f>huishoudens!B8</f>
        <v>19179.256843513529</v>
      </c>
      <c r="D11" s="687">
        <f>huishoudens!C8</f>
        <v>0</v>
      </c>
      <c r="E11" s="687">
        <f>huishoudens!D8</f>
        <v>33715.623462476309</v>
      </c>
      <c r="F11" s="687">
        <f>huishoudens!E8</f>
        <v>4237.2763237612326</v>
      </c>
      <c r="G11" s="687">
        <f>huishoudens!F8</f>
        <v>23588.77851282779</v>
      </c>
      <c r="H11" s="687">
        <f>huishoudens!G8</f>
        <v>0</v>
      </c>
      <c r="I11" s="687">
        <f>huishoudens!H8</f>
        <v>0</v>
      </c>
      <c r="J11" s="687">
        <f>huishoudens!I8</f>
        <v>0</v>
      </c>
      <c r="K11" s="687">
        <f>huishoudens!J8</f>
        <v>2653.4594730722461</v>
      </c>
      <c r="L11" s="687">
        <f>huishoudens!K8</f>
        <v>0</v>
      </c>
      <c r="M11" s="687">
        <f>huishoudens!L8</f>
        <v>0</v>
      </c>
      <c r="N11" s="687">
        <f>huishoudens!M8</f>
        <v>0</v>
      </c>
      <c r="O11" s="687">
        <f>huishoudens!N8</f>
        <v>9039.0738081963027</v>
      </c>
      <c r="P11" s="687">
        <f>huishoudens!O8</f>
        <v>29.703333333333333</v>
      </c>
      <c r="Q11" s="688">
        <f>huishoudens!P8</f>
        <v>114.4</v>
      </c>
      <c r="R11" s="690">
        <f>SUM(C11:Q11)</f>
        <v>92557.571757180733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25543.512000245653</v>
      </c>
      <c r="D13" s="687">
        <f>industrie!C18</f>
        <v>0</v>
      </c>
      <c r="E13" s="687">
        <f>industrie!D18</f>
        <v>28060.629149287633</v>
      </c>
      <c r="F13" s="687">
        <f>industrie!E18</f>
        <v>254.00358130563518</v>
      </c>
      <c r="G13" s="687">
        <f>industrie!F18</f>
        <v>6920.5639852851709</v>
      </c>
      <c r="H13" s="687">
        <f>industrie!G18</f>
        <v>0</v>
      </c>
      <c r="I13" s="687">
        <f>industrie!H18</f>
        <v>0</v>
      </c>
      <c r="J13" s="687">
        <f>industrie!I18</f>
        <v>0</v>
      </c>
      <c r="K13" s="687">
        <f>industrie!J18</f>
        <v>149.59808188853339</v>
      </c>
      <c r="L13" s="687">
        <f>industrie!K18</f>
        <v>0</v>
      </c>
      <c r="M13" s="687">
        <f>industrie!L18</f>
        <v>0</v>
      </c>
      <c r="N13" s="687">
        <f>industrie!M18</f>
        <v>0</v>
      </c>
      <c r="O13" s="687">
        <f>industrie!N18</f>
        <v>635.23240823335539</v>
      </c>
      <c r="P13" s="687">
        <f>industrie!O18</f>
        <v>0</v>
      </c>
      <c r="Q13" s="688">
        <f>industrie!P18</f>
        <v>0</v>
      </c>
      <c r="R13" s="690">
        <f>SUM(C13:Q13)</f>
        <v>61563.539206245987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59546.044000462069</v>
      </c>
      <c r="D16" s="720">
        <f t="shared" ref="D16:R16" ca="1" si="0">SUM(D9:D15)</f>
        <v>0</v>
      </c>
      <c r="E16" s="720">
        <f t="shared" ca="1" si="0"/>
        <v>74560.603079944558</v>
      </c>
      <c r="F16" s="720">
        <f t="shared" si="0"/>
        <v>4734.9594670950592</v>
      </c>
      <c r="G16" s="720">
        <f t="shared" ca="1" si="0"/>
        <v>33051.297896351738</v>
      </c>
      <c r="H16" s="720">
        <f t="shared" si="0"/>
        <v>0</v>
      </c>
      <c r="I16" s="720">
        <f t="shared" si="0"/>
        <v>0</v>
      </c>
      <c r="J16" s="720">
        <f t="shared" si="0"/>
        <v>0</v>
      </c>
      <c r="K16" s="720">
        <f t="shared" si="0"/>
        <v>2803.0575549607793</v>
      </c>
      <c r="L16" s="720">
        <f t="shared" si="0"/>
        <v>0</v>
      </c>
      <c r="M16" s="720">
        <f t="shared" ca="1" si="0"/>
        <v>0</v>
      </c>
      <c r="N16" s="720">
        <f t="shared" si="0"/>
        <v>0</v>
      </c>
      <c r="O16" s="720">
        <f t="shared" ca="1" si="0"/>
        <v>10007.123153743265</v>
      </c>
      <c r="P16" s="720">
        <f t="shared" si="0"/>
        <v>29.703333333333333</v>
      </c>
      <c r="Q16" s="720">
        <f t="shared" si="0"/>
        <v>114.4</v>
      </c>
      <c r="R16" s="720">
        <f t="shared" ca="1" si="0"/>
        <v>184847.1884858908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442.63591072842445</v>
      </c>
      <c r="I19" s="687">
        <f>transport!H54</f>
        <v>0</v>
      </c>
      <c r="J19" s="687">
        <f>transport!I54</f>
        <v>0</v>
      </c>
      <c r="K19" s="687">
        <f>transport!J54</f>
        <v>0</v>
      </c>
      <c r="L19" s="687">
        <f>transport!K54</f>
        <v>0</v>
      </c>
      <c r="M19" s="687">
        <f>transport!L54</f>
        <v>0</v>
      </c>
      <c r="N19" s="687">
        <f>transport!M54</f>
        <v>18.867645853010952</v>
      </c>
      <c r="O19" s="687">
        <f>transport!N54</f>
        <v>0</v>
      </c>
      <c r="P19" s="687">
        <f>transport!O54</f>
        <v>0</v>
      </c>
      <c r="Q19" s="688">
        <f>transport!P54</f>
        <v>0</v>
      </c>
      <c r="R19" s="690">
        <f>SUM(C19:Q19)</f>
        <v>461.50355658143542</v>
      </c>
      <c r="S19" s="67"/>
    </row>
    <row r="20" spans="1:19" s="456" customFormat="1">
      <c r="A20" s="802" t="s">
        <v>307</v>
      </c>
      <c r="B20" s="807"/>
      <c r="C20" s="687">
        <f>transport!B14</f>
        <v>0.36206247859123136</v>
      </c>
      <c r="D20" s="687">
        <f>transport!C14</f>
        <v>0</v>
      </c>
      <c r="E20" s="687">
        <f>transport!D14</f>
        <v>2.0795359775582396</v>
      </c>
      <c r="F20" s="687">
        <f>transport!E14</f>
        <v>205.76313968351784</v>
      </c>
      <c r="G20" s="687">
        <f>transport!F14</f>
        <v>0</v>
      </c>
      <c r="H20" s="687">
        <f>transport!G14</f>
        <v>39016.722271434599</v>
      </c>
      <c r="I20" s="687">
        <f>transport!H14</f>
        <v>6831.9523540244199</v>
      </c>
      <c r="J20" s="687">
        <f>transport!I14</f>
        <v>0</v>
      </c>
      <c r="K20" s="687">
        <f>transport!J14</f>
        <v>0</v>
      </c>
      <c r="L20" s="687">
        <f>transport!K14</f>
        <v>0</v>
      </c>
      <c r="M20" s="687">
        <f>transport!L14</f>
        <v>0</v>
      </c>
      <c r="N20" s="687">
        <f>transport!M14</f>
        <v>2000.9125936963128</v>
      </c>
      <c r="O20" s="687">
        <f>transport!N14</f>
        <v>0</v>
      </c>
      <c r="P20" s="687">
        <f>transport!O14</f>
        <v>0</v>
      </c>
      <c r="Q20" s="688">
        <f>transport!P14</f>
        <v>0</v>
      </c>
      <c r="R20" s="690">
        <f>SUM(C20:Q20)</f>
        <v>48057.791957294998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0.36206247859123136</v>
      </c>
      <c r="D22" s="805">
        <f t="shared" ref="D22:R22" si="1">SUM(D18:D21)</f>
        <v>0</v>
      </c>
      <c r="E22" s="805">
        <f t="shared" si="1"/>
        <v>2.0795359775582396</v>
      </c>
      <c r="F22" s="805">
        <f t="shared" si="1"/>
        <v>205.76313968351784</v>
      </c>
      <c r="G22" s="805">
        <f t="shared" si="1"/>
        <v>0</v>
      </c>
      <c r="H22" s="805">
        <f t="shared" si="1"/>
        <v>39459.358182163021</v>
      </c>
      <c r="I22" s="805">
        <f t="shared" si="1"/>
        <v>6831.9523540244199</v>
      </c>
      <c r="J22" s="805">
        <f t="shared" si="1"/>
        <v>0</v>
      </c>
      <c r="K22" s="805">
        <f t="shared" si="1"/>
        <v>0</v>
      </c>
      <c r="L22" s="805">
        <f t="shared" si="1"/>
        <v>0</v>
      </c>
      <c r="M22" s="805">
        <f t="shared" si="1"/>
        <v>0</v>
      </c>
      <c r="N22" s="805">
        <f t="shared" si="1"/>
        <v>2019.7802395493238</v>
      </c>
      <c r="O22" s="805">
        <f t="shared" si="1"/>
        <v>0</v>
      </c>
      <c r="P22" s="805">
        <f t="shared" si="1"/>
        <v>0</v>
      </c>
      <c r="Q22" s="805">
        <f t="shared" si="1"/>
        <v>0</v>
      </c>
      <c r="R22" s="805">
        <f t="shared" si="1"/>
        <v>48519.29551387643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4098.4744429205684</v>
      </c>
      <c r="D24" s="687">
        <f>+landbouw!C8</f>
        <v>0</v>
      </c>
      <c r="E24" s="687">
        <f>+landbouw!D8</f>
        <v>119.93806072011226</v>
      </c>
      <c r="F24" s="687">
        <f>+landbouw!E8</f>
        <v>42.920111649797875</v>
      </c>
      <c r="G24" s="687">
        <f>+landbouw!F8</f>
        <v>17544.584794889448</v>
      </c>
      <c r="H24" s="687">
        <f>+landbouw!G8</f>
        <v>0</v>
      </c>
      <c r="I24" s="687">
        <f>+landbouw!H8</f>
        <v>0</v>
      </c>
      <c r="J24" s="687">
        <f>+landbouw!I8</f>
        <v>0</v>
      </c>
      <c r="K24" s="687">
        <f>+landbouw!J8</f>
        <v>366.03050300592963</v>
      </c>
      <c r="L24" s="687">
        <f>+landbouw!K8</f>
        <v>0</v>
      </c>
      <c r="M24" s="687">
        <f>+landbouw!L8</f>
        <v>0</v>
      </c>
      <c r="N24" s="687">
        <f>+landbouw!M8</f>
        <v>0</v>
      </c>
      <c r="O24" s="687">
        <f>+landbouw!N8</f>
        <v>0</v>
      </c>
      <c r="P24" s="687">
        <f>+landbouw!O8</f>
        <v>0</v>
      </c>
      <c r="Q24" s="688">
        <f>+landbouw!P8</f>
        <v>0</v>
      </c>
      <c r="R24" s="690">
        <f>SUM(C24:Q24)</f>
        <v>22171.947913185853</v>
      </c>
      <c r="S24" s="67"/>
    </row>
    <row r="25" spans="1:19" s="456" customFormat="1" ht="15" thickBot="1">
      <c r="A25" s="824" t="s">
        <v>925</v>
      </c>
      <c r="B25" s="988"/>
      <c r="C25" s="989">
        <f>IF(Onbekend_ele_kWh="---",0,Onbekend_ele_kWh)/1000+IF(REST_rest_ele_kWh="---",0,REST_rest_ele_kWh)/1000</f>
        <v>1046.07090193676</v>
      </c>
      <c r="D25" s="989"/>
      <c r="E25" s="989">
        <f>IF(onbekend_gas_kWh="---",0,onbekend_gas_kWh)/1000+IF(REST_rest_gas_kWh="---",0,REST_rest_gas_kWh)/1000</f>
        <v>1587.37338647506</v>
      </c>
      <c r="F25" s="989"/>
      <c r="G25" s="989"/>
      <c r="H25" s="989"/>
      <c r="I25" s="989"/>
      <c r="J25" s="989"/>
      <c r="K25" s="989"/>
      <c r="L25" s="989"/>
      <c r="M25" s="989"/>
      <c r="N25" s="989"/>
      <c r="O25" s="989"/>
      <c r="P25" s="989"/>
      <c r="Q25" s="990"/>
      <c r="R25" s="690">
        <f>SUM(C25:Q25)</f>
        <v>2633.4442884118198</v>
      </c>
      <c r="S25" s="67"/>
    </row>
    <row r="26" spans="1:19" s="456" customFormat="1" ht="15.75" thickBot="1">
      <c r="A26" s="693" t="s">
        <v>926</v>
      </c>
      <c r="B26" s="810"/>
      <c r="C26" s="805">
        <f>SUM(C24:C25)</f>
        <v>5144.545344857328</v>
      </c>
      <c r="D26" s="805">
        <f t="shared" ref="D26:R26" si="2">SUM(D24:D25)</f>
        <v>0</v>
      </c>
      <c r="E26" s="805">
        <f t="shared" si="2"/>
        <v>1707.3114471951721</v>
      </c>
      <c r="F26" s="805">
        <f t="shared" si="2"/>
        <v>42.920111649797875</v>
      </c>
      <c r="G26" s="805">
        <f t="shared" si="2"/>
        <v>17544.584794889448</v>
      </c>
      <c r="H26" s="805">
        <f t="shared" si="2"/>
        <v>0</v>
      </c>
      <c r="I26" s="805">
        <f t="shared" si="2"/>
        <v>0</v>
      </c>
      <c r="J26" s="805">
        <f t="shared" si="2"/>
        <v>0</v>
      </c>
      <c r="K26" s="805">
        <f t="shared" si="2"/>
        <v>366.03050300592963</v>
      </c>
      <c r="L26" s="805">
        <f t="shared" si="2"/>
        <v>0</v>
      </c>
      <c r="M26" s="805">
        <f t="shared" si="2"/>
        <v>0</v>
      </c>
      <c r="N26" s="805">
        <f t="shared" si="2"/>
        <v>0</v>
      </c>
      <c r="O26" s="805">
        <f t="shared" si="2"/>
        <v>0</v>
      </c>
      <c r="P26" s="805">
        <f t="shared" si="2"/>
        <v>0</v>
      </c>
      <c r="Q26" s="805">
        <f t="shared" si="2"/>
        <v>0</v>
      </c>
      <c r="R26" s="805">
        <f t="shared" si="2"/>
        <v>24805.392201597671</v>
      </c>
      <c r="S26" s="67"/>
    </row>
    <row r="27" spans="1:19" s="456" customFormat="1" ht="17.25" thickTop="1" thickBot="1">
      <c r="A27" s="694" t="s">
        <v>116</v>
      </c>
      <c r="B27" s="797"/>
      <c r="C27" s="695">
        <f ca="1">C22+C16+C26</f>
        <v>64690.951407797984</v>
      </c>
      <c r="D27" s="695">
        <f t="shared" ref="D27:R27" ca="1" si="3">D22+D16+D26</f>
        <v>0</v>
      </c>
      <c r="E27" s="695">
        <f t="shared" ca="1" si="3"/>
        <v>76269.994063117279</v>
      </c>
      <c r="F27" s="695">
        <f t="shared" si="3"/>
        <v>4983.6427184283748</v>
      </c>
      <c r="G27" s="695">
        <f t="shared" ca="1" si="3"/>
        <v>50595.88269124119</v>
      </c>
      <c r="H27" s="695">
        <f t="shared" si="3"/>
        <v>39459.358182163021</v>
      </c>
      <c r="I27" s="695">
        <f t="shared" si="3"/>
        <v>6831.9523540244199</v>
      </c>
      <c r="J27" s="695">
        <f t="shared" si="3"/>
        <v>0</v>
      </c>
      <c r="K27" s="695">
        <f t="shared" si="3"/>
        <v>3169.0880579667091</v>
      </c>
      <c r="L27" s="695">
        <f t="shared" si="3"/>
        <v>0</v>
      </c>
      <c r="M27" s="695">
        <f t="shared" ca="1" si="3"/>
        <v>0</v>
      </c>
      <c r="N27" s="695">
        <f t="shared" si="3"/>
        <v>2019.7802395493238</v>
      </c>
      <c r="O27" s="695">
        <f t="shared" ca="1" si="3"/>
        <v>10007.123153743265</v>
      </c>
      <c r="P27" s="695">
        <f t="shared" si="3"/>
        <v>29.703333333333333</v>
      </c>
      <c r="Q27" s="695">
        <f t="shared" si="3"/>
        <v>114.4</v>
      </c>
      <c r="R27" s="695">
        <f t="shared" ca="1" si="3"/>
        <v>258171.87620136491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3125.1308272398337</v>
      </c>
      <c r="D40" s="687">
        <f ca="1">tertiair!C20</f>
        <v>0</v>
      </c>
      <c r="E40" s="687">
        <f ca="1">tertiair!D20</f>
        <v>2582.4387945724843</v>
      </c>
      <c r="F40" s="687">
        <f>tertiair!E20</f>
        <v>55.315260580399553</v>
      </c>
      <c r="G40" s="687">
        <f ca="1">tertiair!F20</f>
        <v>678.70209132975299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6441.5869737224702</v>
      </c>
    </row>
    <row r="41" spans="1:18">
      <c r="A41" s="815" t="s">
        <v>225</v>
      </c>
      <c r="B41" s="822"/>
      <c r="C41" s="687">
        <f ca="1">huishoudens!B12</f>
        <v>4043.4847340812971</v>
      </c>
      <c r="D41" s="687">
        <f ca="1">huishoudens!C12</f>
        <v>0</v>
      </c>
      <c r="E41" s="687">
        <f>huishoudens!D12</f>
        <v>6810.5559394202146</v>
      </c>
      <c r="F41" s="687">
        <f>huishoudens!E12</f>
        <v>961.86172549379978</v>
      </c>
      <c r="G41" s="687">
        <f>huishoudens!F12</f>
        <v>6298.2038629250201</v>
      </c>
      <c r="H41" s="687">
        <f>huishoudens!G12</f>
        <v>0</v>
      </c>
      <c r="I41" s="687">
        <f>huishoudens!H12</f>
        <v>0</v>
      </c>
      <c r="J41" s="687">
        <f>huishoudens!I12</f>
        <v>0</v>
      </c>
      <c r="K41" s="687">
        <f>huishoudens!J12</f>
        <v>939.3246534675751</v>
      </c>
      <c r="L41" s="687">
        <f>huishoudens!K12</f>
        <v>0</v>
      </c>
      <c r="M41" s="687">
        <f>huishoudens!L12</f>
        <v>0</v>
      </c>
      <c r="N41" s="687">
        <f>huishoudens!M12</f>
        <v>0</v>
      </c>
      <c r="O41" s="687">
        <f>huishoudens!N12</f>
        <v>0</v>
      </c>
      <c r="P41" s="687">
        <f>huishoudens!O12</f>
        <v>0</v>
      </c>
      <c r="Q41" s="762">
        <f>huishoudens!P12</f>
        <v>0</v>
      </c>
      <c r="R41" s="843">
        <f t="shared" ca="1" si="4"/>
        <v>19053.430915387904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5385.2347705926304</v>
      </c>
      <c r="D43" s="687">
        <f ca="1">industrie!C22</f>
        <v>0</v>
      </c>
      <c r="E43" s="687">
        <f>industrie!D22</f>
        <v>5668.2470881561021</v>
      </c>
      <c r="F43" s="687">
        <f>industrie!E22</f>
        <v>57.658812956379187</v>
      </c>
      <c r="G43" s="687">
        <f>industrie!F22</f>
        <v>1847.7905840711408</v>
      </c>
      <c r="H43" s="687">
        <f>industrie!G22</f>
        <v>0</v>
      </c>
      <c r="I43" s="687">
        <f>industrie!H22</f>
        <v>0</v>
      </c>
      <c r="J43" s="687">
        <f>industrie!I22</f>
        <v>0</v>
      </c>
      <c r="K43" s="687">
        <f>industrie!J22</f>
        <v>52.957720988540814</v>
      </c>
      <c r="L43" s="687">
        <f>industrie!K22</f>
        <v>0</v>
      </c>
      <c r="M43" s="687">
        <f>industrie!L22</f>
        <v>0</v>
      </c>
      <c r="N43" s="687">
        <f>industrie!M22</f>
        <v>0</v>
      </c>
      <c r="O43" s="687">
        <f>industrie!N22</f>
        <v>0</v>
      </c>
      <c r="P43" s="687">
        <f>industrie!O22</f>
        <v>0</v>
      </c>
      <c r="Q43" s="762">
        <f>industrie!P22</f>
        <v>0</v>
      </c>
      <c r="R43" s="842">
        <f t="shared" ca="1" si="4"/>
        <v>13011.888976764792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12553.85033191376</v>
      </c>
      <c r="D46" s="720">
        <f t="shared" ref="D46:Q46" ca="1" si="5">SUM(D39:D45)</f>
        <v>0</v>
      </c>
      <c r="E46" s="720">
        <f t="shared" ca="1" si="5"/>
        <v>15061.241822148801</v>
      </c>
      <c r="F46" s="720">
        <f t="shared" si="5"/>
        <v>1074.8357990305785</v>
      </c>
      <c r="G46" s="720">
        <f t="shared" ca="1" si="5"/>
        <v>8824.6965383259139</v>
      </c>
      <c r="H46" s="720">
        <f t="shared" si="5"/>
        <v>0</v>
      </c>
      <c r="I46" s="720">
        <f t="shared" si="5"/>
        <v>0</v>
      </c>
      <c r="J46" s="720">
        <f t="shared" si="5"/>
        <v>0</v>
      </c>
      <c r="K46" s="720">
        <f t="shared" si="5"/>
        <v>992.28237445611592</v>
      </c>
      <c r="L46" s="720">
        <f t="shared" si="5"/>
        <v>0</v>
      </c>
      <c r="M46" s="720">
        <f t="shared" ca="1" si="5"/>
        <v>0</v>
      </c>
      <c r="N46" s="720">
        <f t="shared" si="5"/>
        <v>0</v>
      </c>
      <c r="O46" s="720">
        <f t="shared" ca="1" si="5"/>
        <v>0</v>
      </c>
      <c r="P46" s="720">
        <f t="shared" si="5"/>
        <v>0</v>
      </c>
      <c r="Q46" s="720">
        <f t="shared" si="5"/>
        <v>0</v>
      </c>
      <c r="R46" s="720">
        <f ca="1">SUM(R39:R45)</f>
        <v>38506.906865875164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118.18378816448933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118.18378816448933</v>
      </c>
    </row>
    <row r="50" spans="1:18">
      <c r="A50" s="818" t="s">
        <v>307</v>
      </c>
      <c r="B50" s="828"/>
      <c r="C50" s="995">
        <f ca="1">transport!B18</f>
        <v>7.6332160151575776E-2</v>
      </c>
      <c r="D50" s="995">
        <f>transport!C18</f>
        <v>0</v>
      </c>
      <c r="E50" s="995">
        <f>transport!D18</f>
        <v>0.42006626746676445</v>
      </c>
      <c r="F50" s="995">
        <f>transport!E18</f>
        <v>46.708232708158548</v>
      </c>
      <c r="G50" s="995">
        <f>transport!F18</f>
        <v>0</v>
      </c>
      <c r="H50" s="995">
        <f>transport!G18</f>
        <v>10417.464846473038</v>
      </c>
      <c r="I50" s="995">
        <f>transport!H18</f>
        <v>1701.1561361520805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12165.825613760895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7.6332160151575776E-2</v>
      </c>
      <c r="D52" s="720">
        <f t="shared" ref="D52:Q52" ca="1" si="6">SUM(D48:D51)</f>
        <v>0</v>
      </c>
      <c r="E52" s="720">
        <f t="shared" si="6"/>
        <v>0.42006626746676445</v>
      </c>
      <c r="F52" s="720">
        <f t="shared" si="6"/>
        <v>46.708232708158548</v>
      </c>
      <c r="G52" s="720">
        <f t="shared" si="6"/>
        <v>0</v>
      </c>
      <c r="H52" s="720">
        <f t="shared" si="6"/>
        <v>10535.648634637528</v>
      </c>
      <c r="I52" s="720">
        <f t="shared" si="6"/>
        <v>1701.1561361520805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12284.009401925385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864.06470168193187</v>
      </c>
      <c r="D54" s="995">
        <f ca="1">+landbouw!C12</f>
        <v>0</v>
      </c>
      <c r="E54" s="995">
        <f>+landbouw!D12</f>
        <v>24.227488265462679</v>
      </c>
      <c r="F54" s="995">
        <f>+landbouw!E12</f>
        <v>9.7428653445041178</v>
      </c>
      <c r="G54" s="995">
        <f>+landbouw!F12</f>
        <v>4684.4041402354833</v>
      </c>
      <c r="H54" s="995">
        <f>+landbouw!G12</f>
        <v>0</v>
      </c>
      <c r="I54" s="995">
        <f>+landbouw!H12</f>
        <v>0</v>
      </c>
      <c r="J54" s="995">
        <f>+landbouw!I12</f>
        <v>0</v>
      </c>
      <c r="K54" s="995">
        <f>+landbouw!J12</f>
        <v>129.57479806409907</v>
      </c>
      <c r="L54" s="995">
        <f>+landbouw!K12</f>
        <v>0</v>
      </c>
      <c r="M54" s="995">
        <f>+landbouw!L12</f>
        <v>0</v>
      </c>
      <c r="N54" s="995">
        <f>+landbouw!M12</f>
        <v>0</v>
      </c>
      <c r="O54" s="995">
        <f>+landbouw!N12</f>
        <v>0</v>
      </c>
      <c r="P54" s="995">
        <f>+landbouw!O12</f>
        <v>0</v>
      </c>
      <c r="Q54" s="996">
        <f>+landbouw!P12</f>
        <v>0</v>
      </c>
      <c r="R54" s="719">
        <f ca="1">SUM(C54:Q54)</f>
        <v>5712.0139935914813</v>
      </c>
    </row>
    <row r="55" spans="1:18" ht="15" thickBot="1">
      <c r="A55" s="818" t="s">
        <v>925</v>
      </c>
      <c r="B55" s="828"/>
      <c r="C55" s="995">
        <f ca="1">C25*'EF ele_warmte'!B12</f>
        <v>220.53887474677947</v>
      </c>
      <c r="D55" s="995"/>
      <c r="E55" s="995">
        <f>E25*EF_CO2_aardgas</f>
        <v>320.64942406796212</v>
      </c>
      <c r="F55" s="995"/>
      <c r="G55" s="995"/>
      <c r="H55" s="995"/>
      <c r="I55" s="995"/>
      <c r="J55" s="995"/>
      <c r="K55" s="995"/>
      <c r="L55" s="995"/>
      <c r="M55" s="995"/>
      <c r="N55" s="995"/>
      <c r="O55" s="995"/>
      <c r="P55" s="995"/>
      <c r="Q55" s="996"/>
      <c r="R55" s="719">
        <f ca="1">SUM(C55:Q55)</f>
        <v>541.18829881474153</v>
      </c>
    </row>
    <row r="56" spans="1:18" ht="15.75" thickBot="1">
      <c r="A56" s="816" t="s">
        <v>926</v>
      </c>
      <c r="B56" s="829"/>
      <c r="C56" s="720">
        <f ca="1">SUM(C54:C55)</f>
        <v>1084.6035764287112</v>
      </c>
      <c r="D56" s="720">
        <f t="shared" ref="D56:Q56" ca="1" si="7">SUM(D54:D55)</f>
        <v>0</v>
      </c>
      <c r="E56" s="720">
        <f t="shared" si="7"/>
        <v>344.8769123334248</v>
      </c>
      <c r="F56" s="720">
        <f t="shared" si="7"/>
        <v>9.7428653445041178</v>
      </c>
      <c r="G56" s="720">
        <f t="shared" si="7"/>
        <v>4684.4041402354833</v>
      </c>
      <c r="H56" s="720">
        <f t="shared" si="7"/>
        <v>0</v>
      </c>
      <c r="I56" s="720">
        <f t="shared" si="7"/>
        <v>0</v>
      </c>
      <c r="J56" s="720">
        <f t="shared" si="7"/>
        <v>0</v>
      </c>
      <c r="K56" s="720">
        <f t="shared" si="7"/>
        <v>129.57479806409907</v>
      </c>
      <c r="L56" s="720">
        <f t="shared" si="7"/>
        <v>0</v>
      </c>
      <c r="M56" s="720">
        <f t="shared" si="7"/>
        <v>0</v>
      </c>
      <c r="N56" s="720">
        <f t="shared" si="7"/>
        <v>0</v>
      </c>
      <c r="O56" s="720">
        <f t="shared" si="7"/>
        <v>0</v>
      </c>
      <c r="P56" s="720">
        <f t="shared" si="7"/>
        <v>0</v>
      </c>
      <c r="Q56" s="721">
        <f t="shared" si="7"/>
        <v>0</v>
      </c>
      <c r="R56" s="722">
        <f ca="1">SUM(R54:R55)</f>
        <v>6253.202292406223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13638.530240502623</v>
      </c>
      <c r="D61" s="728">
        <f t="shared" ref="D61:Q61" ca="1" si="8">D46+D52+D56</f>
        <v>0</v>
      </c>
      <c r="E61" s="728">
        <f t="shared" ca="1" si="8"/>
        <v>15406.538800749691</v>
      </c>
      <c r="F61" s="728">
        <f t="shared" si="8"/>
        <v>1131.286897083241</v>
      </c>
      <c r="G61" s="728">
        <f t="shared" ca="1" si="8"/>
        <v>13509.100678561397</v>
      </c>
      <c r="H61" s="728">
        <f t="shared" si="8"/>
        <v>10535.648634637528</v>
      </c>
      <c r="I61" s="728">
        <f t="shared" si="8"/>
        <v>1701.1561361520805</v>
      </c>
      <c r="J61" s="728">
        <f t="shared" si="8"/>
        <v>0</v>
      </c>
      <c r="K61" s="728">
        <f t="shared" si="8"/>
        <v>1121.857172520215</v>
      </c>
      <c r="L61" s="728">
        <f t="shared" si="8"/>
        <v>0</v>
      </c>
      <c r="M61" s="728">
        <f t="shared" ca="1" si="8"/>
        <v>0</v>
      </c>
      <c r="N61" s="728">
        <f t="shared" si="8"/>
        <v>0</v>
      </c>
      <c r="O61" s="728">
        <f t="shared" ca="1" si="8"/>
        <v>0</v>
      </c>
      <c r="P61" s="728">
        <f t="shared" si="8"/>
        <v>0</v>
      </c>
      <c r="Q61" s="728">
        <f t="shared" si="8"/>
        <v>0</v>
      </c>
      <c r="R61" s="728">
        <f ca="1">R46+R52+R56</f>
        <v>57044.118560206778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0.21082593382385478</v>
      </c>
      <c r="D63" s="772">
        <f t="shared" ca="1" si="9"/>
        <v>0</v>
      </c>
      <c r="E63" s="997">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2978.1448896865695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2978.1448896865695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19179.256843513529</v>
      </c>
      <c r="C4" s="460">
        <f>huishoudens!C8</f>
        <v>0</v>
      </c>
      <c r="D4" s="460">
        <f>huishoudens!D8</f>
        <v>33715.623462476309</v>
      </c>
      <c r="E4" s="460">
        <f>huishoudens!E8</f>
        <v>4237.2763237612326</v>
      </c>
      <c r="F4" s="460">
        <f>huishoudens!F8</f>
        <v>23588.77851282779</v>
      </c>
      <c r="G4" s="460">
        <f>huishoudens!G8</f>
        <v>0</v>
      </c>
      <c r="H4" s="460">
        <f>huishoudens!H8</f>
        <v>0</v>
      </c>
      <c r="I4" s="460">
        <f>huishoudens!I8</f>
        <v>0</v>
      </c>
      <c r="J4" s="460">
        <f>huishoudens!J8</f>
        <v>2653.4594730722461</v>
      </c>
      <c r="K4" s="460">
        <f>huishoudens!K8</f>
        <v>0</v>
      </c>
      <c r="L4" s="460">
        <f>huishoudens!L8</f>
        <v>0</v>
      </c>
      <c r="M4" s="460">
        <f>huishoudens!M8</f>
        <v>0</v>
      </c>
      <c r="N4" s="460">
        <f>huishoudens!N8</f>
        <v>9039.0738081963027</v>
      </c>
      <c r="O4" s="460">
        <f>huishoudens!O8</f>
        <v>29.703333333333333</v>
      </c>
      <c r="P4" s="461">
        <f>huishoudens!P8</f>
        <v>114.4</v>
      </c>
      <c r="Q4" s="462">
        <f>SUM(B4:P4)</f>
        <v>92557.571757180733</v>
      </c>
    </row>
    <row r="5" spans="1:17">
      <c r="A5" s="459" t="s">
        <v>156</v>
      </c>
      <c r="B5" s="460">
        <f ca="1">tertiair!B16</f>
        <v>13999.927156702888</v>
      </c>
      <c r="C5" s="460">
        <f ca="1">tertiair!C16</f>
        <v>0</v>
      </c>
      <c r="D5" s="460">
        <f ca="1">tertiair!D16</f>
        <v>12784.350468180615</v>
      </c>
      <c r="E5" s="460">
        <f>tertiair!E16</f>
        <v>243.67956202819187</v>
      </c>
      <c r="F5" s="460">
        <f ca="1">tertiair!F16</f>
        <v>2541.9553982387752</v>
      </c>
      <c r="G5" s="460">
        <f>tertiair!G16</f>
        <v>0</v>
      </c>
      <c r="H5" s="460">
        <f>tertiair!H16</f>
        <v>0</v>
      </c>
      <c r="I5" s="460">
        <f>tertiair!I16</f>
        <v>0</v>
      </c>
      <c r="J5" s="460">
        <f>tertiair!J16</f>
        <v>0</v>
      </c>
      <c r="K5" s="460">
        <f>tertiair!K16</f>
        <v>0</v>
      </c>
      <c r="L5" s="460">
        <f ca="1">tertiair!L16</f>
        <v>0</v>
      </c>
      <c r="M5" s="460">
        <f>tertiair!M16</f>
        <v>0</v>
      </c>
      <c r="N5" s="460">
        <f ca="1">tertiair!N16</f>
        <v>332.81693731360622</v>
      </c>
      <c r="O5" s="460">
        <f>tertiair!O16</f>
        <v>0</v>
      </c>
      <c r="P5" s="461">
        <f>tertiair!P16</f>
        <v>0</v>
      </c>
      <c r="Q5" s="459">
        <f t="shared" ref="Q5:Q14" ca="1" si="0">SUM(B5:P5)</f>
        <v>29902.72952246408</v>
      </c>
    </row>
    <row r="6" spans="1:17">
      <c r="A6" s="459" t="s">
        <v>194</v>
      </c>
      <c r="B6" s="460">
        <f>'openbare verlichting'!B8</f>
        <v>823.34799999999996</v>
      </c>
      <c r="C6" s="460"/>
      <c r="D6" s="460"/>
      <c r="E6" s="460"/>
      <c r="F6" s="460"/>
      <c r="G6" s="460"/>
      <c r="H6" s="460"/>
      <c r="I6" s="460"/>
      <c r="J6" s="460"/>
      <c r="K6" s="460"/>
      <c r="L6" s="460"/>
      <c r="M6" s="460"/>
      <c r="N6" s="460"/>
      <c r="O6" s="460"/>
      <c r="P6" s="461"/>
      <c r="Q6" s="459">
        <f t="shared" si="0"/>
        <v>823.34799999999996</v>
      </c>
    </row>
    <row r="7" spans="1:17">
      <c r="A7" s="459" t="s">
        <v>112</v>
      </c>
      <c r="B7" s="460">
        <f>landbouw!B8</f>
        <v>4098.4744429205684</v>
      </c>
      <c r="C7" s="460">
        <f>landbouw!C8</f>
        <v>0</v>
      </c>
      <c r="D7" s="460">
        <f>landbouw!D8</f>
        <v>119.93806072011226</v>
      </c>
      <c r="E7" s="460">
        <f>landbouw!E8</f>
        <v>42.920111649797875</v>
      </c>
      <c r="F7" s="460">
        <f>landbouw!F8</f>
        <v>17544.584794889448</v>
      </c>
      <c r="G7" s="460">
        <f>landbouw!G8</f>
        <v>0</v>
      </c>
      <c r="H7" s="460">
        <f>landbouw!H8</f>
        <v>0</v>
      </c>
      <c r="I7" s="460">
        <f>landbouw!I8</f>
        <v>0</v>
      </c>
      <c r="J7" s="460">
        <f>landbouw!J8</f>
        <v>366.03050300592963</v>
      </c>
      <c r="K7" s="460">
        <f>landbouw!K8</f>
        <v>0</v>
      </c>
      <c r="L7" s="460">
        <f>landbouw!L8</f>
        <v>0</v>
      </c>
      <c r="M7" s="460">
        <f>landbouw!M8</f>
        <v>0</v>
      </c>
      <c r="N7" s="460">
        <f>landbouw!N8</f>
        <v>0</v>
      </c>
      <c r="O7" s="460">
        <f>landbouw!O8</f>
        <v>0</v>
      </c>
      <c r="P7" s="461">
        <f>landbouw!P8</f>
        <v>0</v>
      </c>
      <c r="Q7" s="459">
        <f t="shared" si="0"/>
        <v>22171.947913185853</v>
      </c>
    </row>
    <row r="8" spans="1:17">
      <c r="A8" s="459" t="s">
        <v>655</v>
      </c>
      <c r="B8" s="460">
        <f>industrie!B18</f>
        <v>25543.512000245653</v>
      </c>
      <c r="C8" s="460">
        <f>industrie!C18</f>
        <v>0</v>
      </c>
      <c r="D8" s="460">
        <f>industrie!D18</f>
        <v>28060.629149287633</v>
      </c>
      <c r="E8" s="460">
        <f>industrie!E18</f>
        <v>254.00358130563518</v>
      </c>
      <c r="F8" s="460">
        <f>industrie!F18</f>
        <v>6920.5639852851709</v>
      </c>
      <c r="G8" s="460">
        <f>industrie!G18</f>
        <v>0</v>
      </c>
      <c r="H8" s="460">
        <f>industrie!H18</f>
        <v>0</v>
      </c>
      <c r="I8" s="460">
        <f>industrie!I18</f>
        <v>0</v>
      </c>
      <c r="J8" s="460">
        <f>industrie!J18</f>
        <v>149.59808188853339</v>
      </c>
      <c r="K8" s="460">
        <f>industrie!K18</f>
        <v>0</v>
      </c>
      <c r="L8" s="460">
        <f>industrie!L18</f>
        <v>0</v>
      </c>
      <c r="M8" s="460">
        <f>industrie!M18</f>
        <v>0</v>
      </c>
      <c r="N8" s="460">
        <f>industrie!N18</f>
        <v>635.23240823335539</v>
      </c>
      <c r="O8" s="460">
        <f>industrie!O18</f>
        <v>0</v>
      </c>
      <c r="P8" s="461">
        <f>industrie!P18</f>
        <v>0</v>
      </c>
      <c r="Q8" s="459">
        <f t="shared" si="0"/>
        <v>61563.539206245987</v>
      </c>
    </row>
    <row r="9" spans="1:17" s="465" customFormat="1">
      <c r="A9" s="463" t="s">
        <v>573</v>
      </c>
      <c r="B9" s="464">
        <f>transport!B14</f>
        <v>0.36206247859123136</v>
      </c>
      <c r="C9" s="464">
        <f>transport!C14</f>
        <v>0</v>
      </c>
      <c r="D9" s="464">
        <f>transport!D14</f>
        <v>2.0795359775582396</v>
      </c>
      <c r="E9" s="464">
        <f>transport!E14</f>
        <v>205.76313968351784</v>
      </c>
      <c r="F9" s="464">
        <f>transport!F14</f>
        <v>0</v>
      </c>
      <c r="G9" s="464">
        <f>transport!G14</f>
        <v>39016.722271434599</v>
      </c>
      <c r="H9" s="464">
        <f>transport!H14</f>
        <v>6831.9523540244199</v>
      </c>
      <c r="I9" s="464">
        <f>transport!I14</f>
        <v>0</v>
      </c>
      <c r="J9" s="464">
        <f>transport!J14</f>
        <v>0</v>
      </c>
      <c r="K9" s="464">
        <f>transport!K14</f>
        <v>0</v>
      </c>
      <c r="L9" s="464">
        <f>transport!L14</f>
        <v>0</v>
      </c>
      <c r="M9" s="464">
        <f>transport!M14</f>
        <v>2000.9125936963128</v>
      </c>
      <c r="N9" s="464">
        <f>transport!N14</f>
        <v>0</v>
      </c>
      <c r="O9" s="464">
        <f>transport!O14</f>
        <v>0</v>
      </c>
      <c r="P9" s="464">
        <f>transport!P14</f>
        <v>0</v>
      </c>
      <c r="Q9" s="463">
        <f>SUM(B9:P9)</f>
        <v>48057.791957294998</v>
      </c>
    </row>
    <row r="10" spans="1:17">
      <c r="A10" s="459" t="s">
        <v>563</v>
      </c>
      <c r="B10" s="460">
        <f>transport!B54</f>
        <v>0</v>
      </c>
      <c r="C10" s="460">
        <f>transport!C54</f>
        <v>0</v>
      </c>
      <c r="D10" s="460">
        <f>transport!D54</f>
        <v>0</v>
      </c>
      <c r="E10" s="460">
        <f>transport!E54</f>
        <v>0</v>
      </c>
      <c r="F10" s="460">
        <f>transport!F54</f>
        <v>0</v>
      </c>
      <c r="G10" s="460">
        <f>transport!G54</f>
        <v>442.63591072842445</v>
      </c>
      <c r="H10" s="460">
        <f>transport!H54</f>
        <v>0</v>
      </c>
      <c r="I10" s="460">
        <f>transport!I54</f>
        <v>0</v>
      </c>
      <c r="J10" s="460">
        <f>transport!J54</f>
        <v>0</v>
      </c>
      <c r="K10" s="460">
        <f>transport!K54</f>
        <v>0</v>
      </c>
      <c r="L10" s="460">
        <f>transport!L54</f>
        <v>0</v>
      </c>
      <c r="M10" s="460">
        <f>transport!M54</f>
        <v>18.867645853010952</v>
      </c>
      <c r="N10" s="460">
        <f>transport!N54</f>
        <v>0</v>
      </c>
      <c r="O10" s="460">
        <f>transport!O54</f>
        <v>0</v>
      </c>
      <c r="P10" s="461">
        <f>transport!P54</f>
        <v>0</v>
      </c>
      <c r="Q10" s="459">
        <f t="shared" si="0"/>
        <v>461.50355658143542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1046.07090193676</v>
      </c>
      <c r="C14" s="467"/>
      <c r="D14" s="467">
        <f>'SEAP template'!E25</f>
        <v>1587.37338647506</v>
      </c>
      <c r="E14" s="467"/>
      <c r="F14" s="467"/>
      <c r="G14" s="467"/>
      <c r="H14" s="467"/>
      <c r="I14" s="467"/>
      <c r="J14" s="467"/>
      <c r="K14" s="467"/>
      <c r="L14" s="467"/>
      <c r="M14" s="467"/>
      <c r="N14" s="467"/>
      <c r="O14" s="467"/>
      <c r="P14" s="468"/>
      <c r="Q14" s="459">
        <f t="shared" si="0"/>
        <v>2633.4442884118198</v>
      </c>
    </row>
    <row r="15" spans="1:17" s="472" customFormat="1">
      <c r="A15" s="469" t="s">
        <v>567</v>
      </c>
      <c r="B15" s="470">
        <f ca="1">SUM(B4:B14)</f>
        <v>64690.951407797984</v>
      </c>
      <c r="C15" s="470">
        <f t="shared" ref="C15:Q15" ca="1" si="1">SUM(C4:C14)</f>
        <v>0</v>
      </c>
      <c r="D15" s="470">
        <f t="shared" ca="1" si="1"/>
        <v>76269.994063117265</v>
      </c>
      <c r="E15" s="470">
        <f t="shared" si="1"/>
        <v>4983.6427184283757</v>
      </c>
      <c r="F15" s="470">
        <f t="shared" ca="1" si="1"/>
        <v>50595.88269124119</v>
      </c>
      <c r="G15" s="470">
        <f t="shared" si="1"/>
        <v>39459.358182163021</v>
      </c>
      <c r="H15" s="470">
        <f t="shared" si="1"/>
        <v>6831.9523540244199</v>
      </c>
      <c r="I15" s="470">
        <f t="shared" si="1"/>
        <v>0</v>
      </c>
      <c r="J15" s="470">
        <f t="shared" si="1"/>
        <v>3169.0880579667087</v>
      </c>
      <c r="K15" s="470">
        <f t="shared" si="1"/>
        <v>0</v>
      </c>
      <c r="L15" s="470">
        <f t="shared" ca="1" si="1"/>
        <v>0</v>
      </c>
      <c r="M15" s="470">
        <f t="shared" si="1"/>
        <v>2019.7802395493238</v>
      </c>
      <c r="N15" s="470">
        <f t="shared" ca="1" si="1"/>
        <v>10007.123153743265</v>
      </c>
      <c r="O15" s="470">
        <f t="shared" si="1"/>
        <v>29.703333333333333</v>
      </c>
      <c r="P15" s="470">
        <f t="shared" si="1"/>
        <v>114.4</v>
      </c>
      <c r="Q15" s="470">
        <f t="shared" ca="1" si="1"/>
        <v>258171.87620136494</v>
      </c>
    </row>
    <row r="17" spans="1:17">
      <c r="A17" s="473" t="s">
        <v>568</v>
      </c>
      <c r="B17" s="777">
        <f ca="1">huishoudens!B10</f>
        <v>0.21082593382385478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4043.4847340812971</v>
      </c>
      <c r="C22" s="460">
        <f t="shared" ref="C22:C32" ca="1" si="3">C4*$C$17</f>
        <v>0</v>
      </c>
      <c r="D22" s="460">
        <f t="shared" ref="D22:D32" si="4">D4*$D$17</f>
        <v>6810.5559394202146</v>
      </c>
      <c r="E22" s="460">
        <f t="shared" ref="E22:E32" si="5">E4*$E$17</f>
        <v>961.86172549379978</v>
      </c>
      <c r="F22" s="460">
        <f t="shared" ref="F22:F32" si="6">F4*$F$17</f>
        <v>6298.2038629250201</v>
      </c>
      <c r="G22" s="460">
        <f t="shared" ref="G22:G32" si="7">G4*$G$17</f>
        <v>0</v>
      </c>
      <c r="H22" s="460">
        <f t="shared" ref="H22:H32" si="8">H4*$H$17</f>
        <v>0</v>
      </c>
      <c r="I22" s="460">
        <f t="shared" ref="I22:I32" si="9">I4*$I$17</f>
        <v>0</v>
      </c>
      <c r="J22" s="460">
        <f t="shared" ref="J22:J32" si="10">J4*$J$17</f>
        <v>939.3246534675751</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19053.430915387904</v>
      </c>
    </row>
    <row r="23" spans="1:17">
      <c r="A23" s="459" t="s">
        <v>156</v>
      </c>
      <c r="B23" s="460">
        <f t="shared" ca="1" si="2"/>
        <v>2951.5477162778307</v>
      </c>
      <c r="C23" s="460">
        <f t="shared" ca="1" si="3"/>
        <v>0</v>
      </c>
      <c r="D23" s="460">
        <f t="shared" ca="1" si="4"/>
        <v>2582.4387945724843</v>
      </c>
      <c r="E23" s="460">
        <f t="shared" si="5"/>
        <v>55.315260580399553</v>
      </c>
      <c r="F23" s="460">
        <f t="shared" ca="1" si="6"/>
        <v>678.70209132975299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6268.0038627604672</v>
      </c>
    </row>
    <row r="24" spans="1:17">
      <c r="A24" s="459" t="s">
        <v>194</v>
      </c>
      <c r="B24" s="460">
        <f t="shared" ca="1" si="2"/>
        <v>173.58311096200319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173.58311096200319</v>
      </c>
    </row>
    <row r="25" spans="1:17">
      <c r="A25" s="459" t="s">
        <v>112</v>
      </c>
      <c r="B25" s="460">
        <f t="shared" ca="1" si="2"/>
        <v>864.06470168193187</v>
      </c>
      <c r="C25" s="460">
        <f t="shared" ca="1" si="3"/>
        <v>0</v>
      </c>
      <c r="D25" s="460">
        <f t="shared" si="4"/>
        <v>24.227488265462679</v>
      </c>
      <c r="E25" s="460">
        <f t="shared" si="5"/>
        <v>9.7428653445041178</v>
      </c>
      <c r="F25" s="460">
        <f t="shared" si="6"/>
        <v>4684.4041402354833</v>
      </c>
      <c r="G25" s="460">
        <f t="shared" si="7"/>
        <v>0</v>
      </c>
      <c r="H25" s="460">
        <f t="shared" si="8"/>
        <v>0</v>
      </c>
      <c r="I25" s="460">
        <f t="shared" si="9"/>
        <v>0</v>
      </c>
      <c r="J25" s="460">
        <f t="shared" si="10"/>
        <v>129.57479806409907</v>
      </c>
      <c r="K25" s="460">
        <f t="shared" si="11"/>
        <v>0</v>
      </c>
      <c r="L25" s="460">
        <f t="shared" si="12"/>
        <v>0</v>
      </c>
      <c r="M25" s="460">
        <f t="shared" si="13"/>
        <v>0</v>
      </c>
      <c r="N25" s="460">
        <f t="shared" si="14"/>
        <v>0</v>
      </c>
      <c r="O25" s="460">
        <f t="shared" si="15"/>
        <v>0</v>
      </c>
      <c r="P25" s="461">
        <f t="shared" si="16"/>
        <v>0</v>
      </c>
      <c r="Q25" s="459">
        <f t="shared" ca="1" si="17"/>
        <v>5712.0139935914813</v>
      </c>
    </row>
    <row r="26" spans="1:17">
      <c r="A26" s="459" t="s">
        <v>655</v>
      </c>
      <c r="B26" s="460">
        <f t="shared" ca="1" si="2"/>
        <v>5385.2347705926304</v>
      </c>
      <c r="C26" s="460">
        <f t="shared" ca="1" si="3"/>
        <v>0</v>
      </c>
      <c r="D26" s="460">
        <f t="shared" si="4"/>
        <v>5668.2470881561021</v>
      </c>
      <c r="E26" s="460">
        <f t="shared" si="5"/>
        <v>57.658812956379187</v>
      </c>
      <c r="F26" s="460">
        <f t="shared" si="6"/>
        <v>1847.7905840711408</v>
      </c>
      <c r="G26" s="460">
        <f t="shared" si="7"/>
        <v>0</v>
      </c>
      <c r="H26" s="460">
        <f t="shared" si="8"/>
        <v>0</v>
      </c>
      <c r="I26" s="460">
        <f t="shared" si="9"/>
        <v>0</v>
      </c>
      <c r="J26" s="460">
        <f t="shared" si="10"/>
        <v>52.957720988540814</v>
      </c>
      <c r="K26" s="460">
        <f t="shared" si="11"/>
        <v>0</v>
      </c>
      <c r="L26" s="460">
        <f t="shared" si="12"/>
        <v>0</v>
      </c>
      <c r="M26" s="460">
        <f t="shared" si="13"/>
        <v>0</v>
      </c>
      <c r="N26" s="460">
        <f t="shared" si="14"/>
        <v>0</v>
      </c>
      <c r="O26" s="460">
        <f t="shared" si="15"/>
        <v>0</v>
      </c>
      <c r="P26" s="461">
        <f t="shared" si="16"/>
        <v>0</v>
      </c>
      <c r="Q26" s="459">
        <f t="shared" ca="1" si="17"/>
        <v>13011.888976764792</v>
      </c>
    </row>
    <row r="27" spans="1:17" s="465" customFormat="1">
      <c r="A27" s="463" t="s">
        <v>573</v>
      </c>
      <c r="B27" s="771">
        <f t="shared" ca="1" si="2"/>
        <v>7.6332160151575776E-2</v>
      </c>
      <c r="C27" s="464">
        <f t="shared" ca="1" si="3"/>
        <v>0</v>
      </c>
      <c r="D27" s="464">
        <f t="shared" si="4"/>
        <v>0.42006626746676445</v>
      </c>
      <c r="E27" s="464">
        <f t="shared" si="5"/>
        <v>46.708232708158548</v>
      </c>
      <c r="F27" s="464">
        <f t="shared" si="6"/>
        <v>0</v>
      </c>
      <c r="G27" s="464">
        <f t="shared" si="7"/>
        <v>10417.464846473038</v>
      </c>
      <c r="H27" s="464">
        <f t="shared" si="8"/>
        <v>1701.1561361520805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12165.825613760895</v>
      </c>
    </row>
    <row r="28" spans="1:17">
      <c r="A28" s="459" t="s">
        <v>563</v>
      </c>
      <c r="B28" s="460">
        <f t="shared" ca="1" si="2"/>
        <v>0</v>
      </c>
      <c r="C28" s="460">
        <f t="shared" ca="1" si="3"/>
        <v>0</v>
      </c>
      <c r="D28" s="460">
        <f t="shared" si="4"/>
        <v>0</v>
      </c>
      <c r="E28" s="460">
        <f t="shared" si="5"/>
        <v>0</v>
      </c>
      <c r="F28" s="460">
        <f t="shared" si="6"/>
        <v>0</v>
      </c>
      <c r="G28" s="460">
        <f t="shared" si="7"/>
        <v>118.18378816448933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118.18378816448933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220.53887474677947</v>
      </c>
      <c r="C32" s="460">
        <f t="shared" ca="1" si="3"/>
        <v>0</v>
      </c>
      <c r="D32" s="460">
        <f t="shared" si="4"/>
        <v>320.64942406796212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541.18829881474153</v>
      </c>
    </row>
    <row r="33" spans="1:17" s="472" customFormat="1">
      <c r="A33" s="469" t="s">
        <v>567</v>
      </c>
      <c r="B33" s="470">
        <f ca="1">SUM(B22:B32)</f>
        <v>13638.530240502623</v>
      </c>
      <c r="C33" s="470">
        <f t="shared" ref="C33:Q33" ca="1" si="19">SUM(C22:C32)</f>
        <v>0</v>
      </c>
      <c r="D33" s="470">
        <f t="shared" ca="1" si="19"/>
        <v>15406.538800749691</v>
      </c>
      <c r="E33" s="470">
        <f t="shared" si="19"/>
        <v>1131.2868970832412</v>
      </c>
      <c r="F33" s="470">
        <f t="shared" ca="1" si="19"/>
        <v>13509.100678561397</v>
      </c>
      <c r="G33" s="470">
        <f t="shared" si="19"/>
        <v>10535.648634637528</v>
      </c>
      <c r="H33" s="470">
        <f t="shared" si="19"/>
        <v>1701.1561361520805</v>
      </c>
      <c r="I33" s="470">
        <f t="shared" si="19"/>
        <v>0</v>
      </c>
      <c r="J33" s="470">
        <f t="shared" si="19"/>
        <v>1121.857172520215</v>
      </c>
      <c r="K33" s="470">
        <f t="shared" si="19"/>
        <v>0</v>
      </c>
      <c r="L33" s="470">
        <f t="shared" ca="1" si="19"/>
        <v>0</v>
      </c>
      <c r="M33" s="470">
        <f t="shared" si="19"/>
        <v>0</v>
      </c>
      <c r="N33" s="470">
        <f t="shared" ca="1" si="19"/>
        <v>0</v>
      </c>
      <c r="O33" s="470">
        <f t="shared" si="19"/>
        <v>0</v>
      </c>
      <c r="P33" s="470">
        <f t="shared" si="19"/>
        <v>0</v>
      </c>
      <c r="Q33" s="470">
        <f t="shared" ca="1" si="19"/>
        <v>57044.118560206771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2978.1448896865695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2978.1448896865695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0.21082593382385478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0.21082593382385478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1</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19.066666666666666</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0.21082593382385478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0.21082593382385478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37007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4456</v>
      </c>
      <c r="C9" s="336">
        <v>4782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1949</v>
      </c>
    </row>
    <row r="15" spans="1:6">
      <c r="A15" s="1277" t="s">
        <v>184</v>
      </c>
      <c r="B15" s="333">
        <v>22</v>
      </c>
    </row>
    <row r="16" spans="1:6">
      <c r="A16" s="1277" t="s">
        <v>6</v>
      </c>
      <c r="B16" s="333">
        <v>352</v>
      </c>
    </row>
    <row r="17" spans="1:6">
      <c r="A17" s="1277" t="s">
        <v>7</v>
      </c>
      <c r="B17" s="333">
        <v>989</v>
      </c>
    </row>
    <row r="18" spans="1:6">
      <c r="A18" s="1277" t="s">
        <v>8</v>
      </c>
      <c r="B18" s="333">
        <v>952</v>
      </c>
    </row>
    <row r="19" spans="1:6">
      <c r="A19" s="1277" t="s">
        <v>9</v>
      </c>
      <c r="B19" s="333">
        <v>952</v>
      </c>
    </row>
    <row r="20" spans="1:6">
      <c r="A20" s="1277" t="s">
        <v>10</v>
      </c>
      <c r="B20" s="333">
        <v>814</v>
      </c>
    </row>
    <row r="21" spans="1:6">
      <c r="A21" s="1277" t="s">
        <v>11</v>
      </c>
      <c r="B21" s="333">
        <v>11440</v>
      </c>
    </row>
    <row r="22" spans="1:6">
      <c r="A22" s="1277" t="s">
        <v>12</v>
      </c>
      <c r="B22" s="333">
        <v>34857</v>
      </c>
    </row>
    <row r="23" spans="1:6">
      <c r="A23" s="1277" t="s">
        <v>13</v>
      </c>
      <c r="B23" s="333">
        <v>484</v>
      </c>
    </row>
    <row r="24" spans="1:6">
      <c r="A24" s="1277" t="s">
        <v>14</v>
      </c>
      <c r="B24" s="333">
        <v>24</v>
      </c>
    </row>
    <row r="25" spans="1:6">
      <c r="A25" s="1277" t="s">
        <v>15</v>
      </c>
      <c r="B25" s="333">
        <v>3092</v>
      </c>
    </row>
    <row r="26" spans="1:6">
      <c r="A26" s="1277" t="s">
        <v>16</v>
      </c>
      <c r="B26" s="333">
        <v>9</v>
      </c>
    </row>
    <row r="27" spans="1:6">
      <c r="A27" s="1277" t="s">
        <v>17</v>
      </c>
      <c r="B27" s="333">
        <v>0</v>
      </c>
    </row>
    <row r="28" spans="1:6">
      <c r="A28" s="1277" t="s">
        <v>18</v>
      </c>
      <c r="B28" s="333">
        <v>92356</v>
      </c>
    </row>
    <row r="29" spans="1:6">
      <c r="A29" s="1277" t="s">
        <v>959</v>
      </c>
      <c r="B29" s="333">
        <v>33</v>
      </c>
    </row>
    <row r="30" spans="1:6">
      <c r="A30" s="1273" t="s">
        <v>960</v>
      </c>
      <c r="B30" s="1273">
        <v>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0</v>
      </c>
      <c r="E38" s="333">
        <v>0</v>
      </c>
      <c r="F38" s="333">
        <v>0</v>
      </c>
    </row>
    <row r="39" spans="1:6">
      <c r="A39" s="1277" t="s">
        <v>30</v>
      </c>
      <c r="B39" s="1277" t="s">
        <v>31</v>
      </c>
      <c r="C39" s="333">
        <v>2403</v>
      </c>
      <c r="D39" s="333">
        <v>37378739.980572402</v>
      </c>
      <c r="E39" s="333">
        <v>4003</v>
      </c>
      <c r="F39" s="333">
        <v>17913121.332793601</v>
      </c>
    </row>
    <row r="40" spans="1:6">
      <c r="A40" s="1277" t="s">
        <v>30</v>
      </c>
      <c r="B40" s="1277" t="s">
        <v>29</v>
      </c>
      <c r="C40" s="333">
        <v>0</v>
      </c>
      <c r="D40" s="333">
        <v>0</v>
      </c>
      <c r="E40" s="333">
        <v>0</v>
      </c>
      <c r="F40" s="333">
        <v>0</v>
      </c>
    </row>
    <row r="41" spans="1:6">
      <c r="A41" s="1277" t="s">
        <v>32</v>
      </c>
      <c r="B41" s="1277" t="s">
        <v>33</v>
      </c>
      <c r="C41" s="333">
        <v>48</v>
      </c>
      <c r="D41" s="333">
        <v>1593504.15758368</v>
      </c>
      <c r="E41" s="333">
        <v>139</v>
      </c>
      <c r="F41" s="333">
        <v>3278375.6425002101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9</v>
      </c>
      <c r="F44" s="333">
        <v>212837.645020856</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4</v>
      </c>
      <c r="F47" s="333">
        <v>15319.302855202001</v>
      </c>
    </row>
    <row r="48" spans="1:6">
      <c r="A48" s="1277" t="s">
        <v>32</v>
      </c>
      <c r="B48" s="1277" t="s">
        <v>29</v>
      </c>
      <c r="C48" s="333">
        <v>30</v>
      </c>
      <c r="D48" s="333">
        <v>28953271.065676</v>
      </c>
      <c r="E48" s="333">
        <v>44</v>
      </c>
      <c r="F48" s="333">
        <v>21167809.105425201</v>
      </c>
    </row>
    <row r="49" spans="1:6">
      <c r="A49" s="1277" t="s">
        <v>32</v>
      </c>
      <c r="B49" s="1277" t="s">
        <v>40</v>
      </c>
      <c r="C49" s="333">
        <v>0</v>
      </c>
      <c r="D49" s="333">
        <v>0</v>
      </c>
      <c r="E49" s="333">
        <v>4</v>
      </c>
      <c r="F49" s="333">
        <v>291120.644848481</v>
      </c>
    </row>
    <row r="50" spans="1:6">
      <c r="A50" s="1277" t="s">
        <v>32</v>
      </c>
      <c r="B50" s="1277" t="s">
        <v>41</v>
      </c>
      <c r="C50" s="333">
        <v>9</v>
      </c>
      <c r="D50" s="333">
        <v>562569.73160466203</v>
      </c>
      <c r="E50" s="333">
        <v>12</v>
      </c>
      <c r="F50" s="333">
        <v>578049.65959570406</v>
      </c>
    </row>
    <row r="51" spans="1:6">
      <c r="A51" s="1277" t="s">
        <v>42</v>
      </c>
      <c r="B51" s="1277" t="s">
        <v>43</v>
      </c>
      <c r="C51" s="333">
        <v>5</v>
      </c>
      <c r="D51" s="333">
        <v>79035.054405088493</v>
      </c>
      <c r="E51" s="333">
        <v>148</v>
      </c>
      <c r="F51" s="333">
        <v>3812784.3508641999</v>
      </c>
    </row>
    <row r="52" spans="1:6">
      <c r="A52" s="1277" t="s">
        <v>42</v>
      </c>
      <c r="B52" s="1277" t="s">
        <v>29</v>
      </c>
      <c r="C52" s="333">
        <v>3</v>
      </c>
      <c r="D52" s="333">
        <v>53933.970783506003</v>
      </c>
      <c r="E52" s="333">
        <v>12</v>
      </c>
      <c r="F52" s="333">
        <v>285690.092056369</v>
      </c>
    </row>
    <row r="53" spans="1:6">
      <c r="A53" s="1277" t="s">
        <v>44</v>
      </c>
      <c r="B53" s="1277" t="s">
        <v>45</v>
      </c>
      <c r="C53" s="333">
        <v>98</v>
      </c>
      <c r="D53" s="333">
        <v>1587373.3864750599</v>
      </c>
      <c r="E53" s="333">
        <v>184</v>
      </c>
      <c r="F53" s="333">
        <v>1046070.9019367601</v>
      </c>
    </row>
    <row r="54" spans="1:6">
      <c r="A54" s="1277" t="s">
        <v>46</v>
      </c>
      <c r="B54" s="1277" t="s">
        <v>47</v>
      </c>
      <c r="C54" s="333">
        <v>0</v>
      </c>
      <c r="D54" s="333">
        <v>0</v>
      </c>
      <c r="E54" s="333">
        <v>1</v>
      </c>
      <c r="F54" s="333">
        <v>823348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20</v>
      </c>
      <c r="D57" s="333">
        <v>393312.70180687902</v>
      </c>
      <c r="E57" s="333">
        <v>66</v>
      </c>
      <c r="F57" s="333">
        <v>773194.55178238906</v>
      </c>
    </row>
    <row r="58" spans="1:6">
      <c r="A58" s="1277" t="s">
        <v>49</v>
      </c>
      <c r="B58" s="1277" t="s">
        <v>51</v>
      </c>
      <c r="C58" s="333">
        <v>5</v>
      </c>
      <c r="D58" s="333">
        <v>90790.253396600994</v>
      </c>
      <c r="E58" s="333">
        <v>9</v>
      </c>
      <c r="F58" s="333">
        <v>84585.226608000798</v>
      </c>
    </row>
    <row r="59" spans="1:6">
      <c r="A59" s="1277" t="s">
        <v>49</v>
      </c>
      <c r="B59" s="1277" t="s">
        <v>52</v>
      </c>
      <c r="C59" s="333">
        <v>49</v>
      </c>
      <c r="D59" s="333">
        <v>1273507.9927324799</v>
      </c>
      <c r="E59" s="333">
        <v>158</v>
      </c>
      <c r="F59" s="333">
        <v>5605833.9663079698</v>
      </c>
    </row>
    <row r="60" spans="1:6">
      <c r="A60" s="1277" t="s">
        <v>49</v>
      </c>
      <c r="B60" s="1277" t="s">
        <v>53</v>
      </c>
      <c r="C60" s="333">
        <v>30</v>
      </c>
      <c r="D60" s="333">
        <v>878572.74062935798</v>
      </c>
      <c r="E60" s="333">
        <v>45</v>
      </c>
      <c r="F60" s="333">
        <v>745789.34505472996</v>
      </c>
    </row>
    <row r="61" spans="1:6">
      <c r="A61" s="1277" t="s">
        <v>49</v>
      </c>
      <c r="B61" s="1277" t="s">
        <v>54</v>
      </c>
      <c r="C61" s="333">
        <v>50</v>
      </c>
      <c r="D61" s="333">
        <v>2723277.3700440698</v>
      </c>
      <c r="E61" s="333">
        <v>135</v>
      </c>
      <c r="F61" s="333">
        <v>1848012.5140133901</v>
      </c>
    </row>
    <row r="62" spans="1:6">
      <c r="A62" s="1277" t="s">
        <v>49</v>
      </c>
      <c r="B62" s="1277" t="s">
        <v>55</v>
      </c>
      <c r="C62" s="333">
        <v>12</v>
      </c>
      <c r="D62" s="333">
        <v>1915626.08270545</v>
      </c>
      <c r="E62" s="333">
        <v>10</v>
      </c>
      <c r="F62" s="333">
        <v>126233.825583788</v>
      </c>
    </row>
    <row r="63" spans="1:6">
      <c r="A63" s="1277" t="s">
        <v>49</v>
      </c>
      <c r="B63" s="1277" t="s">
        <v>29</v>
      </c>
      <c r="C63" s="333">
        <v>76</v>
      </c>
      <c r="D63" s="333">
        <v>6898250.4065572396</v>
      </c>
      <c r="E63" s="333">
        <v>83</v>
      </c>
      <c r="F63" s="333">
        <v>4816277.7273526201</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11</v>
      </c>
      <c r="F68" s="333">
        <v>111360.329695636</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26367463</v>
      </c>
      <c r="E73" s="333">
        <v>21198987.585584331</v>
      </c>
      <c r="F73" s="333">
        <v>24781308</v>
      </c>
    </row>
    <row r="74" spans="1:6">
      <c r="A74" s="1277" t="s">
        <v>64</v>
      </c>
      <c r="B74" s="1277" t="s">
        <v>774</v>
      </c>
      <c r="C74" s="1288" t="s">
        <v>775</v>
      </c>
      <c r="D74" s="333">
        <v>3016846.5418009022</v>
      </c>
      <c r="E74" s="333">
        <v>2415558.6118514398</v>
      </c>
      <c r="F74" s="333">
        <v>2738102.4395235777</v>
      </c>
    </row>
    <row r="75" spans="1:6">
      <c r="A75" s="1277" t="s">
        <v>65</v>
      </c>
      <c r="B75" s="1277" t="s">
        <v>772</v>
      </c>
      <c r="C75" s="1288" t="s">
        <v>776</v>
      </c>
      <c r="D75" s="333">
        <v>18980883</v>
      </c>
      <c r="E75" s="333">
        <v>14768743.286150454</v>
      </c>
      <c r="F75" s="333">
        <v>17775455</v>
      </c>
    </row>
    <row r="76" spans="1:6">
      <c r="A76" s="1277" t="s">
        <v>65</v>
      </c>
      <c r="B76" s="1277" t="s">
        <v>774</v>
      </c>
      <c r="C76" s="1288" t="s">
        <v>777</v>
      </c>
      <c r="D76" s="333">
        <v>1821829.5418009025</v>
      </c>
      <c r="E76" s="333">
        <v>1555160.1359437404</v>
      </c>
      <c r="F76" s="333">
        <v>1716902.4395235775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121358.9163981951</v>
      </c>
      <c r="C83" s="333">
        <v>109338.58690011784</v>
      </c>
      <c r="D83" s="333">
        <v>108413.12095284498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1266.1355107199286</v>
      </c>
    </row>
    <row r="92" spans="1:6">
      <c r="A92" s="1273" t="s">
        <v>69</v>
      </c>
      <c r="B92" s="336">
        <v>1712.0093789666412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1778</v>
      </c>
    </row>
    <row r="98" spans="1:6">
      <c r="A98" s="1277" t="s">
        <v>72</v>
      </c>
      <c r="B98" s="333">
        <v>0</v>
      </c>
    </row>
    <row r="99" spans="1:6">
      <c r="A99" s="1277" t="s">
        <v>73</v>
      </c>
      <c r="B99" s="333">
        <v>118</v>
      </c>
    </row>
    <row r="100" spans="1:6">
      <c r="A100" s="1277" t="s">
        <v>74</v>
      </c>
      <c r="B100" s="333">
        <v>322</v>
      </c>
    </row>
    <row r="101" spans="1:6">
      <c r="A101" s="1277" t="s">
        <v>75</v>
      </c>
      <c r="B101" s="333">
        <v>87</v>
      </c>
    </row>
    <row r="102" spans="1:6">
      <c r="A102" s="1277" t="s">
        <v>76</v>
      </c>
      <c r="B102" s="333">
        <v>79</v>
      </c>
    </row>
    <row r="103" spans="1:6">
      <c r="A103" s="1277" t="s">
        <v>77</v>
      </c>
      <c r="B103" s="333">
        <v>155</v>
      </c>
    </row>
    <row r="104" spans="1:6">
      <c r="A104" s="1277" t="s">
        <v>78</v>
      </c>
      <c r="B104" s="333">
        <v>1597</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1</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18</v>
      </c>
    </row>
    <row r="130" spans="1:6">
      <c r="A130" s="1277" t="s">
        <v>295</v>
      </c>
      <c r="B130" s="333">
        <v>0</v>
      </c>
    </row>
    <row r="131" spans="1:6">
      <c r="A131" s="1277" t="s">
        <v>296</v>
      </c>
      <c r="B131" s="333">
        <v>0</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64690.951407797984</v>
      </c>
      <c r="C3" s="43" t="s">
        <v>170</v>
      </c>
      <c r="D3" s="43"/>
      <c r="E3" s="156"/>
      <c r="F3" s="43"/>
      <c r="G3" s="43"/>
      <c r="H3" s="43"/>
      <c r="I3" s="43"/>
      <c r="J3" s="43"/>
      <c r="K3" s="96"/>
    </row>
    <row r="4" spans="1:11">
      <c r="A4" s="364" t="s">
        <v>171</v>
      </c>
      <c r="B4" s="49">
        <f>IF(ISERROR('SEAP template'!B78+'SEAP template'!C78),0,'SEAP template'!B78+'SEAP template'!C78)</f>
        <v>2978.1448896865695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0.21082593382385478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823.34799999999996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823.34799999999996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0.21082593382385478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173.58311096200319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17913.121332793602</v>
      </c>
      <c r="C5" s="17">
        <f>IF(ISERROR('Eigen informatie GS &amp; warmtenet'!B57),0,'Eigen informatie GS &amp; warmtenet'!B57)</f>
        <v>0</v>
      </c>
      <c r="D5" s="30">
        <f>(SUM(HH_hh_gas_kWh,HH_rest_gas_kWh)/1000)*0.902</f>
        <v>33715.623462476309</v>
      </c>
      <c r="E5" s="17">
        <f>B46*B57</f>
        <v>4237.2763237612326</v>
      </c>
      <c r="F5" s="17">
        <f>B51*B62</f>
        <v>23588.77851282779</v>
      </c>
      <c r="G5" s="18"/>
      <c r="H5" s="17"/>
      <c r="I5" s="17"/>
      <c r="J5" s="17">
        <f>B50*B61+C50*C61</f>
        <v>2653.4594730722461</v>
      </c>
      <c r="K5" s="17"/>
      <c r="L5" s="17"/>
      <c r="M5" s="17"/>
      <c r="N5" s="17">
        <f>B48*B59+C48*C59</f>
        <v>9039.0738081963027</v>
      </c>
      <c r="O5" s="17">
        <f>B69*B70*B71</f>
        <v>29.703333333333333</v>
      </c>
      <c r="P5" s="17">
        <f>B77*B78*B79/1000-B77*B78*B79/1000/B80</f>
        <v>114.4</v>
      </c>
    </row>
    <row r="6" spans="1:16">
      <c r="A6" s="16" t="s">
        <v>632</v>
      </c>
      <c r="B6" s="779">
        <f>kWh_PV_kleiner_dan_10kW</f>
        <v>1266.1355107199286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19179.256843513529</v>
      </c>
      <c r="C8" s="21">
        <f>C5</f>
        <v>0</v>
      </c>
      <c r="D8" s="21">
        <f>D5</f>
        <v>33715.623462476309</v>
      </c>
      <c r="E8" s="21">
        <f>E5</f>
        <v>4237.2763237612326</v>
      </c>
      <c r="F8" s="21">
        <f>F5</f>
        <v>23588.77851282779</v>
      </c>
      <c r="G8" s="21"/>
      <c r="H8" s="21"/>
      <c r="I8" s="21"/>
      <c r="J8" s="21">
        <f>J5</f>
        <v>2653.4594730722461</v>
      </c>
      <c r="K8" s="21"/>
      <c r="L8" s="21">
        <f>L5</f>
        <v>0</v>
      </c>
      <c r="M8" s="21">
        <f>M5</f>
        <v>0</v>
      </c>
      <c r="N8" s="21">
        <f>N5</f>
        <v>9039.0738081963027</v>
      </c>
      <c r="O8" s="21">
        <f>O5</f>
        <v>29.703333333333333</v>
      </c>
      <c r="P8" s="21">
        <f>P5</f>
        <v>114.4</v>
      </c>
    </row>
    <row r="9" spans="1:16">
      <c r="B9" s="19"/>
      <c r="C9" s="19"/>
      <c r="D9" s="260"/>
      <c r="E9" s="19"/>
      <c r="F9" s="19"/>
      <c r="G9" s="19"/>
      <c r="H9" s="19"/>
      <c r="I9" s="19"/>
      <c r="J9" s="19"/>
      <c r="K9" s="19"/>
      <c r="L9" s="19"/>
      <c r="M9" s="19"/>
      <c r="N9" s="19"/>
      <c r="O9" s="19"/>
      <c r="P9" s="19"/>
    </row>
    <row r="10" spans="1:16">
      <c r="A10" s="24" t="s">
        <v>214</v>
      </c>
      <c r="B10" s="25">
        <f ca="1">'EF ele_warmte'!B12</f>
        <v>0.21082593382385478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4043.4847340812971</v>
      </c>
      <c r="C12" s="23">
        <f ca="1">C10*C8</f>
        <v>0</v>
      </c>
      <c r="D12" s="23">
        <f>D8*D10</f>
        <v>6810.5559394202146</v>
      </c>
      <c r="E12" s="23">
        <f>E10*E8</f>
        <v>961.86172549379978</v>
      </c>
      <c r="F12" s="23">
        <f>F10*F8</f>
        <v>6298.2038629250201</v>
      </c>
      <c r="G12" s="23"/>
      <c r="H12" s="23"/>
      <c r="I12" s="23"/>
      <c r="J12" s="23">
        <f>J10*J8</f>
        <v>939.3246534675751</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1778</v>
      </c>
      <c r="C18" s="167" t="s">
        <v>111</v>
      </c>
      <c r="D18" s="229"/>
      <c r="E18" s="15"/>
    </row>
    <row r="19" spans="1:7">
      <c r="A19" s="172" t="s">
        <v>72</v>
      </c>
      <c r="B19" s="37">
        <f>aantalw2001_ander</f>
        <v>0</v>
      </c>
      <c r="C19" s="167" t="s">
        <v>111</v>
      </c>
      <c r="D19" s="230"/>
      <c r="E19" s="15"/>
    </row>
    <row r="20" spans="1:7">
      <c r="A20" s="172" t="s">
        <v>73</v>
      </c>
      <c r="B20" s="37">
        <f>aantalw2001_propaan</f>
        <v>118</v>
      </c>
      <c r="C20" s="168">
        <f>IF(ISERROR(B20/SUM($B$20,$B$21,$B$22)*100),0,B20/SUM($B$20,$B$21,$B$22)*100)</f>
        <v>22.39089184060721</v>
      </c>
      <c r="D20" s="230"/>
      <c r="E20" s="15"/>
    </row>
    <row r="21" spans="1:7">
      <c r="A21" s="172" t="s">
        <v>74</v>
      </c>
      <c r="B21" s="37">
        <f>aantalw2001_elektriciteit</f>
        <v>322</v>
      </c>
      <c r="C21" s="168">
        <f>IF(ISERROR(B21/SUM($B$20,$B$21,$B$22)*100),0,B21/SUM($B$20,$B$21,$B$22)*100)</f>
        <v>61.100569259962043</v>
      </c>
      <c r="D21" s="230"/>
      <c r="E21" s="15"/>
    </row>
    <row r="22" spans="1:7">
      <c r="A22" s="172" t="s">
        <v>75</v>
      </c>
      <c r="B22" s="37">
        <f>aantalw2001_hout</f>
        <v>87</v>
      </c>
      <c r="C22" s="168">
        <f>IF(ISERROR(B22/SUM($B$20,$B$21,$B$22)*100),0,B22/SUM($B$20,$B$21,$B$22)*100)</f>
        <v>16.508538899430743</v>
      </c>
      <c r="D22" s="230"/>
      <c r="E22" s="15"/>
    </row>
    <row r="23" spans="1:7">
      <c r="A23" s="172" t="s">
        <v>76</v>
      </c>
      <c r="B23" s="37">
        <f>aantalw2001_niet_gespec</f>
        <v>79</v>
      </c>
      <c r="C23" s="167" t="s">
        <v>111</v>
      </c>
      <c r="D23" s="229"/>
      <c r="E23" s="15"/>
    </row>
    <row r="24" spans="1:7">
      <c r="A24" s="172" t="s">
        <v>77</v>
      </c>
      <c r="B24" s="37">
        <f>aantalw2001_steenkool</f>
        <v>155</v>
      </c>
      <c r="C24" s="167" t="s">
        <v>111</v>
      </c>
      <c r="D24" s="230"/>
      <c r="E24" s="15"/>
    </row>
    <row r="25" spans="1:7">
      <c r="A25" s="172" t="s">
        <v>78</v>
      </c>
      <c r="B25" s="37">
        <f>aantalw2001_stookolie</f>
        <v>1597</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4456</v>
      </c>
      <c r="C28" s="36"/>
      <c r="D28" s="229"/>
    </row>
    <row r="29" spans="1:7" s="15" customFormat="1">
      <c r="A29" s="231" t="s">
        <v>713</v>
      </c>
      <c r="B29" s="37">
        <f>SUM(HH_hh_gas_aantal,HH_rest_gas_aantal)</f>
        <v>2403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2403</v>
      </c>
      <c r="C32" s="168">
        <f>IF(ISERROR(B32/SUM($B$32,$B$34,$B$35,$B$36,$B$38,$B$39)*100),0,B32/SUM($B$32,$B$34,$B$35,$B$36,$B$38,$B$39)*100)</f>
        <v>54</v>
      </c>
      <c r="D32" s="234"/>
      <c r="G32" s="15"/>
    </row>
    <row r="33" spans="1:7">
      <c r="A33" s="172" t="s">
        <v>72</v>
      </c>
      <c r="B33" s="34" t="s">
        <v>111</v>
      </c>
      <c r="C33" s="168"/>
      <c r="D33" s="234"/>
      <c r="G33" s="15"/>
    </row>
    <row r="34" spans="1:7">
      <c r="A34" s="172" t="s">
        <v>73</v>
      </c>
      <c r="B34" s="33">
        <f>IF((($B$28-$B$32-$B$39-$B$77-$B$38)*C20/100)&lt;0,0,($B$28-$B$32-$B$39-$B$77-$B$38)*C20/100)</f>
        <v>205.99620493358634</v>
      </c>
      <c r="C34" s="168">
        <f>IF(ISERROR(B34/SUM($B$32,$B$34,$B$35,$B$36,$B$38,$B$39)*100),0,B34/SUM($B$32,$B$34,$B$35,$B$36,$B$38,$B$39)*100)</f>
        <v>4.6291282007547494</v>
      </c>
      <c r="D34" s="234"/>
      <c r="G34" s="15"/>
    </row>
    <row r="35" spans="1:7">
      <c r="A35" s="172" t="s">
        <v>74</v>
      </c>
      <c r="B35" s="33">
        <f>IF((($B$28-$B$32-$B$39-$B$77-$B$38)*C21/100)&lt;0,0,($B$28-$B$32-$B$39-$B$77-$B$38)*C21/100)</f>
        <v>562.12523719165085</v>
      </c>
      <c r="C35" s="168">
        <f>IF(ISERROR(B35/SUM($B$32,$B$34,$B$35,$B$36,$B$38,$B$39)*100),0,B35/SUM($B$32,$B$34,$B$35,$B$36,$B$38,$B$39)*100)</f>
        <v>12.63202780205957</v>
      </c>
      <c r="D35" s="234"/>
      <c r="G35" s="15"/>
    </row>
    <row r="36" spans="1:7">
      <c r="A36" s="172" t="s">
        <v>75</v>
      </c>
      <c r="B36" s="33">
        <f>IF((($B$28-$B$32-$B$39-$B$77-$B$38)*C22/100)&lt;0,0,($B$28-$B$32-$B$39-$B$77-$B$38)*C22/100)</f>
        <v>151.87855787476283</v>
      </c>
      <c r="C36" s="168">
        <f>IF(ISERROR(B36/SUM($B$32,$B$34,$B$35,$B$36,$B$38,$B$39)*100),0,B36/SUM($B$32,$B$34,$B$35,$B$36,$B$38,$B$39)*100)</f>
        <v>3.4130013005564681</v>
      </c>
      <c r="D36" s="234"/>
      <c r="G36" s="15"/>
    </row>
    <row r="37" spans="1:7">
      <c r="A37" s="172" t="s">
        <v>76</v>
      </c>
      <c r="B37" s="34" t="s">
        <v>111</v>
      </c>
      <c r="C37" s="168"/>
      <c r="D37" s="174"/>
      <c r="G37" s="15"/>
    </row>
    <row r="38" spans="1:7">
      <c r="A38" s="172" t="s">
        <v>77</v>
      </c>
      <c r="B38" s="33">
        <f>IF((B24-(B29-B18)*0.1)&lt;0,0,B24-(B29-B18)*0.1)</f>
        <v>92.5</v>
      </c>
      <c r="C38" s="168">
        <f>IF(ISERROR(B38/SUM($B$32,$B$34,$B$35,$B$36,$B$38,$B$39)*100),0,B38/SUM($B$32,$B$34,$B$35,$B$36,$B$38,$B$39)*100)</f>
        <v>2.0786516853932584</v>
      </c>
      <c r="D38" s="235"/>
      <c r="G38" s="15"/>
    </row>
    <row r="39" spans="1:7">
      <c r="A39" s="172" t="s">
        <v>78</v>
      </c>
      <c r="B39" s="33">
        <f>IF((B25-(B29-B18))&lt;0,0,B25-(B29-B18)*0.9)</f>
        <v>1034.5</v>
      </c>
      <c r="C39" s="168">
        <f>IF(ISERROR(B39/SUM($B$32,$B$34,$B$35,$B$36,$B$38,$B$39)*100),0,B39/SUM($B$32,$B$34,$B$35,$B$36,$B$38,$B$39)*100)</f>
        <v>23.247191011235955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2403</v>
      </c>
      <c r="C44" s="34" t="s">
        <v>111</v>
      </c>
      <c r="D44" s="175"/>
    </row>
    <row r="45" spans="1:7">
      <c r="A45" s="172" t="s">
        <v>72</v>
      </c>
      <c r="B45" s="33" t="str">
        <f t="shared" si="0"/>
        <v>-</v>
      </c>
      <c r="C45" s="34" t="s">
        <v>111</v>
      </c>
      <c r="D45" s="175"/>
    </row>
    <row r="46" spans="1:7">
      <c r="A46" s="172" t="s">
        <v>73</v>
      </c>
      <c r="B46" s="33">
        <f t="shared" si="0"/>
        <v>205.99620493358634</v>
      </c>
      <c r="C46" s="34" t="s">
        <v>111</v>
      </c>
      <c r="D46" s="175"/>
    </row>
    <row r="47" spans="1:7">
      <c r="A47" s="172" t="s">
        <v>74</v>
      </c>
      <c r="B47" s="33">
        <f t="shared" si="0"/>
        <v>562.12523719165085</v>
      </c>
      <c r="C47" s="34" t="s">
        <v>111</v>
      </c>
      <c r="D47" s="175"/>
    </row>
    <row r="48" spans="1:7">
      <c r="A48" s="172" t="s">
        <v>75</v>
      </c>
      <c r="B48" s="33">
        <f t="shared" si="0"/>
        <v>151.87855787476283</v>
      </c>
      <c r="C48" s="33">
        <f>B48*10</f>
        <v>1518.7855787476283</v>
      </c>
      <c r="D48" s="235"/>
    </row>
    <row r="49" spans="1:6">
      <c r="A49" s="172" t="s">
        <v>76</v>
      </c>
      <c r="B49" s="33" t="str">
        <f t="shared" si="0"/>
        <v>-</v>
      </c>
      <c r="C49" s="34" t="s">
        <v>111</v>
      </c>
      <c r="D49" s="235"/>
    </row>
    <row r="50" spans="1:6">
      <c r="A50" s="172" t="s">
        <v>77</v>
      </c>
      <c r="B50" s="33">
        <f t="shared" si="0"/>
        <v>92.5</v>
      </c>
      <c r="C50" s="33">
        <f>B50*2</f>
        <v>185</v>
      </c>
      <c r="D50" s="235"/>
    </row>
    <row r="51" spans="1:6">
      <c r="A51" s="172" t="s">
        <v>78</v>
      </c>
      <c r="B51" s="33">
        <f t="shared" si="0"/>
        <v>1034.5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13999.927156702888</v>
      </c>
      <c r="C5" s="17">
        <f>IF(ISERROR('Eigen informatie GS &amp; warmtenet'!B58),0,'Eigen informatie GS &amp; warmtenet'!B58)</f>
        <v>0</v>
      </c>
      <c r="D5" s="30">
        <f>SUM(D6:D12)</f>
        <v>12784.350468180615</v>
      </c>
      <c r="E5" s="17">
        <f>SUM(E6:E12)</f>
        <v>243.67956202819187</v>
      </c>
      <c r="F5" s="17">
        <f>SUM(F6:F12)</f>
        <v>2541.9553982387752</v>
      </c>
      <c r="G5" s="18"/>
      <c r="H5" s="17"/>
      <c r="I5" s="17"/>
      <c r="J5" s="17">
        <f>SUM(J6:J12)</f>
        <v>0</v>
      </c>
      <c r="K5" s="17"/>
      <c r="L5" s="17"/>
      <c r="M5" s="17"/>
      <c r="N5" s="17">
        <f>SUM(N6:N12)</f>
        <v>332.81693731360622</v>
      </c>
      <c r="O5" s="17">
        <f>B38*B39*B40</f>
        <v>0</v>
      </c>
      <c r="P5" s="17">
        <f>B46*B47*B48/1000-B46*B47*B48/1000/B49</f>
        <v>0</v>
      </c>
      <c r="R5" s="32"/>
    </row>
    <row r="6" spans="1:18">
      <c r="A6" s="32" t="s">
        <v>54</v>
      </c>
      <c r="B6" s="37">
        <f>B26</f>
        <v>1848.01251401339</v>
      </c>
      <c r="C6" s="33"/>
      <c r="D6" s="37">
        <f>IF(ISERROR(TER_kantoor_gas_kWh/1000),0,TER_kantoor_gas_kWh/1000)*0.902</f>
        <v>2456.396187779751</v>
      </c>
      <c r="E6" s="33">
        <f>$C$26*'E Balans VL '!I12/100/3.6*1000000</f>
        <v>64.687707603477534</v>
      </c>
      <c r="F6" s="33">
        <f>$C$26*('E Balans VL '!L12+'E Balans VL '!N12)/100/3.6*1000000</f>
        <v>280.19837356431231</v>
      </c>
      <c r="G6" s="34"/>
      <c r="H6" s="33"/>
      <c r="I6" s="33"/>
      <c r="J6" s="33">
        <f>$C$26*('E Balans VL '!D12+'E Balans VL '!E12)/100/3.6*1000000</f>
        <v>0</v>
      </c>
      <c r="K6" s="33"/>
      <c r="L6" s="33"/>
      <c r="M6" s="33"/>
      <c r="N6" s="33">
        <f>$C$26*'E Balans VL '!Y12/100/3.6*1000000</f>
        <v>14.284558321325234</v>
      </c>
      <c r="O6" s="33"/>
      <c r="P6" s="33"/>
      <c r="R6" s="32"/>
    </row>
    <row r="7" spans="1:18">
      <c r="A7" s="32" t="s">
        <v>53</v>
      </c>
      <c r="B7" s="37">
        <f t="shared" ref="B7:B12" si="0">B27</f>
        <v>745.78934505473001</v>
      </c>
      <c r="C7" s="33"/>
      <c r="D7" s="37">
        <f>IF(ISERROR(TER_horeca_gas_kWh/1000),0,TER_horeca_gas_kWh/1000)*0.902</f>
        <v>792.47261204768097</v>
      </c>
      <c r="E7" s="33">
        <f>$C$27*'E Balans VL '!I9/100/3.6*1000000</f>
        <v>42.072435644278791</v>
      </c>
      <c r="F7" s="33">
        <f>$C$27*('E Balans VL '!L9+'E Balans VL '!N9)/100/3.6*1000000</f>
        <v>129.92063115976094</v>
      </c>
      <c r="G7" s="34"/>
      <c r="H7" s="33"/>
      <c r="I7" s="33"/>
      <c r="J7" s="33">
        <f>$C$27*('E Balans VL '!D9+'E Balans VL '!E9)/100/3.6*1000000</f>
        <v>0</v>
      </c>
      <c r="K7" s="33"/>
      <c r="L7" s="33"/>
      <c r="M7" s="33"/>
      <c r="N7" s="33">
        <f>$C$27*'E Balans VL '!Y9/100/3.6*1000000</f>
        <v>0</v>
      </c>
      <c r="O7" s="33"/>
      <c r="P7" s="33"/>
      <c r="R7" s="32"/>
    </row>
    <row r="8" spans="1:18">
      <c r="A8" s="6" t="s">
        <v>52</v>
      </c>
      <c r="B8" s="37">
        <f t="shared" si="0"/>
        <v>5605.8339663079696</v>
      </c>
      <c r="C8" s="33"/>
      <c r="D8" s="37">
        <f>IF(ISERROR(TER_handel_gas_kWh/1000),0,TER_handel_gas_kWh/1000)*0.902</f>
        <v>1148.704209444697</v>
      </c>
      <c r="E8" s="33">
        <f>$C$28*'E Balans VL '!I13/100/3.6*1000000</f>
        <v>28.779782038554448</v>
      </c>
      <c r="F8" s="33">
        <f>$C$28*('E Balans VL '!L13+'E Balans VL '!N13)/100/3.6*1000000</f>
        <v>864.33297857807804</v>
      </c>
      <c r="G8" s="34"/>
      <c r="H8" s="33"/>
      <c r="I8" s="33"/>
      <c r="J8" s="33">
        <f>$C$28*('E Balans VL '!D13+'E Balans VL '!E13)/100/3.6*1000000</f>
        <v>0</v>
      </c>
      <c r="K8" s="33"/>
      <c r="L8" s="33"/>
      <c r="M8" s="33"/>
      <c r="N8" s="33">
        <f>$C$28*'E Balans VL '!Y13/100/3.6*1000000</f>
        <v>2.6219169744565169</v>
      </c>
      <c r="O8" s="33"/>
      <c r="P8" s="33"/>
      <c r="R8" s="32"/>
    </row>
    <row r="9" spans="1:18">
      <c r="A9" s="32" t="s">
        <v>51</v>
      </c>
      <c r="B9" s="37">
        <f t="shared" si="0"/>
        <v>84.585226608000795</v>
      </c>
      <c r="C9" s="33"/>
      <c r="D9" s="37">
        <f>IF(ISERROR(TER_gezond_gas_kWh/1000),0,TER_gezond_gas_kWh/1000)*0.902</f>
        <v>81.892808563734093</v>
      </c>
      <c r="E9" s="33">
        <f>$C$29*'E Balans VL '!I10/100/3.6*1000000</f>
        <v>3.5059974034622118E-2</v>
      </c>
      <c r="F9" s="33">
        <f>$C$29*('E Balans VL '!L10+'E Balans VL '!N10)/100/3.6*1000000</f>
        <v>20.832128199580708</v>
      </c>
      <c r="G9" s="34"/>
      <c r="H9" s="33"/>
      <c r="I9" s="33"/>
      <c r="J9" s="33">
        <f>$C$29*('E Balans VL '!D10+'E Balans VL '!E10)/100/3.6*1000000</f>
        <v>0</v>
      </c>
      <c r="K9" s="33"/>
      <c r="L9" s="33"/>
      <c r="M9" s="33"/>
      <c r="N9" s="33">
        <f>$C$29*'E Balans VL '!Y10/100/3.6*1000000</f>
        <v>0.73102571691210305</v>
      </c>
      <c r="O9" s="33"/>
      <c r="P9" s="33"/>
      <c r="R9" s="32"/>
    </row>
    <row r="10" spans="1:18">
      <c r="A10" s="32" t="s">
        <v>50</v>
      </c>
      <c r="B10" s="37">
        <f t="shared" si="0"/>
        <v>773.194551782389</v>
      </c>
      <c r="C10" s="33"/>
      <c r="D10" s="37">
        <f>IF(ISERROR(TER_ander_gas_kWh/1000),0,TER_ander_gas_kWh/1000)*0.902</f>
        <v>354.76805702980488</v>
      </c>
      <c r="E10" s="33">
        <f>$C$30*'E Balans VL '!I14/100/3.6*1000000</f>
        <v>4.7134130644606911</v>
      </c>
      <c r="F10" s="33">
        <f>$C$30*('E Balans VL '!L14+'E Balans VL '!N14)/100/3.6*1000000</f>
        <v>204.98446724141743</v>
      </c>
      <c r="G10" s="34"/>
      <c r="H10" s="33"/>
      <c r="I10" s="33"/>
      <c r="J10" s="33">
        <f>$C$30*('E Balans VL '!D14+'E Balans VL '!E14)/100/3.6*1000000</f>
        <v>0</v>
      </c>
      <c r="K10" s="33"/>
      <c r="L10" s="33"/>
      <c r="M10" s="33"/>
      <c r="N10" s="33">
        <f>$C$30*'E Balans VL '!Y14/100/3.6*1000000</f>
        <v>178.20463668131947</v>
      </c>
      <c r="O10" s="33"/>
      <c r="P10" s="33"/>
      <c r="R10" s="32"/>
    </row>
    <row r="11" spans="1:18">
      <c r="A11" s="32" t="s">
        <v>55</v>
      </c>
      <c r="B11" s="37">
        <f t="shared" si="0"/>
        <v>126.233825583788</v>
      </c>
      <c r="C11" s="33"/>
      <c r="D11" s="37">
        <f>IF(ISERROR(TER_onderwijs_gas_kWh/1000),0,TER_onderwijs_gas_kWh/1000)*0.902</f>
        <v>1727.8947266003161</v>
      </c>
      <c r="E11" s="33">
        <f>$C$31*'E Balans VL '!I11/100/3.6*1000000</f>
        <v>9.6196748159584677E-2</v>
      </c>
      <c r="F11" s="33">
        <f>$C$31*('E Balans VL '!L11+'E Balans VL '!N11)/100/3.6*1000000</f>
        <v>91.349714093909853</v>
      </c>
      <c r="G11" s="34"/>
      <c r="H11" s="33"/>
      <c r="I11" s="33"/>
      <c r="J11" s="33">
        <f>$C$31*('E Balans VL '!D11+'E Balans VL '!E11)/100/3.6*1000000</f>
        <v>0</v>
      </c>
      <c r="K11" s="33"/>
      <c r="L11" s="33"/>
      <c r="M11" s="33"/>
      <c r="N11" s="33">
        <f>$C$31*'E Balans VL '!Y11/100/3.6*1000000</f>
        <v>0.37204125332999322</v>
      </c>
      <c r="O11" s="33"/>
      <c r="P11" s="33"/>
      <c r="R11" s="32"/>
    </row>
    <row r="12" spans="1:18">
      <c r="A12" s="32" t="s">
        <v>260</v>
      </c>
      <c r="B12" s="37">
        <f t="shared" si="0"/>
        <v>4816.2777273526199</v>
      </c>
      <c r="C12" s="33"/>
      <c r="D12" s="37">
        <f>IF(ISERROR(TER_rest_gas_kWh/1000),0,TER_rest_gas_kWh/1000)*0.902</f>
        <v>6222.2218667146299</v>
      </c>
      <c r="E12" s="33">
        <f>$C$32*'E Balans VL '!I8/100/3.6*1000000</f>
        <v>103.2949669552262</v>
      </c>
      <c r="F12" s="33">
        <f>$C$32*('E Balans VL '!L8+'E Balans VL '!N8)/100/3.6*1000000</f>
        <v>950.33710540171569</v>
      </c>
      <c r="G12" s="34"/>
      <c r="H12" s="33"/>
      <c r="I12" s="33"/>
      <c r="J12" s="33">
        <f>$C$32*('E Balans VL '!D8+'E Balans VL '!E8)/100/3.6*1000000</f>
        <v>0</v>
      </c>
      <c r="K12" s="33"/>
      <c r="L12" s="33"/>
      <c r="M12" s="33"/>
      <c r="N12" s="33">
        <f>$C$32*'E Balans VL '!Y8/100/3.6*1000000</f>
        <v>136.60275836626286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13999.927156702888</v>
      </c>
      <c r="C16" s="21">
        <f ca="1">C5+C13+C14</f>
        <v>0</v>
      </c>
      <c r="D16" s="21">
        <f t="shared" ref="D16:N16" ca="1" si="1">MAX((D5+D13+D14),0)</f>
        <v>12784.350468180615</v>
      </c>
      <c r="E16" s="21">
        <f t="shared" si="1"/>
        <v>243.67956202819187</v>
      </c>
      <c r="F16" s="21">
        <f t="shared" ca="1" si="1"/>
        <v>2541.9553982387752</v>
      </c>
      <c r="G16" s="21">
        <f t="shared" si="1"/>
        <v>0</v>
      </c>
      <c r="H16" s="21">
        <f t="shared" si="1"/>
        <v>0</v>
      </c>
      <c r="I16" s="21">
        <f t="shared" si="1"/>
        <v>0</v>
      </c>
      <c r="J16" s="21">
        <f t="shared" si="1"/>
        <v>0</v>
      </c>
      <c r="K16" s="21">
        <f t="shared" si="1"/>
        <v>0</v>
      </c>
      <c r="L16" s="21">
        <f t="shared" ca="1" si="1"/>
        <v>0</v>
      </c>
      <c r="M16" s="21">
        <f t="shared" si="1"/>
        <v>0</v>
      </c>
      <c r="N16" s="21">
        <f t="shared" ca="1" si="1"/>
        <v>332.81693731360622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0.21082593382385478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2951.5477162778307</v>
      </c>
      <c r="C20" s="23">
        <f t="shared" ref="C20:P20" ca="1" si="2">C16*C18</f>
        <v>0</v>
      </c>
      <c r="D20" s="23">
        <f t="shared" ca="1" si="2"/>
        <v>2582.4387945724843</v>
      </c>
      <c r="E20" s="23">
        <f t="shared" si="2"/>
        <v>55.315260580399553</v>
      </c>
      <c r="F20" s="23">
        <f t="shared" ca="1" si="2"/>
        <v>678.70209132975299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1848.01251401339</v>
      </c>
      <c r="C26" s="39">
        <f>IF(ISERROR(B26*3.6/1000000/'E Balans VL '!Z12*100),0,B26*3.6/1000000/'E Balans VL '!Z12*100)</f>
        <v>3.8888358659344528E-2</v>
      </c>
      <c r="D26" s="238" t="s">
        <v>719</v>
      </c>
      <c r="F26" s="6"/>
    </row>
    <row r="27" spans="1:18">
      <c r="A27" s="232" t="s">
        <v>53</v>
      </c>
      <c r="B27" s="33">
        <f>IF(ISERROR(TER_horeca_ele_kWh/1000),0,TER_horeca_ele_kWh/1000)</f>
        <v>745.78934505473001</v>
      </c>
      <c r="C27" s="39">
        <f>IF(ISERROR(B27*3.6/1000000/'E Balans VL '!Z9*100),0,B27*3.6/1000000/'E Balans VL '!Z9*100)</f>
        <v>6.3143888197131418E-2</v>
      </c>
      <c r="D27" s="238" t="s">
        <v>719</v>
      </c>
      <c r="F27" s="6"/>
    </row>
    <row r="28" spans="1:18">
      <c r="A28" s="172" t="s">
        <v>52</v>
      </c>
      <c r="B28" s="33">
        <f>IF(ISERROR(TER_handel_ele_kWh/1000),0,TER_handel_ele_kWh/1000)</f>
        <v>5605.8339663079696</v>
      </c>
      <c r="C28" s="39">
        <f>IF(ISERROR(B28*3.6/1000000/'E Balans VL '!Z13*100),0,B28*3.6/1000000/'E Balans VL '!Z13*100)</f>
        <v>0.15519673818786486</v>
      </c>
      <c r="D28" s="238" t="s">
        <v>719</v>
      </c>
      <c r="F28" s="6"/>
    </row>
    <row r="29" spans="1:18">
      <c r="A29" s="232" t="s">
        <v>51</v>
      </c>
      <c r="B29" s="33">
        <f>IF(ISERROR(TER_gezond_ele_kWh/1000),0,TER_gezond_ele_kWh/1000)</f>
        <v>84.585226608000795</v>
      </c>
      <c r="C29" s="39">
        <f>IF(ISERROR(B29*3.6/1000000/'E Balans VL '!Z10*100),0,B29*3.6/1000000/'E Balans VL '!Z10*100)</f>
        <v>1.0995141722472712E-2</v>
      </c>
      <c r="D29" s="238" t="s">
        <v>719</v>
      </c>
      <c r="F29" s="6"/>
    </row>
    <row r="30" spans="1:18">
      <c r="A30" s="232" t="s">
        <v>50</v>
      </c>
      <c r="B30" s="33">
        <f>IF(ISERROR(TER_ander_ele_kWh/1000),0,TER_ander_ele_kWh/1000)</f>
        <v>773.194551782389</v>
      </c>
      <c r="C30" s="39">
        <f>IF(ISERROR(B30*3.6/1000000/'E Balans VL '!Z14*100),0,B30*3.6/1000000/'E Balans VL '!Z14*100)</f>
        <v>5.9929668498843514E-2</v>
      </c>
      <c r="D30" s="238" t="s">
        <v>719</v>
      </c>
      <c r="F30" s="6"/>
    </row>
    <row r="31" spans="1:18">
      <c r="A31" s="232" t="s">
        <v>55</v>
      </c>
      <c r="B31" s="33">
        <f>IF(ISERROR(TER_onderwijs_ele_kWh/1000),0,TER_onderwijs_ele_kWh/1000)</f>
        <v>126.233825583788</v>
      </c>
      <c r="C31" s="39">
        <f>IF(ISERROR(B31*3.6/1000000/'E Balans VL '!Z11*100),0,B31*3.6/1000000/'E Balans VL '!Z11*100)</f>
        <v>2.4150681813047272E-2</v>
      </c>
      <c r="D31" s="238" t="s">
        <v>719</v>
      </c>
    </row>
    <row r="32" spans="1:18">
      <c r="A32" s="232" t="s">
        <v>260</v>
      </c>
      <c r="B32" s="33">
        <f>IF(ISERROR(TER_rest_ele_kWh/1000),0,TER_rest_ele_kWh/1000)</f>
        <v>4816.2777273526199</v>
      </c>
      <c r="C32" s="39">
        <f>IF(ISERROR(B32*3.6/1000000/'E Balans VL '!Z8*100),0,B32*3.6/1000000/'E Balans VL '!Z8*100)</f>
        <v>3.9713908356646094E-2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25543.512000245653</v>
      </c>
      <c r="C5" s="17">
        <f>IF(ISERROR('Eigen informatie GS &amp; warmtenet'!B59),0,'Eigen informatie GS &amp; warmtenet'!B59)</f>
        <v>0</v>
      </c>
      <c r="D5" s="30">
        <f>SUM(D6:D15)</f>
        <v>28060.629149287633</v>
      </c>
      <c r="E5" s="17">
        <f>SUM(E6:E15)</f>
        <v>254.00358130563518</v>
      </c>
      <c r="F5" s="17">
        <f>SUM(F6:F15)</f>
        <v>6920.5639852851709</v>
      </c>
      <c r="G5" s="18"/>
      <c r="H5" s="17"/>
      <c r="I5" s="17"/>
      <c r="J5" s="17">
        <f>SUM(J6:J15)</f>
        <v>149.59808188853339</v>
      </c>
      <c r="K5" s="17"/>
      <c r="L5" s="17"/>
      <c r="M5" s="17"/>
      <c r="N5" s="17">
        <f>SUM(N6:N15)</f>
        <v>635.23240823335539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212.837645020856</v>
      </c>
      <c r="C8" s="33"/>
      <c r="D8" s="37">
        <f>IF( ISERROR(IND_metaal_Gas_kWH/1000),0,IND_metaal_Gas_kWH/1000)*0.902</f>
        <v>0</v>
      </c>
      <c r="E8" s="33">
        <f>C30*'E Balans VL '!I18/100/3.6*1000000</f>
        <v>1.4955631710653214</v>
      </c>
      <c r="F8" s="33">
        <f>C30*'E Balans VL '!L18/100/3.6*1000000+C30*'E Balans VL '!N18/100/3.6*1000000</f>
        <v>23.368328200501157</v>
      </c>
      <c r="G8" s="34"/>
      <c r="H8" s="33"/>
      <c r="I8" s="33"/>
      <c r="J8" s="40">
        <f>C30*'E Balans VL '!D18/100/3.6*1000000+C30*'E Balans VL '!E18/100/3.6*1000000</f>
        <v>4.3912993652891963</v>
      </c>
      <c r="K8" s="33"/>
      <c r="L8" s="33"/>
      <c r="M8" s="33"/>
      <c r="N8" s="33">
        <f>C30*'E Balans VL '!Y18/100/3.6*1000000</f>
        <v>0.7977308220889211</v>
      </c>
      <c r="O8" s="33"/>
      <c r="P8" s="33"/>
      <c r="R8" s="32"/>
    </row>
    <row r="9" spans="1:18">
      <c r="A9" s="6" t="s">
        <v>33</v>
      </c>
      <c r="B9" s="37">
        <f t="shared" si="0"/>
        <v>3278.3756425002102</v>
      </c>
      <c r="C9" s="33"/>
      <c r="D9" s="37">
        <f>IF( ISERROR(IND_andere_gas_kWh/1000),0,IND_andere_gas_kWh/1000)*0.902</f>
        <v>1437.3407501404793</v>
      </c>
      <c r="E9" s="33">
        <f>C31*'E Balans VL '!I19/100/3.6*1000000</f>
        <v>55.064335054181264</v>
      </c>
      <c r="F9" s="33">
        <f>C31*'E Balans VL '!L19/100/3.6*1000000+C31*'E Balans VL '!N19/100/3.6*1000000</f>
        <v>2562.8473549721721</v>
      </c>
      <c r="G9" s="34"/>
      <c r="H9" s="33"/>
      <c r="I9" s="33"/>
      <c r="J9" s="40">
        <f>C31*'E Balans VL '!D19/100/3.6*1000000+C31*'E Balans VL '!E19/100/3.6*1000000</f>
        <v>0.29568054346983086</v>
      </c>
      <c r="K9" s="33"/>
      <c r="L9" s="33"/>
      <c r="M9" s="33"/>
      <c r="N9" s="33">
        <f>C31*'E Balans VL '!Y19/100/3.6*1000000</f>
        <v>242.98023201596158</v>
      </c>
      <c r="O9" s="33"/>
      <c r="P9" s="33"/>
      <c r="R9" s="32"/>
    </row>
    <row r="10" spans="1:18">
      <c r="A10" s="6" t="s">
        <v>41</v>
      </c>
      <c r="B10" s="37">
        <f t="shared" si="0"/>
        <v>578.04965959570404</v>
      </c>
      <c r="C10" s="33"/>
      <c r="D10" s="37">
        <f>IF( ISERROR(IND_voed_gas_kWh/1000),0,IND_voed_gas_kWh/1000)*0.902</f>
        <v>507.43789790740516</v>
      </c>
      <c r="E10" s="33">
        <f>C32*'E Balans VL '!I20/100/3.6*1000000</f>
        <v>5.2738848856267078</v>
      </c>
      <c r="F10" s="33">
        <f>C32*'E Balans VL '!L20/100/3.6*1000000+C32*'E Balans VL '!N20/100/3.6*1000000</f>
        <v>93.25749042804118</v>
      </c>
      <c r="G10" s="34"/>
      <c r="H10" s="33"/>
      <c r="I10" s="33"/>
      <c r="J10" s="40">
        <f>C32*'E Balans VL '!D20/100/3.6*1000000+C32*'E Balans VL '!E20/100/3.6*1000000</f>
        <v>2.3807874859168705</v>
      </c>
      <c r="K10" s="33"/>
      <c r="L10" s="33"/>
      <c r="M10" s="33"/>
      <c r="N10" s="33">
        <f>C32*'E Balans VL '!Y20/100/3.6*1000000</f>
        <v>8.456410714935906</v>
      </c>
      <c r="O10" s="33"/>
      <c r="P10" s="33"/>
      <c r="R10" s="32"/>
    </row>
    <row r="11" spans="1:18">
      <c r="A11" s="6" t="s">
        <v>40</v>
      </c>
      <c r="B11" s="37">
        <f t="shared" si="0"/>
        <v>291.12064484848099</v>
      </c>
      <c r="C11" s="33"/>
      <c r="D11" s="37">
        <f>IF( ISERROR(IND_textiel_gas_kWh/1000),0,IND_textiel_gas_kWh/1000)*0.902</f>
        <v>0</v>
      </c>
      <c r="E11" s="33">
        <f>C33*'E Balans VL '!I21/100/3.6*1000000</f>
        <v>0.66399219032857282</v>
      </c>
      <c r="F11" s="33">
        <f>C33*'E Balans VL '!L21/100/3.6*1000000+C33*'E Balans VL '!N21/100/3.6*1000000</f>
        <v>6.2229737968179322</v>
      </c>
      <c r="G11" s="34"/>
      <c r="H11" s="33"/>
      <c r="I11" s="33"/>
      <c r="J11" s="40">
        <f>C33*'E Balans VL '!D21/100/3.6*1000000+C33*'E Balans VL '!E21/100/3.6*1000000</f>
        <v>0</v>
      </c>
      <c r="K11" s="33"/>
      <c r="L11" s="33"/>
      <c r="M11" s="33"/>
      <c r="N11" s="33">
        <f>C33*'E Balans VL '!Y21/100/3.6*1000000</f>
        <v>2.0651705796011455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15.319302855202</v>
      </c>
      <c r="C13" s="33"/>
      <c r="D13" s="37">
        <f>IF( ISERROR(IND_papier_gas_kWh/1000),0,IND_papier_gas_kWh/1000)*0.902</f>
        <v>0</v>
      </c>
      <c r="E13" s="33">
        <f>C35*'E Balans VL '!I23/100/3.6*1000000</f>
        <v>0.47133496903481631</v>
      </c>
      <c r="F13" s="33">
        <f>C35*'E Balans VL '!L23/100/3.6*1000000+C35*'E Balans VL '!N23/100/3.6*1000000</f>
        <v>3.2528233741627632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21167.8091054252</v>
      </c>
      <c r="C15" s="33"/>
      <c r="D15" s="37">
        <f>IF( ISERROR(IND_rest_gas_kWh/1000),0,IND_rest_gas_kWh/1000)*0.902</f>
        <v>26115.850501239751</v>
      </c>
      <c r="E15" s="33">
        <f>C37*'E Balans VL '!I15/100/3.6*1000000</f>
        <v>191.0344710353985</v>
      </c>
      <c r="F15" s="33">
        <f>C37*'E Balans VL '!L15/100/3.6*1000000+C37*'E Balans VL '!N15/100/3.6*1000000</f>
        <v>4231.6150145134752</v>
      </c>
      <c r="G15" s="34"/>
      <c r="H15" s="33"/>
      <c r="I15" s="33"/>
      <c r="J15" s="40">
        <f>C37*'E Balans VL '!D15/100/3.6*1000000+C37*'E Balans VL '!E15/100/3.6*1000000</f>
        <v>142.5303144938575</v>
      </c>
      <c r="K15" s="33"/>
      <c r="L15" s="33"/>
      <c r="M15" s="33"/>
      <c r="N15" s="33">
        <f>C37*'E Balans VL '!Y15/100/3.6*1000000</f>
        <v>380.93286410076786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25543.512000245653</v>
      </c>
      <c r="C18" s="21">
        <f>C5+C16</f>
        <v>0</v>
      </c>
      <c r="D18" s="21">
        <f>MAX((D5+D16),0)</f>
        <v>28060.629149287633</v>
      </c>
      <c r="E18" s="21">
        <f>MAX((E5+E16),0)</f>
        <v>254.00358130563518</v>
      </c>
      <c r="F18" s="21">
        <f>MAX((F5+F16),0)</f>
        <v>6920.5639852851709</v>
      </c>
      <c r="G18" s="21"/>
      <c r="H18" s="21"/>
      <c r="I18" s="21"/>
      <c r="J18" s="21">
        <f>MAX((J5+J16),0)</f>
        <v>149.59808188853339</v>
      </c>
      <c r="K18" s="21"/>
      <c r="L18" s="21">
        <f>MAX((L5+L16),0)</f>
        <v>0</v>
      </c>
      <c r="M18" s="21"/>
      <c r="N18" s="21">
        <f>MAX((N5+N16),0)</f>
        <v>635.23240823335539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0.21082593382385478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5385.2347705926304</v>
      </c>
      <c r="C22" s="23">
        <f ca="1">C18*C20</f>
        <v>0</v>
      </c>
      <c r="D22" s="23">
        <f>D18*D20</f>
        <v>5668.2470881561021</v>
      </c>
      <c r="E22" s="23">
        <f>E18*E20</f>
        <v>57.658812956379187</v>
      </c>
      <c r="F22" s="23">
        <f>F18*F20</f>
        <v>1847.7905840711408</v>
      </c>
      <c r="G22" s="23"/>
      <c r="H22" s="23"/>
      <c r="I22" s="23"/>
      <c r="J22" s="23">
        <f>J18*J20</f>
        <v>52.957720988540814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212.837645020856</v>
      </c>
      <c r="C30" s="39">
        <f>IF(ISERROR(B30*3.6/1000000/'E Balans VL '!Z18*100),0,B30*3.6/1000000/'E Balans VL '!Z18*100)</f>
        <v>1.4168731998595653E-2</v>
      </c>
      <c r="D30" s="238" t="s">
        <v>719</v>
      </c>
    </row>
    <row r="31" spans="1:18">
      <c r="A31" s="6" t="s">
        <v>33</v>
      </c>
      <c r="B31" s="37">
        <f>IF( ISERROR(IND_ander_ele_kWh/1000),0,IND_ander_ele_kWh/1000)</f>
        <v>3278.3756425002102</v>
      </c>
      <c r="C31" s="39">
        <f>IF(ISERROR(B31*3.6/1000000/'E Balans VL '!Z19*100),0,B31*3.6/1000000/'E Balans VL '!Z19*100)</f>
        <v>0.1453174002036029</v>
      </c>
      <c r="D31" s="238" t="s">
        <v>719</v>
      </c>
    </row>
    <row r="32" spans="1:18">
      <c r="A32" s="172" t="s">
        <v>41</v>
      </c>
      <c r="B32" s="37">
        <f>IF( ISERROR(IND_voed_ele_kWh/1000),0,IND_voed_ele_kWh/1000)</f>
        <v>578.04965959570404</v>
      </c>
      <c r="C32" s="39">
        <f>IF(ISERROR(B32*3.6/1000000/'E Balans VL '!Z20*100),0,B32*3.6/1000000/'E Balans VL '!Z20*100)</f>
        <v>1.9308516840355599E-2</v>
      </c>
      <c r="D32" s="238" t="s">
        <v>719</v>
      </c>
    </row>
    <row r="33" spans="1:5">
      <c r="A33" s="172" t="s">
        <v>40</v>
      </c>
      <c r="B33" s="37">
        <f>IF( ISERROR(IND_textiel_ele_kWh/1000),0,IND_textiel_ele_kWh/1000)</f>
        <v>291.12064484848099</v>
      </c>
      <c r="C33" s="39">
        <f>IF(ISERROR(B33*3.6/1000000/'E Balans VL '!Z21*100),0,B33*3.6/1000000/'E Balans VL '!Z21*100)</f>
        <v>3.8326704230148077E-2</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15.319302855202</v>
      </c>
      <c r="C35" s="39">
        <f>IF(ISERROR(B35*3.6/1000000/'E Balans VL '!Z22*100),0,B35*3.6/1000000/'E Balans VL '!Z22*100)</f>
        <v>2.9794361323601387E-3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21167.8091054252</v>
      </c>
      <c r="C37" s="39">
        <f>IF(ISERROR(B37*3.6/1000000/'E Balans VL '!Z15*100),0,B37*3.6/1000000/'E Balans VL '!Z15*100)</f>
        <v>0.15745401443348334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4098.4744429205684</v>
      </c>
      <c r="C5" s="17">
        <f>'Eigen informatie GS &amp; warmtenet'!B60</f>
        <v>0</v>
      </c>
      <c r="D5" s="30">
        <f>IF(ISERROR(SUM(LB_lb_gas_kWh,LB_rest_gas_kWh)/1000),0,SUM(LB_lb_gas_kWh,LB_rest_gas_kWh)/1000)*0.902</f>
        <v>119.93806072011226</v>
      </c>
      <c r="E5" s="17">
        <f>B17*'E Balans VL '!I25/3.6*1000000/100</f>
        <v>42.920111649797875</v>
      </c>
      <c r="F5" s="17">
        <f>B17*('E Balans VL '!L25/3.6*1000000+'E Balans VL '!N25/3.6*1000000)/100</f>
        <v>17544.584794889448</v>
      </c>
      <c r="G5" s="18"/>
      <c r="H5" s="17"/>
      <c r="I5" s="17"/>
      <c r="J5" s="17">
        <f>('E Balans VL '!D25+'E Balans VL '!E25)/3.6*1000000*landbouw!B17/100</f>
        <v>366.03050300592963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4098.4744429205684</v>
      </c>
      <c r="C8" s="21">
        <f>C5+C6</f>
        <v>0</v>
      </c>
      <c r="D8" s="21">
        <f>MAX((D5+D6),0)</f>
        <v>119.93806072011226</v>
      </c>
      <c r="E8" s="21">
        <f>MAX((E5+E6),0)</f>
        <v>42.920111649797875</v>
      </c>
      <c r="F8" s="21">
        <f>MAX((F5+F6),0)</f>
        <v>17544.584794889448</v>
      </c>
      <c r="G8" s="21"/>
      <c r="H8" s="21"/>
      <c r="I8" s="21"/>
      <c r="J8" s="21">
        <f>MAX((J5+J6),0)</f>
        <v>366.03050300592963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0.21082593382385478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864.06470168193187</v>
      </c>
      <c r="C12" s="23">
        <f ca="1">C8*C10</f>
        <v>0</v>
      </c>
      <c r="D12" s="23">
        <f>D8*D10</f>
        <v>24.227488265462679</v>
      </c>
      <c r="E12" s="23">
        <f>E8*E10</f>
        <v>9.7428653445041178</v>
      </c>
      <c r="F12" s="23">
        <f>F8*F10</f>
        <v>4684.4041402354833</v>
      </c>
      <c r="G12" s="23"/>
      <c r="H12" s="23"/>
      <c r="I12" s="23"/>
      <c r="J12" s="23">
        <f>J8*J10</f>
        <v>129.57479806409907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0.63083433194258509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339.76522290219833</v>
      </c>
      <c r="C26" s="248">
        <f>B26*'GWP N2O_CH4'!B5</f>
        <v>7135.0696809461651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257.61363953710992</v>
      </c>
      <c r="C27" s="248">
        <f>B27*'GWP N2O_CH4'!B5</f>
        <v>5409.8864302793081</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5.4627576176716977</v>
      </c>
      <c r="C28" s="248">
        <f>B28*'GWP N2O_CH4'!B4</f>
        <v>1693.4548614782263</v>
      </c>
      <c r="D28" s="50"/>
    </row>
    <row r="29" spans="1:4">
      <c r="A29" s="41" t="s">
        <v>277</v>
      </c>
      <c r="B29" s="248">
        <f>B34*'ha_N2O bodem landbouw'!B4</f>
        <v>17.535274550961418</v>
      </c>
      <c r="C29" s="248">
        <f>B29*'GWP N2O_CH4'!B4</f>
        <v>5435.9351107980392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2.8979344225244889E-3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1.3034249229284329E-6</v>
      </c>
      <c r="C5" s="446" t="s">
        <v>211</v>
      </c>
      <c r="D5" s="431">
        <f>SUM(D6:D11)</f>
        <v>7.4863295192096634E-6</v>
      </c>
      <c r="E5" s="431">
        <f>SUM(E6:E11)</f>
        <v>7.4074730286066422E-4</v>
      </c>
      <c r="F5" s="444" t="s">
        <v>211</v>
      </c>
      <c r="G5" s="431">
        <f>SUM(G6:G11)</f>
        <v>0.14046020017716457</v>
      </c>
      <c r="H5" s="431">
        <f>SUM(H6:H11)</f>
        <v>2.4595028474487912E-2</v>
      </c>
      <c r="I5" s="446" t="s">
        <v>211</v>
      </c>
      <c r="J5" s="446" t="s">
        <v>211</v>
      </c>
      <c r="K5" s="446" t="s">
        <v>211</v>
      </c>
      <c r="L5" s="446" t="s">
        <v>211</v>
      </c>
      <c r="M5" s="431">
        <f>SUM(M6:M11)</f>
        <v>7.2032853373067253E-3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7.5786685645807915E-7</v>
      </c>
      <c r="C6" s="432"/>
      <c r="D6" s="432">
        <f>vkm_2011_GW_PW*SUMIFS(TableVerdeelsleutelVkm[CNG],TableVerdeelsleutelVkm[Voertuigtype],"Lichte voertuigen")*SUMIFS(TableECFTransport[EnergieConsumptieFactor (PJ per km)],TableECFTransport[Index],CONCATENATE($A6,"_CNG_CNG"))</f>
        <v>3.2670759238446499E-6</v>
      </c>
      <c r="E6" s="434">
        <f>vkm_2011_GW_PW*SUMIFS(TableVerdeelsleutelVkm[LPG],TableVerdeelsleutelVkm[Voertuigtype],"Lichte voertuigen")*SUMIFS(TableECFTransport[EnergieConsumptieFactor (PJ per km)],TableECFTransport[Index],CONCATENATE($A6,"_LPG_LPG"))</f>
        <v>3.3991920351890246E-4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4.1810995205837545E-2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1.1007968587604146E-2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2.3147802172451262E-3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2.8212686816134317E-2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9.6737393477902715E-6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1.218735209048642E-3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5.4555806647035384E-7</v>
      </c>
      <c r="C8" s="432"/>
      <c r="D8" s="434">
        <f>vkm_2011_NGW_PW*SUMIFS(TableVerdeelsleutelVkm[CNG],TableVerdeelsleutelVkm[Voertuigtype],"Lichte voertuigen")*SUMIFS(TableECFTransport[EnergieConsumptieFactor (PJ per km)],TableECFTransport[Index],CONCATENATE($A8,"_CNG_CNG"))</f>
        <v>4.2192535953650135E-6</v>
      </c>
      <c r="E8" s="434">
        <f>vkm_2011_NGW_PW*SUMIFS(TableVerdeelsleutelVkm[LPG],TableVerdeelsleutelVkm[Voertuigtype],"Lichte voertuigen")*SUMIFS(TableECFTransport[EnergieConsumptieFactor (PJ per km)],TableECFTransport[Index],CONCATENATE($A8,"_LPG_LPG"))</f>
        <v>4.008280993417618E-4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4.6762731731507655E-2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1.3570334348496275E-2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2.6471559954448307E-3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2.3673786423685061E-2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7.0517990397044277E-6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1.0226139155681262E-3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0.36206247859123136</v>
      </c>
      <c r="C14" s="21"/>
      <c r="D14" s="21">
        <f t="shared" ref="D14:M14" si="0">((D5)*10^9/3600)+D12</f>
        <v>2.0795359775582396</v>
      </c>
      <c r="E14" s="21">
        <f t="shared" si="0"/>
        <v>205.76313968351784</v>
      </c>
      <c r="F14" s="21"/>
      <c r="G14" s="21">
        <f t="shared" si="0"/>
        <v>39016.722271434599</v>
      </c>
      <c r="H14" s="21">
        <f t="shared" si="0"/>
        <v>6831.9523540244199</v>
      </c>
      <c r="I14" s="21"/>
      <c r="J14" s="21"/>
      <c r="K14" s="21"/>
      <c r="L14" s="21"/>
      <c r="M14" s="21">
        <f t="shared" si="0"/>
        <v>2000.9125936963128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0.21082593382385478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7.6332160151575776E-2</v>
      </c>
      <c r="C18" s="23"/>
      <c r="D18" s="23">
        <f t="shared" ref="D18:M18" si="1">D14*D16</f>
        <v>0.42006626746676445</v>
      </c>
      <c r="E18" s="23">
        <f t="shared" si="1"/>
        <v>46.708232708158548</v>
      </c>
      <c r="F18" s="23"/>
      <c r="G18" s="23">
        <f t="shared" si="1"/>
        <v>10417.464846473038</v>
      </c>
      <c r="H18" s="23">
        <f t="shared" si="1"/>
        <v>1701.1561361520805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1.5934892786223281E-3</v>
      </c>
      <c r="H50" s="322">
        <f t="shared" si="2"/>
        <v>0</v>
      </c>
      <c r="I50" s="322">
        <f t="shared" si="2"/>
        <v>0</v>
      </c>
      <c r="J50" s="322">
        <f t="shared" si="2"/>
        <v>0</v>
      </c>
      <c r="K50" s="322">
        <f t="shared" si="2"/>
        <v>0</v>
      </c>
      <c r="L50" s="322">
        <f t="shared" si="2"/>
        <v>0</v>
      </c>
      <c r="M50" s="322">
        <f t="shared" si="2"/>
        <v>6.7923525070839435E-5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1.5934892786223281E-3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6.7923525070839435E-5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442.63591072842445</v>
      </c>
      <c r="H54" s="21">
        <f t="shared" si="3"/>
        <v>0</v>
      </c>
      <c r="I54" s="21">
        <f t="shared" si="3"/>
        <v>0</v>
      </c>
      <c r="J54" s="21">
        <f t="shared" si="3"/>
        <v>0</v>
      </c>
      <c r="K54" s="21">
        <f t="shared" si="3"/>
        <v>0</v>
      </c>
      <c r="L54" s="21">
        <f t="shared" si="3"/>
        <v>0</v>
      </c>
      <c r="M54" s="21">
        <f t="shared" si="3"/>
        <v>18.867645853010952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0.21082593382385478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118.18378816448933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2978.1448896865695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2978.1448896865695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2019-08-12T09:21:27Z</dcterms:modified>
</cp:coreProperties>
</file>