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O18"/>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M90" i="14"/>
  <c r="M17" i="55"/>
  <c r="M20" s="1"/>
  <c r="L90" i="14"/>
  <c r="O20" i="55"/>
  <c r="P32" i="48"/>
  <c r="G101" i="18"/>
  <c r="L22" i="14"/>
  <c r="F76"/>
  <c r="K20" i="55"/>
  <c r="B14" i="48"/>
  <c r="Q14" s="1"/>
  <c r="F101" i="18"/>
  <c r="G78" i="14"/>
  <c r="G9" i="55"/>
  <c r="G10" s="1"/>
  <c r="O78" i="14"/>
  <c r="O9" i="55"/>
  <c r="N78" i="14"/>
  <c r="N9" i="55"/>
  <c r="F90" i="14"/>
  <c r="F18" i="55"/>
  <c r="F20" s="1"/>
  <c r="N90" i="14"/>
  <c r="N18" i="55"/>
  <c r="N20" s="1"/>
  <c r="D22" i="14"/>
  <c r="L20" i="55"/>
  <c r="P31" i="48"/>
  <c r="D14"/>
  <c r="C101" i="18"/>
  <c r="R9" i="14"/>
  <c r="E10" i="55"/>
  <c r="O10"/>
  <c r="H20"/>
  <c r="P24" i="48"/>
  <c r="B101" i="18"/>
  <c r="C8" s="1"/>
  <c r="D76" i="14" s="1"/>
  <c r="C77"/>
  <c r="C9" i="55" s="1"/>
  <c r="F9"/>
  <c r="E90" i="14"/>
  <c r="E18" i="55"/>
  <c r="E20" s="1"/>
  <c r="H90" i="14"/>
  <c r="K22"/>
  <c r="M22"/>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78"/>
  <c r="Q78"/>
  <c r="B9" i="6" s="1"/>
  <c r="P9" i="55"/>
  <c r="P10" s="1"/>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D24" i="48"/>
  <c r="D30"/>
  <c r="D28"/>
  <c r="D29"/>
  <c r="D31"/>
  <c r="D32"/>
  <c r="L32"/>
  <c r="L22"/>
  <c r="L28"/>
  <c r="L24"/>
  <c r="L30"/>
  <c r="L31"/>
  <c r="L29"/>
  <c r="L27"/>
  <c r="J32"/>
  <c r="J24"/>
  <c r="J30"/>
  <c r="J29"/>
  <c r="J31"/>
  <c r="J27"/>
  <c r="J28"/>
  <c r="F32"/>
  <c r="F29"/>
  <c r="F24"/>
  <c r="F31"/>
  <c r="F30"/>
  <c r="F27"/>
  <c r="F28"/>
  <c r="B7"/>
  <c r="C24" i="14"/>
  <c r="C26" s="1"/>
  <c r="L10"/>
  <c r="L16" s="1"/>
  <c r="L27" s="1"/>
  <c r="K5" i="48"/>
  <c r="Q10" i="14"/>
  <c r="P5" i="48"/>
  <c r="P23" s="1"/>
  <c r="K30"/>
  <c r="K32"/>
  <c r="K28"/>
  <c r="K24"/>
  <c r="K27"/>
  <c r="K29"/>
  <c r="K25"/>
  <c r="K26"/>
  <c r="K31"/>
  <c r="K22"/>
  <c r="B10"/>
  <c r="C19" i="14"/>
  <c r="D4" i="48"/>
  <c r="D22" s="1"/>
  <c r="E11" i="14"/>
  <c r="H30" i="48"/>
  <c r="H32"/>
  <c r="H24"/>
  <c r="H28"/>
  <c r="H25"/>
  <c r="H29"/>
  <c r="H26"/>
  <c r="H22"/>
  <c r="H23"/>
  <c r="B8" i="9"/>
  <c r="B6" i="48" s="1"/>
  <c r="Q6" s="1"/>
  <c r="C18" i="16"/>
  <c r="N10" i="14"/>
  <c r="N16" s="1"/>
  <c r="M5" i="48"/>
  <c r="N32"/>
  <c r="N31"/>
  <c r="N30"/>
  <c r="N28"/>
  <c r="N27"/>
  <c r="N29"/>
  <c r="N24"/>
  <c r="E30"/>
  <c r="E24"/>
  <c r="E32"/>
  <c r="E29"/>
  <c r="E28"/>
  <c r="E31"/>
  <c r="M30"/>
  <c r="M24"/>
  <c r="M32"/>
  <c r="M26"/>
  <c r="M29"/>
  <c r="M22"/>
  <c r="M25"/>
  <c r="J10" i="14"/>
  <c r="J16" s="1"/>
  <c r="J27" s="1"/>
  <c r="I5" i="48"/>
  <c r="Q11" i="14"/>
  <c r="P4" i="48"/>
  <c r="P11" i="14"/>
  <c r="O4" i="48"/>
  <c r="I28"/>
  <c r="I32"/>
  <c r="I26"/>
  <c r="I30"/>
  <c r="I24"/>
  <c r="I31"/>
  <c r="I29"/>
  <c r="I27"/>
  <c r="I25"/>
  <c r="I22"/>
  <c r="H12" i="22"/>
  <c r="I18" i="14"/>
  <c r="H13" i="48"/>
  <c r="H31" s="1"/>
  <c r="D11" i="14"/>
  <c r="C4" i="48"/>
  <c r="G30"/>
  <c r="G32"/>
  <c r="G25"/>
  <c r="G26"/>
  <c r="G24"/>
  <c r="G29"/>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H18" i="14"/>
  <c r="R18" s="1"/>
  <c r="G13" i="48"/>
  <c r="L46" i="14"/>
  <c r="L61" s="1"/>
  <c r="L63" s="1"/>
  <c r="I33" i="48"/>
  <c r="J63" i="14"/>
  <c r="O22" i="48"/>
  <c r="K15"/>
  <c r="K23"/>
  <c r="P22" i="16"/>
  <c r="Q43" i="14" s="1"/>
  <c r="P8" i="48"/>
  <c r="P26" s="1"/>
  <c r="Q13" i="14"/>
  <c r="I15" i="48"/>
  <c r="I23"/>
  <c r="Q16" i="14"/>
  <c r="Q27" s="1"/>
  <c r="D16" i="15"/>
  <c r="D5" i="48" s="1"/>
  <c r="K33"/>
  <c r="P22"/>
  <c r="M23"/>
  <c r="O5"/>
  <c r="O23" s="1"/>
  <c r="P10" i="14"/>
  <c r="M13" i="48"/>
  <c r="M31" s="1"/>
  <c r="N18" i="14"/>
  <c r="I20"/>
  <c r="I22" s="1"/>
  <c r="I27" s="1"/>
  <c r="H9" i="48"/>
  <c r="F4"/>
  <c r="F22" s="1"/>
  <c r="G11" i="14"/>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H27"/>
  <c r="H33" s="1"/>
  <c r="H15"/>
  <c r="E20" i="14"/>
  <c r="E22" s="1"/>
  <c r="D9" i="48"/>
  <c r="D27" s="1"/>
  <c r="O8"/>
  <c r="O26" s="1"/>
  <c r="O33" s="1"/>
  <c r="P13" i="14"/>
  <c r="N4" i="48"/>
  <c r="N22" s="1"/>
  <c r="O11" i="14"/>
  <c r="J4" i="48"/>
  <c r="J22" s="1"/>
  <c r="K11" i="14"/>
  <c r="Q13" i="48"/>
  <c r="G31"/>
  <c r="Q46" i="14"/>
  <c r="Q61" s="1"/>
  <c r="Q63" s="1"/>
  <c r="D20" i="15"/>
  <c r="E40" i="14" s="1"/>
  <c r="P16"/>
  <c r="P27" s="1"/>
  <c r="P15" i="48"/>
  <c r="G14" i="22"/>
  <c r="P33" i="48"/>
  <c r="N19" i="14"/>
  <c r="M10" i="48"/>
  <c r="M28" s="1"/>
  <c r="E12" i="13"/>
  <c r="F41" i="14" s="1"/>
  <c r="F11"/>
  <c r="E4" i="48"/>
  <c r="G10"/>
  <c r="H19" i="14"/>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G28" i="48"/>
  <c r="Q10"/>
  <c r="G9"/>
  <c r="H20" i="14"/>
  <c r="H22" s="1"/>
  <c r="H27" s="1"/>
  <c r="C22"/>
  <c r="Q9" i="48"/>
  <c r="H52" i="14"/>
  <c r="H61" s="1"/>
  <c r="R19"/>
  <c r="E22" i="48"/>
  <c r="Q4"/>
  <c r="M18" i="22"/>
  <c r="N50" i="14" s="1"/>
  <c r="N20"/>
  <c r="M9" i="48"/>
  <c r="D15"/>
  <c r="R11" i="14"/>
  <c r="J5" i="48"/>
  <c r="K10" i="14"/>
  <c r="E20" i="15"/>
  <c r="F40" i="14" s="1"/>
  <c r="E5" i="48"/>
  <c r="F10" i="14"/>
  <c r="L15" i="48"/>
  <c r="Q7"/>
  <c r="R24" i="14"/>
  <c r="R26" s="1"/>
  <c r="J18" i="16"/>
  <c r="N18"/>
  <c r="E18"/>
  <c r="F18"/>
  <c r="F22" s="1"/>
  <c r="G43" i="14" s="1"/>
  <c r="R22" l="1"/>
  <c r="R20"/>
  <c r="G27" i="48"/>
  <c r="G33" s="1"/>
  <c r="G15"/>
  <c r="M27"/>
  <c r="M33" s="1"/>
  <c r="M15"/>
  <c r="N63" i="14"/>
  <c r="H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<sst xmlns="http://schemas.openxmlformats.org/spreadsheetml/2006/main" count="2496" uniqueCount="965">
  <si>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</si>
  <si>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</si>
  <si>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</si>
  <si>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</si>
  <si>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</si>
  <si>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</si>
  <si>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</si>
  <si>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</si>
  <si>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</si>
  <si>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</si>
  <si>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</si>
  <si>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</si>
  <si>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</si>
  <si>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</si>
  <si>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</si>
  <si>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</si>
  <si>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</si>
  <si>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</si>
  <si>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</si>
  <si>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</si>
  <si>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</si>
  <si>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</si>
  <si>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</si>
  <si>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</si>
  <si>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</si>
  <si>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</si>
  <si>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</si>
  <si>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</si>
  <si>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</si>
  <si>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</si>
  <si>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</si>
  <si>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</si>
  <si>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</si>
  <si>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</si>
  <si>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</si>
  <si>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</si>
  <si>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</si>
  <si>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</si>
  <si>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</si>
  <si>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</si>
  <si>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</si>
  <si>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</si>
  <si>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</si>
  <si>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</si>
  <si>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</si>
  <si>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</si>
  <si>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</si>
  <si>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</si>
  <si>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</si>
  <si>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</si>
  <si>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</si>
  <si>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</si>
  <si>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</si>
  <si>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</si>
  <si>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</si>
  <si>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</si>
  <si>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</si>
  <si>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</si>
  <si>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</si>
  <si>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</si>
  <si>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</si>
  <si>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</si>
  <si>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</si>
  <si>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</si>
  <si>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</si>
  <si>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</si>
  <si>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</si>
  <si>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</si>
  <si>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</si>
  <si>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</si>
  <si>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</si>
  <si>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</si>
  <si>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</si>
  <si>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</si>
  <si>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</si>
  <si>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</si>
  <si>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</si>
  <si>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</si>
  <si>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</si>
  <si>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</si>
  <si>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</si>
  <si>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</si>
  <si>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</si>
  <si>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</si>
  <si>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</si>
  <si>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</si>
  <si>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</si>
  <si>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</si>
  <si>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</si>
  <si>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</si>
  <si>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</si>
  <si>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</si>
  <si>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</si>
  <si>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</si>
  <si>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</si>
  <si>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</si>
  <si>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</si>
  <si>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</si>
  <si>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</si>
  <si>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</si>
  <si>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</si>
  <si>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</si>
  <si>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</si>
  <si>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</si>
  <si>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</si>
  <si>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</si>
  <si>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</si>
  <si>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</si>
  <si>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</si>
  <si>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</si>
  <si>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</si>
  <si>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</si>
  <si>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</si>
  <si>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</si>
  <si>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</si>
  <si>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</si>
  <si>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</si>
  <si>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</si>
  <si>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</si>
  <si>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</si>
  <si>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</si>
  <si>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</si>
  <si>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</si>
  <si>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</si>
  <si>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</si>
  <si>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</si>
  <si>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</si>
  <si>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</si>
  <si>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</si>
  <si>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</si>
  <si>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</si>
  <si>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</si>
  <si>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</si>
  <si>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</si>
  <si>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</si>
  <si>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</si>
  <si>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</si>
  <si>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</si>
  <si>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</si>
  <si>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</si>
  <si>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</si>
  <si>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</si>
  <si>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</si>
  <si>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</si>
  <si>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</si>
  <si>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</si>
  <si>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</si>
  <si>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</si>
  <si>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</si>
  <si>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</si>
  <si>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</si>
  <si>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</si>
  <si>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</si>
  <si>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</si>
  <si>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</si>
  <si>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</si>
  <si>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</si>
  <si>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</si>
  <si>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</si>
  <si>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</si>
  <si>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</si>
  <si>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</si>
  <si>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</si>
  <si>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</si>
  <si>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</si>
  <si>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</si>
  <si>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</si>
  <si>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</si>
  <si>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</si>
  <si>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</si>
  <si>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</si>
  <si>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</si>
  <si>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</si>
  <si>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</si>
  <si>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</si>
  <si>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</si>
  <si>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</si>
  <si>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</si>
  <si>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</si>
  <si>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</si>
  <si>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</si>
  <si>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</si>
  <si>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</si>
  <si>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</si>
  <si>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</si>
  <si>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</si>
  <si>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</si>
  <si>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</si>
  <si>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</si>
  <si>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</si>
  <si>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</si>
  <si>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</si>
  <si>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</si>
  <si>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</si>
  <si>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</si>
  <si>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</si>
  <si>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</si>
  <si>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</si>
  <si>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</si>
  <si>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</si>
  <si>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</si>
  <si>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</si>
  <si>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</si>
  <si>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</si>
  <si>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</si>
  <si>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</si>
  <si>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</si>
  <si>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</si>
  <si>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</si>
  <si>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</si>
  <si>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</si>
  <si>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</si>
  <si>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</si>
  <si>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</si>
  <si>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</si>
  <si>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</si>
  <si>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</si>
  <si>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</si>
  <si>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</si>
  <si>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</si>
  <si>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</si>
  <si>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</si>
  <si>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</si>
  <si>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</si>
  <si>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</si>
  <si>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</si>
  <si>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</si>
  <si>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</si>
  <si>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</si>
  <si>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</si>
  <si>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</si>
  <si>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</si>
  <si>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</si>
  <si>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</si>
  <si>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</si>
  <si>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</si>
  <si>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</si>
  <si>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</si>
  <si>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</si>
  <si>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</si>
  <si>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</si>
  <si>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</si>
  <si>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</si>
  <si>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</si>
  <si>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</si>
  <si>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</si>
  <si>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</si>
  <si>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</si>
  <si>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</si>
  <si>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</si>
  <si>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</si>
  <si>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</si>
  <si>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</si>
  <si>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</si>
  <si>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</si>
  <si>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</si>
  <si>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</si>
  <si>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</si>
  <si>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</si>
  <si>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</si>
  <si>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</si>
  <si>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</si>
  <si>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</si>
  <si>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</si>
  <si>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</si>
  <si>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</si>
  <si>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</si>
  <si>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</si>
  <si>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</si>
  <si>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</si>
  <si>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</si>
  <si>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</si>
  <si>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</si>
  <si>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</si>
  <si>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</si>
  <si>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</si>
  <si>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</si>
  <si>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</si>
  <si>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</si>
  <si>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</si>
  <si>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</si>
  <si>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</si>
  <si>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</si>
  <si>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</si>
  <si>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</si>
  <si>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</si>
  <si>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</si>
  <si>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</si>
  <si>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</si>
  <si>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</si>
  <si>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</si>
  <si>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</si>
  <si>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</si>
  <si>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</si>
  <si>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</si>
  <si>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</si>
  <si>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</si>
  <si>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</si>
  <si>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</si>
  <si>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</si>
  <si>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</si>
  <si>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</si>
  <si>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</si>
  <si>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</si>
  <si>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</si>
  <si>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</si>
  <si>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</si>
  <si>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</si>
  <si>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</si>
  <si>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</si>
  <si>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</si>
  <si>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</si>
  <si>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</si>
  <si>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</si>
  <si>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</si>
  <si>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</si>
  <si>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</si>
  <si>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</si>
  <si>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</si>
  <si>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</si>
  <si>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</si>
  <si>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</si>
  <si>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</si>
  <si>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</si>
  <si>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</si>
  <si>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</si>
  <si>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</si>
  <si>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</si>
  <si>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</si>
  <si>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</si>
  <si>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</si>
  <si>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</si>
  <si>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</si>
  <si>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</si>
  <si>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</si>
  <si>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</si>
  <si>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</si>
  <si>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</si>
  <si>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</si>
  <si>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</si>
  <si>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</si>
  <si>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</si>
  <si>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</si>
  <si>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</si>
  <si>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</si>
  <si>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</si>
  <si>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</si>
  <si>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</si>
  <si>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</si>
  <si>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</si>
  <si>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</si>
  <si>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</si>
  <si>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</si>
  <si>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</si>
  <si>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</si>
  <si>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</si>
  <si>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</si>
  <si>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</si>
  <si>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</si>
  <si>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</si>
  <si>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</si>
  <si>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</si>
  <si>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</si>
  <si>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</si>
  <si>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</si>
  <si>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</si>
  <si>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</si>
  <si>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</si>
  <si>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</si>
  <si>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</si>
  <si>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</si>
  <si>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</si>
  <si>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</si>
  <si>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</si>
  <si>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</si>
  <si>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</si>
  <si>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</si>
  <si>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</si>
  <si>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</si>
  <si>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</si>
  <si>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</si>
  <si>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</si>
  <si>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</si>
  <si>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</si>
  <si>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</si>
  <si>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</si>
  <si>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</si>
  <si>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</si>
  <si>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</si>
  <si>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</si>
  <si>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</si>
  <si>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</si>
  <si>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</si>
  <si>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</si>
  <si>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</si>
  <si>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</si>
  <si>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</si>
  <si>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</si>
  <si>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</si>
  <si>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</si>
  <si>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</si>
  <si>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</si>
  <si>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</si>
  <si>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</si>
  <si>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</si>
  <si>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</si>
  <si>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</si>
  <si>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</si>
  <si>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</si>
  <si>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</si>
  <si>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</si>
  <si>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</si>
  <si>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</si>
  <si>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</si>
  <si>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</si>
  <si>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</si>
  <si>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</si>
  <si>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</si>
  <si>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</si>
  <si>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</si>
  <si>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</si>
  <si>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</si>
  <si>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</si>
  <si>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</si>
  <si>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</si>
  <si>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</si>
  <si>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</si>
  <si>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</si>
  <si>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</si>
  <si>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</si>
  <si>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</si>
  <si>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</si>
  <si>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</si>
  <si>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</si>
  <si>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</si>
  <si>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</si>
  <si>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</si>
  <si>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</si>
  <si>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</si>
  <si>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</si>
  <si>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</si>
  <si>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</si>
  <si>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</si>
  <si>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</si>
  <si>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</si>
  <si>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</si>
  <si>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</si>
  <si>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</si>
  <si>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</si>
  <si>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</si>
  <si>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</si>
  <si>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</si>
  <si>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</si>
  <si>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</si>
  <si>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</si>
  <si>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</si>
  <si>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</si>
  <si>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</si>
  <si>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</si>
  <si>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</si>
  <si>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</si>
  <si>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</si>
  <si>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</si>
  <si>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</si>
  <si>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</si>
  <si>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</si>
  <si>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</si>
  <si>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</si>
  <si>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</si>
  <si>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</si>
  <si>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</si>
  <si>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</si>
  <si>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</si>
  <si>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</si>
  <si>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</si>
  <si>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</si>
  <si>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</si>
  <si>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</si>
  <si>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</si>
  <si>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</si>
  <si>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</si>
  <si>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</si>
  <si>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</si>
  <si>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</si>
  <si>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</si>
  <si>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</si>
  <si>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</si>
  <si>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</si>
  <si>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</si>
  <si>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</si>
  <si>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</si>
  <si>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</si>
  <si>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</si>
  <si>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</si>
  <si>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</si>
  <si>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</si>
  <si>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</si>
  <si>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</si>
  <si>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</si>
  <si>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</si>
  <si>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</si>
  <si>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</si>
  <si>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</si>
  <si>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</si>
  <si>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</si>
  <si>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</si>
  <si>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</si>
  <si>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</si>
  <si>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</si>
  <si>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</si>
  <si>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</si>
  <si>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</si>
  <si>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</si>
  <si>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</si>
  <si>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</si>
  <si>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</si>
  <si>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</si>
  <si>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</si>
  <si>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</si>
  <si>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</si>
  <si>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</si>
  <si>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</si>
  <si>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</si>
  <si>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</si>
  <si>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</si>
  <si>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</si>
  <si>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</si>
  <si>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</si>
  <si>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</si>
  <si>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</si>
  <si>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</si>
  <si>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</si>
  <si>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</si>
  <si>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</si>
  <si>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</si>
  <si>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</si>
  <si>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</si>
  <si>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</si>
  <si>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</si>
  <si>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</si>
  <si>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</si>
  <si>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</si>
  <si>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</si>
  <si>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</si>
  <si>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</si>
  <si>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</si>
  <si>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</si>
  <si>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</si>
  <si>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</si>
  <si>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</si>
  <si>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</si>
  <si>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</si>
  <si>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</si>
  <si>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</si>
  <si>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</si>
  <si>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</si>
  <si>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</si>
  <si>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</si>
  <si>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</si>
  <si>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</si>
  <si>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</si>
  <si>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</si>
  <si>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</si>
  <si>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</si>
  <si>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</si>
  <si>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</si>
  <si>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</si>
  <si>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</si>
  <si>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</si>
  <si>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</si>
  <si>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</si>
  <si>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</si>
  <si>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</si>
  <si>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</si>
  <si>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</si>
  <si>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</si>
  <si>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</si>
  <si>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</si>
  <si>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</si>
  <si>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</si>
  <si>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</si>
  <si>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</si>
  <si>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</si>
  <si>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</si>
  <si>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</si>
  <si>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</si>
  <si>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</si>
  <si>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</si>
  <si>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</si>
  <si>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</si>
  <si>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</si>
  <si>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</si>
  <si>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</si>
  <si>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</si>
  <si>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</si>
  <si>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</si>
  <si>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</si>
  <si>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</si>
  <si>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</si>
  <si>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</si>
  <si>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</si>
  <si>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</si>
  <si>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</si>
  <si>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</si>
  <si>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</si>
  <si>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</si>
  <si>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</si>
  <si>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</si>
  <si>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</si>
  <si>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</si>
  <si>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</si>
  <si>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</si>
  <si>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</si>
  <si>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</si>
  <si>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</si>
  <si>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</si>
  <si>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</si>
  <si>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</si>
  <si>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</si>
  <si>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</si>
  <si>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</si>
  <si>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</si>
  <si>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</si>
  <si>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</si>
  <si>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</si>
  <si>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</si>
  <si>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</si>
  <si>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</si>
  <si>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</si>
  <si>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</si>
  <si>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</si>
  <si>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</si>
  <si>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</si>
  <si>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</si>
  <si>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</si>
  <si>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</si>
  <si>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</si>
  <si>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</si>
  <si>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</si>
  <si>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</si>
  <si>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</si>
  <si>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</si>
  <si>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</si>
  <si>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</si>
  <si>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</si>
  <si>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</si>
  <si>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</si>
  <si>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</si>
  <si>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</si>
  <si>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</si>
  <si>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</si>
  <si>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</si>
  <si>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</si>
  <si>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</si>
  <si>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</si>
  <si>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</si>
  <si>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</si>
  <si>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</si>
  <si>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</si>
  <si>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</si>
  <si>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</si>
  <si>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</si>
  <si>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</si>
  <si>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</si>
  <si>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</si>
  <si>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</si>
  <si>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</si>
  <si>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</si>
  <si>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</si>
  <si>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</si>
  <si>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</si>
  <si>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</si>
  <si>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</si>
  <si>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</si>
  <si>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</si>
  <si>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</si>
  <si>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</si>
  <si>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</si>
  <si>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</si>
  <si>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</si>
  <si>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</si>
  <si>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</si>
  <si>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</si>
  <si>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</si>
  <si>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</si>
  <si>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</si>
  <si>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</si>
  <si>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</si>
  <si>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</si>
  <si>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</si>
  <si>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</si>
  <si>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</si>
  <si>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</si>
  <si>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</si>
  <si>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</si>
  <si>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</si>
  <si>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</si>
  <si>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</si>
  <si>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</si>
  <si>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</si>
  <si>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</si>
  <si>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</si>
  <si>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</si>
  <si>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</si>
  <si>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</si>
  <si>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</si>
  <si>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</si>
  <si>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</si>
  <si>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</si>
  <si>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</si>
  <si>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</si>
  <si>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</si>
  <si>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</si>
  <si>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</si>
  <si>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</si>
  <si>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</si>
  <si>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</si>
  <si>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</si>
  <si>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</si>
  <si>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</si>
  <si>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</si>
  <si>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</si>
  <si>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</si>
  <si>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</si>
  <si>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</si>
  <si>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</si>
  <si>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</si>
  <si>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</si>
  <si>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</si>
  <si>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</si>
  <si>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</si>
  <si>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</si>
  <si>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</si>
  <si>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</si>
  <si>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</si>
  <si>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</si>
  <si>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</si>
  <si>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</si>
  <si>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</si>
  <si>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</si>
  <si>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</si>
  <si>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</si>
  <si>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</si>
  <si>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</si>
  <si>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</si>
  <si>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</si>
  <si>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</si>
  <si>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</si>
  <si>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</si>
  <si>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</si>
  <si>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</si>
  <si>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</si>
  <si>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</si>
  <si>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</si>
  <si>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</si>
  <si>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</si>
  <si>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</si>
  <si>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</si>
  <si>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</si>
  <si>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</si>
  <si>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</si>
  <si>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</si>
  <si>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</si>
  <si>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</si>
  <si>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</si>
  <si>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</si>
  <si>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</si>
  <si>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</si>
  <si>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</si>
  <si>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</si>
  <si>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</si>
  <si>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</si>
  <si>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</si>
  <si>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</si>
  <si>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</si>
  <si>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</si>
  <si>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</si>
  <si>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</si>
  <si>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</si>
  <si>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</si>
  <si>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</si>
  <si>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</si>
  <si>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</si>
  <si>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</si>
  <si>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</si>
  <si>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</si>
  <si>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</si>
  <si>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</si>
  <si>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</si>
  <si>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</si>
  <si>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</si>
  <si>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</si>
  <si>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</si>
  <si>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</si>
  <si>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</si>
  <si>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</si>
  <si>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</si>
  <si>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</si>
  <si>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</si>
  <si>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</si>
  <si>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</si>
  <si>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</si>
  <si>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</si>
  <si>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</si>
  <si>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</si>
  <si>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</si>
  <si>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</si>
  <si>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</si>
  <si>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</si>
  <si>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</si>
  <si>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</si>
  <si>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</si>
  <si>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</si>
  <si>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</si>
  <si>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</si>
  <si>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</si>
  <si>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</si>
  <si>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</si>
  <si>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</si>
  <si>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</si>
  <si>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</si>
  <si>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</si>
  <si>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</si>
  <si>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</si>
  <si>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</si>
  <si>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</si>
  <si>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</si>
  <si>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</si>
  <si>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</si>
  <si>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</si>
  <si>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</si>
  <si>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</si>
  <si>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</si>
  <si>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</si>
  <si>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</si>
  <si>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</si>
  <si>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</si>
  <si>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</si>
  <si>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</si>
  <si>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</si>
  <si>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</si>
  <si>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</si>
  <si>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</si>
  <si>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</si>
  <si>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</si>
  <si>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</si>
  <si>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</si>
  <si>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</si>
  <si>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</si>
  <si>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</si>
  <si>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</si>
  <si>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</si>
  <si>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</si>
  <si>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</si>
  <si>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</si>
  <si>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</si>
  <si>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</si>
  <si>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</si>
  <si>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</si>
  <si>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</si>
  <si>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</si>
  <si>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</si>
  <si>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</si>
  <si>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</si>
  <si>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</si>
  <si>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</si>
  <si>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</si>
  <si>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</si>
  <si>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</si>
  <si>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</si>
  <si>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</si>
  <si>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</si>
  <si>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</si>
  <si>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</si>
  <si>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</si>
  <si>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</si>
  <si>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</si>
  <si>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</si>
  <si>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</si>
  <si>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</si>
  <si>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</si>
  <si>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</si>
  <si>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</si>
  <si>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</si>
  <si>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</si>
  <si>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</si>
  <si>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</si>
  <si>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</si>
  <si>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</si>
  <si>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</si>
  <si>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</si>
  <si>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</si>
  <si>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</si>
  <si>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</si>
  <si>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</si>
  <si>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</si>
  <si>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</si>
  <si>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</si>
  <si>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</si>
  <si>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</si>
  <si>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</si>
  <si>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</si>
  <si>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</si>
  <si>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</si>
  <si>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</si>
  <si>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</si>
  <si>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</si>
  <si>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</si>
  <si>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</si>
  <si>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</si>
  <si>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</si>
  <si>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</si>
  <si>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</si>
  <si>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</si>
  <si>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</si>
  <si>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</si>
  <si>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</si>
  <si>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</si>
  <si>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</si>
  <si>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</si>
  <si>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</si>
  <si>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</si>
  <si>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</si>
  <si>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</si>
  <si>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</si>
  <si>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</si>
  <si>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</si>
  <si>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</si>
  <si>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</si>
  <si>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</si>
  <si>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</si>
  <si>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</si>
  <si>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</si>
  <si>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</si>
  <si>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</si>
  <si>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</si>
  <si>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</si>
  <si>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</si>
  <si>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</si>
  <si>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</si>
  <si>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</si>
  <si>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</si>
  <si>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</si>
  <si>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</si>
  <si>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</si>
  <si>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</si>
  <si>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</si>
  <si>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</si>
  <si>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</si>
  <si>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</si>
  <si>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</si>
  <si>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</si>
  <si>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</si>
  <si>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</si>
  <si>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</si>
  <si>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</si>
  <si>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35013</t>
  </si>
  <si>
    <t>OOSTENDE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</si>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</sst>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35013</v>
      </c>
      <c r="B6" s="396"/>
      <c r="C6" s="397"/>
    </row>
    <row r="7" spans="1:7" s="394" customFormat="1" ht="15.75" customHeight="1">
      <c r="A7" s="398" t="str">
        <f>txtMunicipality</f>
        <v>OOSTENDE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0.2179183639677203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0.2179183639677203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35576</v>
      </c>
      <c r="C9" s="336">
        <v>37787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841</v>
      </c>
    </row>
    <row r="15" spans="1:6">
      <c r="A15" s="1277" t="s">
        <v>184</v>
      </c>
      <c r="B15" s="333">
        <v>6</v>
      </c>
    </row>
    <row r="16" spans="1:6">
      <c r="A16" s="1277" t="s">
        <v>6</v>
      </c>
      <c r="B16" s="333">
        <v>281</v>
      </c>
    </row>
    <row r="17" spans="1:6">
      <c r="A17" s="1277" t="s">
        <v>7</v>
      </c>
      <c r="B17" s="333">
        <v>285</v>
      </c>
    </row>
    <row r="18" spans="1:6">
      <c r="A18" s="1277" t="s">
        <v>8</v>
      </c>
      <c r="B18" s="333">
        <v>397</v>
      </c>
    </row>
    <row r="19" spans="1:6">
      <c r="A19" s="1277" t="s">
        <v>9</v>
      </c>
      <c r="B19" s="333">
        <v>314</v>
      </c>
    </row>
    <row r="20" spans="1:6">
      <c r="A20" s="1277" t="s">
        <v>10</v>
      </c>
      <c r="B20" s="333">
        <v>243</v>
      </c>
    </row>
    <row r="21" spans="1:6">
      <c r="A21" s="1277" t="s">
        <v>11</v>
      </c>
      <c r="B21" s="333">
        <v>380</v>
      </c>
    </row>
    <row r="22" spans="1:6">
      <c r="A22" s="1277" t="s">
        <v>12</v>
      </c>
      <c r="B22" s="333">
        <v>1269</v>
      </c>
    </row>
    <row r="23" spans="1:6">
      <c r="A23" s="1277" t="s">
        <v>13</v>
      </c>
      <c r="B23" s="333">
        <v>16</v>
      </c>
    </row>
    <row r="24" spans="1:6">
      <c r="A24" s="1277" t="s">
        <v>14</v>
      </c>
      <c r="B24" s="333">
        <v>1</v>
      </c>
    </row>
    <row r="25" spans="1:6">
      <c r="A25" s="1277" t="s">
        <v>15</v>
      </c>
      <c r="B25" s="333">
        <v>114</v>
      </c>
    </row>
    <row r="26" spans="1:6">
      <c r="A26" s="1277" t="s">
        <v>16</v>
      </c>
      <c r="B26" s="333">
        <v>133</v>
      </c>
    </row>
    <row r="27" spans="1:6">
      <c r="A27" s="1277" t="s">
        <v>17</v>
      </c>
      <c r="B27" s="333">
        <v>0</v>
      </c>
    </row>
    <row r="28" spans="1:6">
      <c r="A28" s="1277" t="s">
        <v>18</v>
      </c>
      <c r="B28" s="333">
        <v>0</v>
      </c>
    </row>
    <row r="29" spans="1:6">
      <c r="A29" s="1277" t="s">
        <v>959</v>
      </c>
      <c r="B29" s="333">
        <v>103</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3</v>
      </c>
      <c r="D36" s="333">
        <v>2432075.7353109899</v>
      </c>
      <c r="E36" s="333">
        <v>23</v>
      </c>
      <c r="F36" s="333">
        <v>91325.201671705305</v>
      </c>
    </row>
    <row r="37" spans="1:6">
      <c r="A37" s="1277" t="s">
        <v>25</v>
      </c>
      <c r="B37" s="1277" t="s">
        <v>28</v>
      </c>
      <c r="C37" s="333">
        <v>0</v>
      </c>
      <c r="D37" s="333">
        <v>0</v>
      </c>
      <c r="E37" s="333">
        <v>0</v>
      </c>
      <c r="F37" s="333">
        <v>0</v>
      </c>
    </row>
    <row r="38" spans="1:6">
      <c r="A38" s="1277" t="s">
        <v>25</v>
      </c>
      <c r="B38" s="1277" t="s">
        <v>29</v>
      </c>
      <c r="C38" s="333">
        <v>4</v>
      </c>
      <c r="D38" s="333">
        <v>268517.82811504498</v>
      </c>
      <c r="E38" s="333">
        <v>4</v>
      </c>
      <c r="F38" s="333">
        <v>38042.970239160597</v>
      </c>
    </row>
    <row r="39" spans="1:6">
      <c r="A39" s="1277" t="s">
        <v>30</v>
      </c>
      <c r="B39" s="1277" t="s">
        <v>31</v>
      </c>
      <c r="C39" s="333">
        <v>25251</v>
      </c>
      <c r="D39" s="333">
        <v>290099807.98801303</v>
      </c>
      <c r="E39" s="333">
        <v>44054</v>
      </c>
      <c r="F39" s="333">
        <v>146214416.421765</v>
      </c>
    </row>
    <row r="40" spans="1:6">
      <c r="A40" s="1277" t="s">
        <v>30</v>
      </c>
      <c r="B40" s="1277" t="s">
        <v>29</v>
      </c>
      <c r="C40" s="333">
        <v>0</v>
      </c>
      <c r="D40" s="333">
        <v>0</v>
      </c>
      <c r="E40" s="333">
        <v>0</v>
      </c>
      <c r="F40" s="333">
        <v>0</v>
      </c>
    </row>
    <row r="41" spans="1:6">
      <c r="A41" s="1277" t="s">
        <v>32</v>
      </c>
      <c r="B41" s="1277" t="s">
        <v>33</v>
      </c>
      <c r="C41" s="333">
        <v>209</v>
      </c>
      <c r="D41" s="333">
        <v>3598035.0890917899</v>
      </c>
      <c r="E41" s="333">
        <v>564</v>
      </c>
      <c r="F41" s="333">
        <v>8253345.4908024501</v>
      </c>
    </row>
    <row r="42" spans="1:6">
      <c r="A42" s="1277" t="s">
        <v>32</v>
      </c>
      <c r="B42" s="1277" t="s">
        <v>34</v>
      </c>
      <c r="C42" s="333">
        <v>4</v>
      </c>
      <c r="D42" s="333">
        <v>22270.4316056479</v>
      </c>
      <c r="E42" s="333">
        <v>4</v>
      </c>
      <c r="F42" s="333">
        <v>7719.9259391759997</v>
      </c>
    </row>
    <row r="43" spans="1:6">
      <c r="A43" s="1277" t="s">
        <v>32</v>
      </c>
      <c r="B43" s="1277" t="s">
        <v>35</v>
      </c>
      <c r="C43" s="333">
        <v>0</v>
      </c>
      <c r="D43" s="333">
        <v>0</v>
      </c>
      <c r="E43" s="333">
        <v>0</v>
      </c>
      <c r="F43" s="333">
        <v>0</v>
      </c>
    </row>
    <row r="44" spans="1:6">
      <c r="A44" s="1277" t="s">
        <v>32</v>
      </c>
      <c r="B44" s="1277" t="s">
        <v>36</v>
      </c>
      <c r="C44" s="333">
        <v>20</v>
      </c>
      <c r="D44" s="333">
        <v>17248000.184245698</v>
      </c>
      <c r="E44" s="333">
        <v>45</v>
      </c>
      <c r="F44" s="333">
        <v>7213190.26618734</v>
      </c>
    </row>
    <row r="45" spans="1:6">
      <c r="A45" s="1277" t="s">
        <v>32</v>
      </c>
      <c r="B45" s="1277" t="s">
        <v>37</v>
      </c>
      <c r="C45" s="333">
        <v>0</v>
      </c>
      <c r="D45" s="333">
        <v>0</v>
      </c>
      <c r="E45" s="333">
        <v>3</v>
      </c>
      <c r="F45" s="333">
        <v>975369.60906526097</v>
      </c>
    </row>
    <row r="46" spans="1:6">
      <c r="A46" s="1277" t="s">
        <v>32</v>
      </c>
      <c r="B46" s="1277" t="s">
        <v>38</v>
      </c>
      <c r="C46" s="333">
        <v>0</v>
      </c>
      <c r="D46" s="333">
        <v>0</v>
      </c>
      <c r="E46" s="333">
        <v>0</v>
      </c>
      <c r="F46" s="333">
        <v>0</v>
      </c>
    </row>
    <row r="47" spans="1:6">
      <c r="A47" s="1277" t="s">
        <v>32</v>
      </c>
      <c r="B47" s="1277" t="s">
        <v>39</v>
      </c>
      <c r="C47" s="333">
        <v>17</v>
      </c>
      <c r="D47" s="333">
        <v>792924.67114254704</v>
      </c>
      <c r="E47" s="333">
        <v>24</v>
      </c>
      <c r="F47" s="333">
        <v>1413652.10016144</v>
      </c>
    </row>
    <row r="48" spans="1:6">
      <c r="A48" s="1277" t="s">
        <v>32</v>
      </c>
      <c r="B48" s="1277" t="s">
        <v>29</v>
      </c>
      <c r="C48" s="333">
        <v>42</v>
      </c>
      <c r="D48" s="333">
        <v>37976089.643779397</v>
      </c>
      <c r="E48" s="333">
        <v>56</v>
      </c>
      <c r="F48" s="333">
        <v>21682766.256423499</v>
      </c>
    </row>
    <row r="49" spans="1:6">
      <c r="A49" s="1277" t="s">
        <v>32</v>
      </c>
      <c r="B49" s="1277" t="s">
        <v>40</v>
      </c>
      <c r="C49" s="333">
        <v>3</v>
      </c>
      <c r="D49" s="333">
        <v>224074.11321859801</v>
      </c>
      <c r="E49" s="333">
        <v>7</v>
      </c>
      <c r="F49" s="333">
        <v>215663.07318940101</v>
      </c>
    </row>
    <row r="50" spans="1:6">
      <c r="A50" s="1277" t="s">
        <v>32</v>
      </c>
      <c r="B50" s="1277" t="s">
        <v>41</v>
      </c>
      <c r="C50" s="333">
        <v>54</v>
      </c>
      <c r="D50" s="333">
        <v>11750630.3134159</v>
      </c>
      <c r="E50" s="333">
        <v>92</v>
      </c>
      <c r="F50" s="333">
        <v>12454011.259090301</v>
      </c>
    </row>
    <row r="51" spans="1:6">
      <c r="A51" s="1277" t="s">
        <v>42</v>
      </c>
      <c r="B51" s="1277" t="s">
        <v>43</v>
      </c>
      <c r="C51" s="333">
        <v>15</v>
      </c>
      <c r="D51" s="333">
        <v>275424.15922310099</v>
      </c>
      <c r="E51" s="333">
        <v>69</v>
      </c>
      <c r="F51" s="333">
        <v>535208.32539301796</v>
      </c>
    </row>
    <row r="52" spans="1:6">
      <c r="A52" s="1277" t="s">
        <v>42</v>
      </c>
      <c r="B52" s="1277" t="s">
        <v>29</v>
      </c>
      <c r="C52" s="333">
        <v>5</v>
      </c>
      <c r="D52" s="333">
        <v>28060.952541402799</v>
      </c>
      <c r="E52" s="333">
        <v>8</v>
      </c>
      <c r="F52" s="333">
        <v>183664.259698015</v>
      </c>
    </row>
    <row r="53" spans="1:6">
      <c r="A53" s="1277" t="s">
        <v>44</v>
      </c>
      <c r="B53" s="1277" t="s">
        <v>45</v>
      </c>
      <c r="C53" s="333">
        <v>944</v>
      </c>
      <c r="D53" s="333">
        <v>18588733.1157052</v>
      </c>
      <c r="E53" s="333">
        <v>1930</v>
      </c>
      <c r="F53" s="333">
        <v>9743901.5624145698</v>
      </c>
    </row>
    <row r="54" spans="1:6">
      <c r="A54" s="1277" t="s">
        <v>46</v>
      </c>
      <c r="B54" s="1277" t="s">
        <v>47</v>
      </c>
      <c r="C54" s="333">
        <v>0</v>
      </c>
      <c r="D54" s="333">
        <v>0</v>
      </c>
      <c r="E54" s="333">
        <v>150</v>
      </c>
      <c r="F54" s="333">
        <v>3753433.9515530998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195</v>
      </c>
      <c r="D57" s="333">
        <v>10144472.1239303</v>
      </c>
      <c r="E57" s="333">
        <v>657</v>
      </c>
      <c r="F57" s="333">
        <v>25276502.778894499</v>
      </c>
    </row>
    <row r="58" spans="1:6">
      <c r="A58" s="1277" t="s">
        <v>49</v>
      </c>
      <c r="B58" s="1277" t="s">
        <v>51</v>
      </c>
      <c r="C58" s="333">
        <v>108</v>
      </c>
      <c r="D58" s="333">
        <v>21730082.130520299</v>
      </c>
      <c r="E58" s="333">
        <v>182</v>
      </c>
      <c r="F58" s="333">
        <v>13129222.846245799</v>
      </c>
    </row>
    <row r="59" spans="1:6">
      <c r="A59" s="1277" t="s">
        <v>49</v>
      </c>
      <c r="B59" s="1277" t="s">
        <v>52</v>
      </c>
      <c r="C59" s="333">
        <v>627</v>
      </c>
      <c r="D59" s="333">
        <v>23223134.9864861</v>
      </c>
      <c r="E59" s="333">
        <v>1392</v>
      </c>
      <c r="F59" s="333">
        <v>46373193.703166902</v>
      </c>
    </row>
    <row r="60" spans="1:6">
      <c r="A60" s="1277" t="s">
        <v>49</v>
      </c>
      <c r="B60" s="1277" t="s">
        <v>53</v>
      </c>
      <c r="C60" s="333">
        <v>425</v>
      </c>
      <c r="D60" s="333">
        <v>26761189.532878399</v>
      </c>
      <c r="E60" s="333">
        <v>611</v>
      </c>
      <c r="F60" s="333">
        <v>23768483.4686202</v>
      </c>
    </row>
    <row r="61" spans="1:6">
      <c r="A61" s="1277" t="s">
        <v>49</v>
      </c>
      <c r="B61" s="1277" t="s">
        <v>54</v>
      </c>
      <c r="C61" s="333">
        <v>980</v>
      </c>
      <c r="D61" s="333">
        <v>82575705.244058907</v>
      </c>
      <c r="E61" s="333">
        <v>2995</v>
      </c>
      <c r="F61" s="333">
        <v>44148545.664426997</v>
      </c>
    </row>
    <row r="62" spans="1:6">
      <c r="A62" s="1277" t="s">
        <v>49</v>
      </c>
      <c r="B62" s="1277" t="s">
        <v>55</v>
      </c>
      <c r="C62" s="333">
        <v>45</v>
      </c>
      <c r="D62" s="333">
        <v>13238564.220917899</v>
      </c>
      <c r="E62" s="333">
        <v>64</v>
      </c>
      <c r="F62" s="333">
        <v>4185391.84800871</v>
      </c>
    </row>
    <row r="63" spans="1:6">
      <c r="A63" s="1277" t="s">
        <v>49</v>
      </c>
      <c r="B63" s="1277" t="s">
        <v>29</v>
      </c>
      <c r="C63" s="333">
        <v>107</v>
      </c>
      <c r="D63" s="333">
        <v>17436534.835822999</v>
      </c>
      <c r="E63" s="333">
        <v>75</v>
      </c>
      <c r="F63" s="333">
        <v>3510909.8603317998</v>
      </c>
    </row>
    <row r="64" spans="1:6">
      <c r="A64" s="1277" t="s">
        <v>56</v>
      </c>
      <c r="B64" s="1277" t="s">
        <v>57</v>
      </c>
      <c r="C64" s="333">
        <v>0</v>
      </c>
      <c r="D64" s="333">
        <v>0</v>
      </c>
      <c r="E64" s="333">
        <v>3</v>
      </c>
      <c r="F64" s="333">
        <v>12523.896570438001</v>
      </c>
    </row>
    <row r="65" spans="1:6">
      <c r="A65" s="1277" t="s">
        <v>56</v>
      </c>
      <c r="B65" s="1277" t="s">
        <v>29</v>
      </c>
      <c r="C65" s="333">
        <v>0</v>
      </c>
      <c r="D65" s="333">
        <v>0</v>
      </c>
      <c r="E65" s="333">
        <v>2</v>
      </c>
      <c r="F65" s="333">
        <v>140219.63562664</v>
      </c>
    </row>
    <row r="66" spans="1:6">
      <c r="A66" s="1277" t="s">
        <v>56</v>
      </c>
      <c r="B66" s="1277" t="s">
        <v>58</v>
      </c>
      <c r="C66" s="333">
        <v>0</v>
      </c>
      <c r="D66" s="333">
        <v>0</v>
      </c>
      <c r="E66" s="333">
        <v>3</v>
      </c>
      <c r="F66" s="333">
        <v>12836.737997451601</v>
      </c>
    </row>
    <row r="67" spans="1:6">
      <c r="A67" s="1284" t="s">
        <v>56</v>
      </c>
      <c r="B67" s="1284" t="s">
        <v>59</v>
      </c>
      <c r="C67" s="333">
        <v>0</v>
      </c>
      <c r="D67" s="333">
        <v>0</v>
      </c>
      <c r="E67" s="333">
        <v>0</v>
      </c>
      <c r="F67" s="333">
        <v>0</v>
      </c>
    </row>
    <row r="68" spans="1:6">
      <c r="A68" s="1273" t="s">
        <v>56</v>
      </c>
      <c r="B68" s="1273" t="s">
        <v>60</v>
      </c>
      <c r="C68" s="333">
        <v>19</v>
      </c>
      <c r="D68" s="333">
        <v>2606665.1648958102</v>
      </c>
      <c r="E68" s="333">
        <v>59</v>
      </c>
      <c r="F68" s="333">
        <v>6457333.0149249304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137359202</v>
      </c>
      <c r="E73" s="333">
        <v>141125932.84531495</v>
      </c>
      <c r="F73" s="333">
        <v>136666584</v>
      </c>
    </row>
    <row r="74" spans="1:6">
      <c r="A74" s="1277" t="s">
        <v>64</v>
      </c>
      <c r="B74" s="1277" t="s">
        <v>774</v>
      </c>
      <c r="C74" s="1288" t="s">
        <v>775</v>
      </c>
      <c r="D74" s="333">
        <v>15638193.099274995</v>
      </c>
      <c r="E74" s="333">
        <v>17008622.394396622</v>
      </c>
      <c r="F74" s="333">
        <v>15982581.963673612</v>
      </c>
    </row>
    <row r="75" spans="1:6">
      <c r="A75" s="1277" t="s">
        <v>65</v>
      </c>
      <c r="B75" s="1277" t="s">
        <v>772</v>
      </c>
      <c r="C75" s="1288" t="s">
        <v>776</v>
      </c>
      <c r="D75" s="333">
        <v>47404951</v>
      </c>
      <c r="E75" s="333">
        <v>44703077.540165119</v>
      </c>
      <c r="F75" s="333">
        <v>46355505</v>
      </c>
    </row>
    <row r="76" spans="1:6">
      <c r="A76" s="1277" t="s">
        <v>65</v>
      </c>
      <c r="B76" s="1277" t="s">
        <v>774</v>
      </c>
      <c r="C76" s="1288" t="s">
        <v>777</v>
      </c>
      <c r="D76" s="333">
        <v>5375088.0992749948</v>
      </c>
      <c r="E76" s="333">
        <v>5647702.2655687891</v>
      </c>
      <c r="F76" s="333">
        <v>5496620.963673613</v>
      </c>
    </row>
    <row r="77" spans="1:6">
      <c r="A77" s="1277" t="s">
        <v>66</v>
      </c>
      <c r="B77" s="1277" t="s">
        <v>772</v>
      </c>
      <c r="C77" s="1288" t="s">
        <v>778</v>
      </c>
      <c r="D77" s="333">
        <v>41856030</v>
      </c>
      <c r="E77" s="333">
        <v>50407574.562665477</v>
      </c>
      <c r="F77" s="333">
        <v>43902049</v>
      </c>
    </row>
    <row r="78" spans="1:6">
      <c r="A78" s="1273" t="s">
        <v>66</v>
      </c>
      <c r="B78" s="1273" t="s">
        <v>774</v>
      </c>
      <c r="C78" s="1273" t="s">
        <v>779</v>
      </c>
      <c r="D78" s="1273">
        <v>2187086</v>
      </c>
      <c r="E78" s="1273">
        <v>2188248.0430297619</v>
      </c>
      <c r="F78" s="336">
        <v>2013145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2876959.8014500109</v>
      </c>
      <c r="C83" s="333">
        <v>2592003.3615565971</v>
      </c>
      <c r="D83" s="333">
        <v>2570064.0726527744</v>
      </c>
    </row>
    <row r="84" spans="1:6">
      <c r="A84" s="1273" t="s">
        <v>337</v>
      </c>
      <c r="B84" s="336">
        <v>498409.30894949182</v>
      </c>
      <c r="C84" s="336">
        <v>509799.24737003481</v>
      </c>
      <c r="D84" s="336">
        <v>505145.20650603418</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2446.8151045384639</v>
      </c>
    </row>
    <row r="92" spans="1:6">
      <c r="A92" s="1273" t="s">
        <v>69</v>
      </c>
      <c r="B92" s="336">
        <v>2813.4973032963394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18029</v>
      </c>
    </row>
    <row r="98" spans="1:6">
      <c r="A98" s="1277" t="s">
        <v>72</v>
      </c>
      <c r="B98" s="333">
        <v>6</v>
      </c>
    </row>
    <row r="99" spans="1:6">
      <c r="A99" s="1277" t="s">
        <v>73</v>
      </c>
      <c r="B99" s="333">
        <v>78</v>
      </c>
    </row>
    <row r="100" spans="1:6">
      <c r="A100" s="1277" t="s">
        <v>74</v>
      </c>
      <c r="B100" s="333">
        <v>5998</v>
      </c>
    </row>
    <row r="101" spans="1:6">
      <c r="A101" s="1277" t="s">
        <v>75</v>
      </c>
      <c r="B101" s="333">
        <v>100</v>
      </c>
    </row>
    <row r="102" spans="1:6">
      <c r="A102" s="1277" t="s">
        <v>76</v>
      </c>
      <c r="B102" s="333">
        <v>847</v>
      </c>
    </row>
    <row r="103" spans="1:6">
      <c r="A103" s="1277" t="s">
        <v>77</v>
      </c>
      <c r="B103" s="333">
        <v>301</v>
      </c>
    </row>
    <row r="104" spans="1:6">
      <c r="A104" s="1277" t="s">
        <v>78</v>
      </c>
      <c r="B104" s="333">
        <v>6677</v>
      </c>
    </row>
    <row r="105" spans="1:6">
      <c r="A105" s="1273" t="s">
        <v>79</v>
      </c>
      <c r="B105" s="1273">
        <v>29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54</v>
      </c>
    </row>
    <row r="130" spans="1:6">
      <c r="A130" s="1277" t="s">
        <v>295</v>
      </c>
      <c r="B130" s="333">
        <v>0</v>
      </c>
    </row>
    <row r="131" spans="1:6">
      <c r="A131" s="1277" t="s">
        <v>296</v>
      </c>
      <c r="B131" s="333">
        <v>11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377244.10993192112</v>
      </c>
      <c r="C3" s="43" t="s">
        <v>170</v>
      </c>
      <c r="D3" s="43"/>
      <c r="E3" s="156"/>
      <c r="F3" s="43"/>
      <c r="G3" s="43"/>
      <c r="H3" s="43"/>
      <c r="I3" s="43"/>
      <c r="J3" s="43"/>
      <c r="K3" s="96"/>
    </row>
    <row r="4" spans="1:11">
      <c r="A4" s="364" t="s">
        <v>171</v>
      </c>
      <c r="B4" s="49">
        <f>IF(ISERROR('SEAP template'!B78+'SEAP template'!C78),0,'SEAP template'!B78+'SEAP template'!C78)</f>
        <v>5260.3124078348028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0.2179183639677203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3753.4339515530996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3753.4339515530996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0.2179183639677203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817.94218598334703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146214.416421765</v>
      </c>
      <c r="C5" s="17">
        <f>IF(ISERROR('Eigen informatie GS &amp; warmtenet'!B57),0,'Eigen informatie GS &amp; warmtenet'!B57)</f>
        <v>0</v>
      </c>
      <c r="D5" s="30">
        <f>(SUM(HH_hh_gas_kWh,HH_rest_gas_kWh)/1000)*0.902</f>
        <v>261670.02680518775</v>
      </c>
      <c r="E5" s="17">
        <f>B46*B57</f>
        <v>2678.1285663817926</v>
      </c>
      <c r="F5" s="17">
        <f>B51*B62</f>
        <v>0</v>
      </c>
      <c r="G5" s="18"/>
      <c r="H5" s="17"/>
      <c r="I5" s="17"/>
      <c r="J5" s="17">
        <f>B50*B61+C50*C61</f>
        <v>0</v>
      </c>
      <c r="K5" s="17"/>
      <c r="L5" s="17"/>
      <c r="M5" s="17"/>
      <c r="N5" s="17">
        <f>B48*B59+C48*C59</f>
        <v>9934.2874032022628</v>
      </c>
      <c r="O5" s="17">
        <f>B69*B70*B71</f>
        <v>101.61666666666667</v>
      </c>
      <c r="P5" s="17">
        <f>B77*B78*B79/1000-B77*B78*B79/1000/B80</f>
        <v>305.06666666666666</v>
      </c>
    </row>
    <row r="6" spans="1:16">
      <c r="A6" s="16" t="s">
        <v>632</v>
      </c>
      <c r="B6" s="779">
        <f>kWh_PV_kleiner_dan_10kW</f>
        <v>2446.8151045384639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148661.23152630345</v>
      </c>
      <c r="C8" s="21">
        <f>C5</f>
        <v>0</v>
      </c>
      <c r="D8" s="21">
        <f>D5</f>
        <v>261670.02680518775</v>
      </c>
      <c r="E8" s="21">
        <f>E5</f>
        <v>2678.1285663817926</v>
      </c>
      <c r="F8" s="21">
        <f>F5</f>
        <v>0</v>
      </c>
      <c r="G8" s="21"/>
      <c r="H8" s="21"/>
      <c r="I8" s="21"/>
      <c r="J8" s="21">
        <f>J5</f>
        <v>0</v>
      </c>
      <c r="K8" s="21"/>
      <c r="L8" s="21">
        <f>L5</f>
        <v>0</v>
      </c>
      <c r="M8" s="21">
        <f>M5</f>
        <v>0</v>
      </c>
      <c r="N8" s="21">
        <f>N5</f>
        <v>9934.2874032022628</v>
      </c>
      <c r="O8" s="21">
        <f>O5</f>
        <v>101.61666666666667</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0.2179183639677203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32396.012359638531</v>
      </c>
      <c r="C12" s="23">
        <f ca="1">C10*C8</f>
        <v>0</v>
      </c>
      <c r="D12" s="23">
        <f>D8*D10</f>
        <v>52857.345414647927</v>
      </c>
      <c r="E12" s="23">
        <f>E10*E8</f>
        <v>607.93518456866695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18029</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1.2629533678756477</v>
      </c>
      <c r="D20" s="230"/>
      <c r="E20" s="15"/>
    </row>
    <row r="21" spans="1:7">
      <c r="A21" s="172" t="s">
        <v>74</v>
      </c>
      <c r="B21" s="37">
        <f>aantalw2001_elektriciteit</f>
        <v>5998</v>
      </c>
      <c r="C21" s="168">
        <f>IF(ISERROR(B21/SUM($B$20,$B$21,$B$22)*100),0,B21/SUM($B$20,$B$21,$B$22)*100)</f>
        <v>97.117875647668399</v>
      </c>
      <c r="D21" s="230"/>
      <c r="E21" s="15"/>
    </row>
    <row r="22" spans="1:7">
      <c r="A22" s="172" t="s">
        <v>75</v>
      </c>
      <c r="B22" s="37">
        <f>aantalw2001_hout</f>
        <v>100</v>
      </c>
      <c r="C22" s="168">
        <f>IF(ISERROR(B22/SUM($B$20,$B$21,$B$22)*100),0,B22/SUM($B$20,$B$21,$B$22)*100)</f>
        <v>1.6191709844559583</v>
      </c>
      <c r="D22" s="230"/>
      <c r="E22" s="15"/>
    </row>
    <row r="23" spans="1:7">
      <c r="A23" s="172" t="s">
        <v>76</v>
      </c>
      <c r="B23" s="37">
        <f>aantalw2001_niet_gespec</f>
        <v>847</v>
      </c>
      <c r="C23" s="167" t="s">
        <v>111</v>
      </c>
      <c r="D23" s="229"/>
      <c r="E23" s="15"/>
    </row>
    <row r="24" spans="1:7">
      <c r="A24" s="172" t="s">
        <v>77</v>
      </c>
      <c r="B24" s="37">
        <f>aantalw2001_steenkool</f>
        <v>301</v>
      </c>
      <c r="C24" s="167" t="s">
        <v>111</v>
      </c>
      <c r="D24" s="230"/>
      <c r="E24" s="15"/>
    </row>
    <row r="25" spans="1:7">
      <c r="A25" s="172" t="s">
        <v>78</v>
      </c>
      <c r="B25" s="37">
        <f>aantalw2001_stookolie</f>
        <v>6677</v>
      </c>
      <c r="C25" s="167" t="s">
        <v>111</v>
      </c>
      <c r="D25" s="229"/>
      <c r="E25" s="52"/>
    </row>
    <row r="26" spans="1:7">
      <c r="A26" s="172" t="s">
        <v>79</v>
      </c>
      <c r="B26" s="37">
        <f>aantalw2001_WP</f>
        <v>29</v>
      </c>
      <c r="C26" s="167" t="s">
        <v>111</v>
      </c>
      <c r="D26" s="229"/>
      <c r="E26" s="15"/>
    </row>
    <row r="27" spans="1:7" s="15" customFormat="1">
      <c r="A27" s="172"/>
      <c r="B27" s="29"/>
      <c r="C27" s="36"/>
      <c r="D27" s="229"/>
    </row>
    <row r="28" spans="1:7" s="15" customFormat="1">
      <c r="A28" s="231" t="s">
        <v>712</v>
      </c>
      <c r="B28" s="37">
        <f>aantalHuishoudens2011</f>
        <v>35576</v>
      </c>
      <c r="C28" s="36"/>
      <c r="D28" s="229"/>
    </row>
    <row r="29" spans="1:7" s="15" customFormat="1">
      <c r="A29" s="231" t="s">
        <v>713</v>
      </c>
      <c r="B29" s="37">
        <f>SUM(HH_hh_gas_aantal,HH_rest_gas_aantal)</f>
        <v>25251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25251</v>
      </c>
      <c r="C32" s="168">
        <f>IF(ISERROR(B32/SUM($B$32,$B$34,$B$35,$B$36,$B$38,$B$39)*100),0,B32/SUM($B$32,$B$34,$B$35,$B$36,$B$38,$B$39)*100)</f>
        <v>71.009561304836879</v>
      </c>
      <c r="D32" s="234"/>
      <c r="G32" s="15"/>
    </row>
    <row r="33" spans="1:7">
      <c r="A33" s="172" t="s">
        <v>72</v>
      </c>
      <c r="B33" s="34" t="s">
        <v>111</v>
      </c>
      <c r="C33" s="168"/>
      <c r="D33" s="234"/>
      <c r="G33" s="15"/>
    </row>
    <row r="34" spans="1:7">
      <c r="A34" s="172" t="s">
        <v>73</v>
      </c>
      <c r="B34" s="33">
        <f>IF((($B$28-$B$32-$B$39-$B$77-$B$38)*C20/100)&lt;0,0,($B$28-$B$32-$B$39-$B$77-$B$38)*C20/100)</f>
        <v>130.19786269430054</v>
      </c>
      <c r="C34" s="168">
        <f>IF(ISERROR(B34/SUM($B$32,$B$34,$B$35,$B$36,$B$38,$B$39)*100),0,B34/SUM($B$32,$B$34,$B$35,$B$36,$B$38,$B$39)*100)</f>
        <v>0.36613572186248738</v>
      </c>
      <c r="D34" s="234"/>
      <c r="G34" s="15"/>
    </row>
    <row r="35" spans="1:7">
      <c r="A35" s="172" t="s">
        <v>74</v>
      </c>
      <c r="B35" s="33">
        <f>IF((($B$28-$B$32-$B$39-$B$77-$B$38)*C21/100)&lt;0,0,($B$28-$B$32-$B$39-$B$77-$B$38)*C21/100)</f>
        <v>10011.881800518135</v>
      </c>
      <c r="C35" s="168">
        <f>IF(ISERROR(B35/SUM($B$32,$B$34,$B$35,$B$36,$B$38,$B$39)*100),0,B35/SUM($B$32,$B$34,$B$35,$B$36,$B$38,$B$39)*100)</f>
        <v>28.154898201682037</v>
      </c>
      <c r="D35" s="234"/>
      <c r="G35" s="15"/>
    </row>
    <row r="36" spans="1:7">
      <c r="A36" s="172" t="s">
        <v>75</v>
      </c>
      <c r="B36" s="33">
        <f>IF((($B$28-$B$32-$B$39-$B$77-$B$38)*C22/100)&lt;0,0,($B$28-$B$32-$B$39-$B$77-$B$38)*C22/100)</f>
        <v>166.92033678756474</v>
      </c>
      <c r="C36" s="168">
        <f>IF(ISERROR(B36/SUM($B$32,$B$34,$B$35,$B$36,$B$38,$B$39)*100),0,B36/SUM($B$32,$B$34,$B$35,$B$36,$B$38,$B$39)*100)</f>
        <v>0.46940477161857336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25251</v>
      </c>
      <c r="C44" s="34" t="s">
        <v>111</v>
      </c>
      <c r="D44" s="175"/>
    </row>
    <row r="45" spans="1:7">
      <c r="A45" s="172" t="s">
        <v>72</v>
      </c>
      <c r="B45" s="33" t="str">
        <f t="shared" si="0"/>
        <v>-</v>
      </c>
      <c r="C45" s="34" t="s">
        <v>111</v>
      </c>
      <c r="D45" s="175"/>
    </row>
    <row r="46" spans="1:7">
      <c r="A46" s="172" t="s">
        <v>73</v>
      </c>
      <c r="B46" s="33">
        <f t="shared" si="0"/>
        <v>130.19786269430054</v>
      </c>
      <c r="C46" s="34" t="s">
        <v>111</v>
      </c>
      <c r="D46" s="175"/>
    </row>
    <row r="47" spans="1:7">
      <c r="A47" s="172" t="s">
        <v>74</v>
      </c>
      <c r="B47" s="33">
        <f t="shared" si="0"/>
        <v>10011.881800518135</v>
      </c>
      <c r="C47" s="34" t="s">
        <v>111</v>
      </c>
      <c r="D47" s="175"/>
    </row>
    <row r="48" spans="1:7">
      <c r="A48" s="172" t="s">
        <v>75</v>
      </c>
      <c r="B48" s="33">
        <f t="shared" si="0"/>
        <v>166.92033678756474</v>
      </c>
      <c r="C48" s="33">
        <f>B48*10</f>
        <v>1669.2033678756475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160392.25016969489</v>
      </c>
      <c r="C5" s="17">
        <f>IF(ISERROR('Eigen informatie GS &amp; warmtenet'!B58),0,'Eigen informatie GS &amp; warmtenet'!B58)</f>
        <v>0</v>
      </c>
      <c r="D5" s="30">
        <f>SUM(D6:D12)</f>
        <v>175988.93413330262</v>
      </c>
      <c r="E5" s="17">
        <f>SUM(E6:E12)</f>
        <v>3362.3228566720641</v>
      </c>
      <c r="F5" s="17">
        <f>SUM(F6:F12)</f>
        <v>31640.728852947053</v>
      </c>
      <c r="G5" s="18"/>
      <c r="H5" s="17"/>
      <c r="I5" s="17"/>
      <c r="J5" s="17">
        <f>SUM(J6:J12)</f>
        <v>0</v>
      </c>
      <c r="K5" s="17"/>
      <c r="L5" s="17"/>
      <c r="M5" s="17"/>
      <c r="N5" s="17">
        <f>SUM(N6:N12)</f>
        <v>6414.0147552303379</v>
      </c>
      <c r="O5" s="17">
        <f>B38*B39*B40</f>
        <v>0</v>
      </c>
      <c r="P5" s="17">
        <f>B46*B47*B48/1000-B46*B47*B48/1000/B49</f>
        <v>209.73333333333335</v>
      </c>
      <c r="R5" s="32"/>
    </row>
    <row r="6" spans="1:18">
      <c r="A6" s="32" t="s">
        <v>54</v>
      </c>
      <c r="B6" s="37">
        <f>B26</f>
        <v>44148.545664426994</v>
      </c>
      <c r="C6" s="33"/>
      <c r="D6" s="37">
        <f>IF(ISERROR(TER_kantoor_gas_kWh/1000),0,TER_kantoor_gas_kWh/1000)*0.902</f>
        <v>74483.286130141132</v>
      </c>
      <c r="E6" s="33">
        <f>$C$26*'E Balans VL '!I12/100/3.6*1000000</f>
        <v>1545.372767447903</v>
      </c>
      <c r="F6" s="33">
        <f>$C$26*('E Balans VL '!L12+'E Balans VL '!N12)/100/3.6*1000000</f>
        <v>6693.8673827143703</v>
      </c>
      <c r="G6" s="34"/>
      <c r="H6" s="33"/>
      <c r="I6" s="33"/>
      <c r="J6" s="33">
        <f>$C$26*('E Balans VL '!D12+'E Balans VL '!E12)/100/3.6*1000000</f>
        <v>0</v>
      </c>
      <c r="K6" s="33"/>
      <c r="L6" s="33"/>
      <c r="M6" s="33"/>
      <c r="N6" s="33">
        <f>$C$26*'E Balans VL '!Y12/100/3.6*1000000</f>
        <v>341.25443987151931</v>
      </c>
      <c r="O6" s="33"/>
      <c r="P6" s="33"/>
      <c r="R6" s="32"/>
    </row>
    <row r="7" spans="1:18">
      <c r="A7" s="32" t="s">
        <v>53</v>
      </c>
      <c r="B7" s="37">
        <f t="shared" ref="B7:B12" si="0">B27</f>
        <v>23768.483468620201</v>
      </c>
      <c r="C7" s="33"/>
      <c r="D7" s="37">
        <f>IF(ISERROR(TER_horeca_gas_kWh/1000),0,TER_horeca_gas_kWh/1000)*0.902</f>
        <v>24138.592958656314</v>
      </c>
      <c r="E7" s="33">
        <f>$C$27*'E Balans VL '!I9/100/3.6*1000000</f>
        <v>1340.8585114905902</v>
      </c>
      <c r="F7" s="33">
        <f>$C$27*('E Balans VL '!L9+'E Balans VL '!N9)/100/3.6*1000000</f>
        <v>4140.6013567100035</v>
      </c>
      <c r="G7" s="34"/>
      <c r="H7" s="33"/>
      <c r="I7" s="33"/>
      <c r="J7" s="33">
        <f>$C$27*('E Balans VL '!D9+'E Balans VL '!E9)/100/3.6*1000000</f>
        <v>0</v>
      </c>
      <c r="K7" s="33"/>
      <c r="L7" s="33"/>
      <c r="M7" s="33"/>
      <c r="N7" s="33">
        <f>$C$27*'E Balans VL '!Y9/100/3.6*1000000</f>
        <v>0</v>
      </c>
      <c r="O7" s="33"/>
      <c r="P7" s="33"/>
      <c r="R7" s="32"/>
    </row>
    <row r="8" spans="1:18">
      <c r="A8" s="6" t="s">
        <v>52</v>
      </c>
      <c r="B8" s="37">
        <f t="shared" si="0"/>
        <v>46373.1937031669</v>
      </c>
      <c r="C8" s="33"/>
      <c r="D8" s="37">
        <f>IF(ISERROR(TER_handel_gas_kWh/1000),0,TER_handel_gas_kWh/1000)*0.902</f>
        <v>20947.267757810463</v>
      </c>
      <c r="E8" s="33">
        <f>$C$28*'E Balans VL '!I13/100/3.6*1000000</f>
        <v>238.0752650239105</v>
      </c>
      <c r="F8" s="33">
        <f>$C$28*('E Balans VL '!L13+'E Balans VL '!N13)/100/3.6*1000000</f>
        <v>7150.0299296296398</v>
      </c>
      <c r="G8" s="34"/>
      <c r="H8" s="33"/>
      <c r="I8" s="33"/>
      <c r="J8" s="33">
        <f>$C$28*('E Balans VL '!D13+'E Balans VL '!E13)/100/3.6*1000000</f>
        <v>0</v>
      </c>
      <c r="K8" s="33"/>
      <c r="L8" s="33"/>
      <c r="M8" s="33"/>
      <c r="N8" s="33">
        <f>$C$28*'E Balans VL '!Y13/100/3.6*1000000</f>
        <v>21.689308755994247</v>
      </c>
      <c r="O8" s="33"/>
      <c r="P8" s="33"/>
      <c r="R8" s="32"/>
    </row>
    <row r="9" spans="1:18">
      <c r="A9" s="32" t="s">
        <v>51</v>
      </c>
      <c r="B9" s="37">
        <f t="shared" si="0"/>
        <v>13129.222846245799</v>
      </c>
      <c r="C9" s="33"/>
      <c r="D9" s="37">
        <f>IF(ISERROR(TER_gezond_gas_kWh/1000),0,TER_gezond_gas_kWh/1000)*0.902</f>
        <v>19600.534081729311</v>
      </c>
      <c r="E9" s="33">
        <f>$C$29*'E Balans VL '!I10/100/3.6*1000000</f>
        <v>5.4419693667948987</v>
      </c>
      <c r="F9" s="33">
        <f>$C$29*('E Balans VL '!L10+'E Balans VL '!N10)/100/3.6*1000000</f>
        <v>3233.5392888571564</v>
      </c>
      <c r="G9" s="34"/>
      <c r="H9" s="33"/>
      <c r="I9" s="33"/>
      <c r="J9" s="33">
        <f>$C$29*('E Balans VL '!D10+'E Balans VL '!E10)/100/3.6*1000000</f>
        <v>0</v>
      </c>
      <c r="K9" s="33"/>
      <c r="L9" s="33"/>
      <c r="M9" s="33"/>
      <c r="N9" s="33">
        <f>$C$29*'E Balans VL '!Y10/100/3.6*1000000</f>
        <v>113.46898186080824</v>
      </c>
      <c r="O9" s="33"/>
      <c r="P9" s="33"/>
      <c r="R9" s="32"/>
    </row>
    <row r="10" spans="1:18">
      <c r="A10" s="32" t="s">
        <v>50</v>
      </c>
      <c r="B10" s="37">
        <f t="shared" si="0"/>
        <v>25276.502778894497</v>
      </c>
      <c r="C10" s="33"/>
      <c r="D10" s="37">
        <f>IF(ISERROR(TER_ander_gas_kWh/1000),0,TER_ander_gas_kWh/1000)*0.902</f>
        <v>9150.3138557851307</v>
      </c>
      <c r="E10" s="33">
        <f>$C$30*'E Balans VL '!I14/100/3.6*1000000</f>
        <v>154.08618457964656</v>
      </c>
      <c r="F10" s="33">
        <f>$C$30*('E Balans VL '!L14+'E Balans VL '!N14)/100/3.6*1000000</f>
        <v>6701.1471354962932</v>
      </c>
      <c r="G10" s="34"/>
      <c r="H10" s="33"/>
      <c r="I10" s="33"/>
      <c r="J10" s="33">
        <f>$C$30*('E Balans VL '!D14+'E Balans VL '!E14)/100/3.6*1000000</f>
        <v>0</v>
      </c>
      <c r="K10" s="33"/>
      <c r="L10" s="33"/>
      <c r="M10" s="33"/>
      <c r="N10" s="33">
        <f>$C$30*'E Balans VL '!Y14/100/3.6*1000000</f>
        <v>5825.6877055116502</v>
      </c>
      <c r="O10" s="33"/>
      <c r="P10" s="33"/>
      <c r="R10" s="32"/>
    </row>
    <row r="11" spans="1:18">
      <c r="A11" s="32" t="s">
        <v>55</v>
      </c>
      <c r="B11" s="37">
        <f t="shared" si="0"/>
        <v>4185.3918480087095</v>
      </c>
      <c r="C11" s="33"/>
      <c r="D11" s="37">
        <f>IF(ISERROR(TER_onderwijs_gas_kWh/1000),0,TER_onderwijs_gas_kWh/1000)*0.902</f>
        <v>11941.184927267945</v>
      </c>
      <c r="E11" s="33">
        <f>$C$31*'E Balans VL '!I11/100/3.6*1000000</f>
        <v>3.1894865238385082</v>
      </c>
      <c r="F11" s="33">
        <f>$C$31*('E Balans VL '!L11+'E Balans VL '!N11)/100/3.6*1000000</f>
        <v>3028.7789102359193</v>
      </c>
      <c r="G11" s="34"/>
      <c r="H11" s="33"/>
      <c r="I11" s="33"/>
      <c r="J11" s="33">
        <f>$C$31*('E Balans VL '!D11+'E Balans VL '!E11)/100/3.6*1000000</f>
        <v>0</v>
      </c>
      <c r="K11" s="33"/>
      <c r="L11" s="33"/>
      <c r="M11" s="33"/>
      <c r="N11" s="33">
        <f>$C$31*'E Balans VL '!Y11/100/3.6*1000000</f>
        <v>12.335350066506082</v>
      </c>
      <c r="O11" s="33"/>
      <c r="P11" s="33"/>
      <c r="R11" s="32"/>
    </row>
    <row r="12" spans="1:18">
      <c r="A12" s="32" t="s">
        <v>260</v>
      </c>
      <c r="B12" s="37">
        <f t="shared" si="0"/>
        <v>3510.9098603317998</v>
      </c>
      <c r="C12" s="33"/>
      <c r="D12" s="37">
        <f>IF(ISERROR(TER_rest_gas_kWh/1000),0,TER_rest_gas_kWh/1000)*0.902</f>
        <v>15727.754421912347</v>
      </c>
      <c r="E12" s="33">
        <f>$C$32*'E Balans VL '!I8/100/3.6*1000000</f>
        <v>75.298672239380011</v>
      </c>
      <c r="F12" s="33">
        <f>$C$32*('E Balans VL '!L8+'E Balans VL '!N8)/100/3.6*1000000</f>
        <v>692.76484930367099</v>
      </c>
      <c r="G12" s="34"/>
      <c r="H12" s="33"/>
      <c r="I12" s="33"/>
      <c r="J12" s="33">
        <f>$C$32*('E Balans VL '!D8+'E Balans VL '!E8)/100/3.6*1000000</f>
        <v>0</v>
      </c>
      <c r="K12" s="33"/>
      <c r="L12" s="33"/>
      <c r="M12" s="33"/>
      <c r="N12" s="33">
        <f>$C$32*'E Balans VL '!Y8/100/3.6*1000000</f>
        <v>99.578969163860478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160392.25016969489</v>
      </c>
      <c r="C16" s="21">
        <f ca="1">C5+C13+C14</f>
        <v>0</v>
      </c>
      <c r="D16" s="21">
        <f t="shared" ref="D16:N16" ca="1" si="1">MAX((D5+D13+D14),0)</f>
        <v>175988.93413330262</v>
      </c>
      <c r="E16" s="21">
        <f t="shared" si="1"/>
        <v>3362.3228566720641</v>
      </c>
      <c r="F16" s="21">
        <f t="shared" ca="1" si="1"/>
        <v>31640.728852947053</v>
      </c>
      <c r="G16" s="21">
        <f t="shared" si="1"/>
        <v>0</v>
      </c>
      <c r="H16" s="21">
        <f t="shared" si="1"/>
        <v>0</v>
      </c>
      <c r="I16" s="21">
        <f t="shared" si="1"/>
        <v>0</v>
      </c>
      <c r="J16" s="21">
        <f t="shared" si="1"/>
        <v>0</v>
      </c>
      <c r="K16" s="21">
        <f t="shared" si="1"/>
        <v>0</v>
      </c>
      <c r="L16" s="21">
        <f t="shared" ca="1" si="1"/>
        <v>0</v>
      </c>
      <c r="M16" s="21">
        <f t="shared" si="1"/>
        <v>0</v>
      </c>
      <c r="N16" s="21">
        <f t="shared" ca="1" si="1"/>
        <v>6414.0147552303379</v>
      </c>
      <c r="O16" s="21">
        <f>O5</f>
        <v>0</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0.2179183639677203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34952.416750081218</v>
      </c>
      <c r="C20" s="23">
        <f t="shared" ref="C20:P20" ca="1" si="2">C16*C18</f>
        <v>0</v>
      </c>
      <c r="D20" s="23">
        <f t="shared" ca="1" si="2"/>
        <v>35549.764694927129</v>
      </c>
      <c r="E20" s="23">
        <f t="shared" si="2"/>
        <v>763.24728846455855</v>
      </c>
      <c r="F20" s="23">
        <f t="shared" ca="1" si="2"/>
        <v>8448.0746037368644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44148.545664426994</v>
      </c>
      <c r="C26" s="39">
        <f>IF(ISERROR(B26*3.6/1000000/'E Balans VL '!Z12*100),0,B26*3.6/1000000/'E Balans VL '!Z12*100)</f>
        <v>0.92903292865594034</v>
      </c>
      <c r="D26" s="238" t="s">
        <v>719</v>
      </c>
      <c r="F26" s="6"/>
    </row>
    <row r="27" spans="1:18">
      <c r="A27" s="232" t="s">
        <v>53</v>
      </c>
      <c r="B27" s="33">
        <f>IF(ISERROR(TER_horeca_ele_kWh/1000),0,TER_horeca_ele_kWh/1000)</f>
        <v>23768.483468620201</v>
      </c>
      <c r="C27" s="39">
        <f>IF(ISERROR(B27*3.6/1000000/'E Balans VL '!Z9*100),0,B27*3.6/1000000/'E Balans VL '!Z9*100)</f>
        <v>2.0124107064680321</v>
      </c>
      <c r="D27" s="238" t="s">
        <v>719</v>
      </c>
      <c r="F27" s="6"/>
    </row>
    <row r="28" spans="1:18">
      <c r="A28" s="172" t="s">
        <v>52</v>
      </c>
      <c r="B28" s="33">
        <f>IF(ISERROR(TER_handel_ele_kWh/1000),0,TER_handel_ele_kWh/1000)</f>
        <v>46373.1937031669</v>
      </c>
      <c r="C28" s="39">
        <f>IF(ISERROR(B28*3.6/1000000/'E Balans VL '!Z13*100),0,B28*3.6/1000000/'E Balans VL '!Z13*100)</f>
        <v>1.2838354552312039</v>
      </c>
      <c r="D28" s="238" t="s">
        <v>719</v>
      </c>
      <c r="F28" s="6"/>
    </row>
    <row r="29" spans="1:18">
      <c r="A29" s="232" t="s">
        <v>51</v>
      </c>
      <c r="B29" s="33">
        <f>IF(ISERROR(TER_gezond_ele_kWh/1000),0,TER_gezond_ele_kWh/1000)</f>
        <v>13129.222846245799</v>
      </c>
      <c r="C29" s="39">
        <f>IF(ISERROR(B29*3.6/1000000/'E Balans VL '!Z10*100),0,B29*3.6/1000000/'E Balans VL '!Z10*100)</f>
        <v>1.706653415606556</v>
      </c>
      <c r="D29" s="238" t="s">
        <v>719</v>
      </c>
      <c r="F29" s="6"/>
    </row>
    <row r="30" spans="1:18">
      <c r="A30" s="232" t="s">
        <v>50</v>
      </c>
      <c r="B30" s="33">
        <f>IF(ISERROR(TER_ander_ele_kWh/1000),0,TER_ander_ele_kWh/1000)</f>
        <v>25276.502778894497</v>
      </c>
      <c r="C30" s="39">
        <f>IF(ISERROR(B30*3.6/1000000/'E Balans VL '!Z14*100),0,B30*3.6/1000000/'E Balans VL '!Z14*100)</f>
        <v>1.9591607686024914</v>
      </c>
      <c r="D30" s="238" t="s">
        <v>719</v>
      </c>
      <c r="F30" s="6"/>
    </row>
    <row r="31" spans="1:18">
      <c r="A31" s="232" t="s">
        <v>55</v>
      </c>
      <c r="B31" s="33">
        <f>IF(ISERROR(TER_onderwijs_ele_kWh/1000),0,TER_onderwijs_ele_kWh/1000)</f>
        <v>4185.3918480087095</v>
      </c>
      <c r="C31" s="39">
        <f>IF(ISERROR(B31*3.6/1000000/'E Balans VL '!Z11*100),0,B31*3.6/1000000/'E Balans VL '!Z11*100)</f>
        <v>0.80073677809192367</v>
      </c>
      <c r="D31" s="238" t="s">
        <v>719</v>
      </c>
    </row>
    <row r="32" spans="1:18">
      <c r="A32" s="232" t="s">
        <v>260</v>
      </c>
      <c r="B32" s="33">
        <f>IF(ISERROR(TER_rest_ele_kWh/1000),0,TER_rest_ele_kWh/1000)</f>
        <v>3510.9098603317998</v>
      </c>
      <c r="C32" s="39">
        <f>IF(ISERROR(B32*3.6/1000000/'E Balans VL '!Z8*100),0,B32*3.6/1000000/'E Balans VL '!Z8*100)</f>
        <v>2.8950147880758587E-2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52215.717980858863</v>
      </c>
      <c r="C5" s="17">
        <f>IF(ISERROR('Eigen informatie GS &amp; warmtenet'!B59),0,'Eigen informatie GS &amp; warmtenet'!B59)</f>
        <v>0</v>
      </c>
      <c r="D5" s="30">
        <f>SUM(D6:D15)</f>
        <v>64594.046050742625</v>
      </c>
      <c r="E5" s="17">
        <f>SUM(E6:E15)</f>
        <v>566.82239210146815</v>
      </c>
      <c r="F5" s="17">
        <f>SUM(F6:F15)</f>
        <v>13996.187036492427</v>
      </c>
      <c r="G5" s="18"/>
      <c r="H5" s="17"/>
      <c r="I5" s="17"/>
      <c r="J5" s="17">
        <f>SUM(J6:J15)</f>
        <v>352.40019902090364</v>
      </c>
      <c r="K5" s="17"/>
      <c r="L5" s="17"/>
      <c r="M5" s="17"/>
      <c r="N5" s="17">
        <f>SUM(N6:N15)</f>
        <v>1212.6991755486033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7213.1902661873401</v>
      </c>
      <c r="C8" s="33"/>
      <c r="D8" s="37">
        <f>IF( ISERROR(IND_metaal_Gas_kWH/1000),0,IND_metaal_Gas_kWH/1000)*0.902</f>
        <v>15557.69616618962</v>
      </c>
      <c r="E8" s="33">
        <f>C30*'E Balans VL '!I18/100/3.6*1000000</f>
        <v>50.685496482257882</v>
      </c>
      <c r="F8" s="33">
        <f>C30*'E Balans VL '!L18/100/3.6*1000000+C30*'E Balans VL '!N18/100/3.6*1000000</f>
        <v>791.96608991049879</v>
      </c>
      <c r="G8" s="34"/>
      <c r="H8" s="33"/>
      <c r="I8" s="33"/>
      <c r="J8" s="40">
        <f>C30*'E Balans VL '!D18/100/3.6*1000000+C30*'E Balans VL '!E18/100/3.6*1000000</f>
        <v>148.82366244239739</v>
      </c>
      <c r="K8" s="33"/>
      <c r="L8" s="33"/>
      <c r="M8" s="33"/>
      <c r="N8" s="33">
        <f>C30*'E Balans VL '!Y18/100/3.6*1000000</f>
        <v>27.035556611075904</v>
      </c>
      <c r="O8" s="33"/>
      <c r="P8" s="33"/>
      <c r="R8" s="32"/>
    </row>
    <row r="9" spans="1:18">
      <c r="A9" s="6" t="s">
        <v>33</v>
      </c>
      <c r="B9" s="37">
        <f t="shared" si="0"/>
        <v>8253.3454908024505</v>
      </c>
      <c r="C9" s="33"/>
      <c r="D9" s="37">
        <f>IF( ISERROR(IND_andere_gas_kWh/1000),0,IND_andere_gas_kWh/1000)*0.902</f>
        <v>3245.4276503607944</v>
      </c>
      <c r="E9" s="33">
        <f>C31*'E Balans VL '!I19/100/3.6*1000000</f>
        <v>138.62504818906916</v>
      </c>
      <c r="F9" s="33">
        <f>C31*'E Balans VL '!L19/100/3.6*1000000+C31*'E Balans VL '!N19/100/3.6*1000000</f>
        <v>6451.9954292495959</v>
      </c>
      <c r="G9" s="34"/>
      <c r="H9" s="33"/>
      <c r="I9" s="33"/>
      <c r="J9" s="40">
        <f>C31*'E Balans VL '!D19/100/3.6*1000000+C31*'E Balans VL '!E19/100/3.6*1000000</f>
        <v>0.74437890781290783</v>
      </c>
      <c r="K9" s="33"/>
      <c r="L9" s="33"/>
      <c r="M9" s="33"/>
      <c r="N9" s="33">
        <f>C31*'E Balans VL '!Y19/100/3.6*1000000</f>
        <v>611.70531413955894</v>
      </c>
      <c r="O9" s="33"/>
      <c r="P9" s="33"/>
      <c r="R9" s="32"/>
    </row>
    <row r="10" spans="1:18">
      <c r="A10" s="6" t="s">
        <v>41</v>
      </c>
      <c r="B10" s="37">
        <f t="shared" si="0"/>
        <v>12454.011259090301</v>
      </c>
      <c r="C10" s="33"/>
      <c r="D10" s="37">
        <f>IF( ISERROR(IND_voed_gas_kWh/1000),0,IND_voed_gas_kWh/1000)*0.902</f>
        <v>10599.068542701143</v>
      </c>
      <c r="E10" s="33">
        <f>C32*'E Balans VL '!I20/100/3.6*1000000</f>
        <v>113.62522346381002</v>
      </c>
      <c r="F10" s="33">
        <f>C32*'E Balans VL '!L20/100/3.6*1000000+C32*'E Balans VL '!N20/100/3.6*1000000</f>
        <v>2009.2215547668538</v>
      </c>
      <c r="G10" s="34"/>
      <c r="H10" s="33"/>
      <c r="I10" s="33"/>
      <c r="J10" s="40">
        <f>C32*'E Balans VL '!D20/100/3.6*1000000+C32*'E Balans VL '!E20/100/3.6*1000000</f>
        <v>51.29378360995468</v>
      </c>
      <c r="K10" s="33"/>
      <c r="L10" s="33"/>
      <c r="M10" s="33"/>
      <c r="N10" s="33">
        <f>C32*'E Balans VL '!Y20/100/3.6*1000000</f>
        <v>182.19236445699713</v>
      </c>
      <c r="O10" s="33"/>
      <c r="P10" s="33"/>
      <c r="R10" s="32"/>
    </row>
    <row r="11" spans="1:18">
      <c r="A11" s="6" t="s">
        <v>40</v>
      </c>
      <c r="B11" s="37">
        <f t="shared" si="0"/>
        <v>215.66307318940102</v>
      </c>
      <c r="C11" s="33"/>
      <c r="D11" s="37">
        <f>IF( ISERROR(IND_textiel_gas_kWh/1000),0,IND_textiel_gas_kWh/1000)*0.902</f>
        <v>202.11485012317542</v>
      </c>
      <c r="E11" s="33">
        <f>C33*'E Balans VL '!I21/100/3.6*1000000</f>
        <v>0.49188746615531859</v>
      </c>
      <c r="F11" s="33">
        <f>C33*'E Balans VL '!L21/100/3.6*1000000+C33*'E Balans VL '!N21/100/3.6*1000000</f>
        <v>4.6099982160226833</v>
      </c>
      <c r="G11" s="34"/>
      <c r="H11" s="33"/>
      <c r="I11" s="33"/>
      <c r="J11" s="40">
        <f>C33*'E Balans VL '!D21/100/3.6*1000000+C33*'E Balans VL '!E21/100/3.6*1000000</f>
        <v>0</v>
      </c>
      <c r="K11" s="33"/>
      <c r="L11" s="33"/>
      <c r="M11" s="33"/>
      <c r="N11" s="33">
        <f>C33*'E Balans VL '!Y21/100/3.6*1000000</f>
        <v>1.5298847461983545</v>
      </c>
      <c r="O11" s="33"/>
      <c r="P11" s="33"/>
      <c r="R11" s="32"/>
    </row>
    <row r="12" spans="1:18">
      <c r="A12" s="6" t="s">
        <v>37</v>
      </c>
      <c r="B12" s="37">
        <f t="shared" si="0"/>
        <v>975.36960906526099</v>
      </c>
      <c r="C12" s="33"/>
      <c r="D12" s="37">
        <f>IF( ISERROR(IND_min_gas_kWh/1000),0,IND_min_gas_kWh/1000)*0.902</f>
        <v>0</v>
      </c>
      <c r="E12" s="33">
        <f>C34*'E Balans VL '!I22/100/3.6*1000000</f>
        <v>24.192337278543473</v>
      </c>
      <c r="F12" s="33">
        <f>C34*'E Balans VL '!L22/100/3.6*1000000+C34*'E Balans VL '!N22/100/3.6*1000000</f>
        <v>103.64236012354323</v>
      </c>
      <c r="G12" s="34"/>
      <c r="H12" s="33"/>
      <c r="I12" s="33"/>
      <c r="J12" s="40">
        <f>C34*'E Balans VL '!D22/100/3.6*1000000+C34*'E Balans VL '!E22/100/3.6*1000000</f>
        <v>5.540671689510404</v>
      </c>
      <c r="K12" s="33"/>
      <c r="L12" s="33"/>
      <c r="M12" s="33"/>
      <c r="N12" s="33">
        <f>C34*'E Balans VL '!Y22/100/3.6*1000000</f>
        <v>0</v>
      </c>
      <c r="O12" s="33"/>
      <c r="P12" s="33"/>
      <c r="R12" s="32"/>
    </row>
    <row r="13" spans="1:18">
      <c r="A13" s="6" t="s">
        <v>39</v>
      </c>
      <c r="B13" s="37">
        <f t="shared" si="0"/>
        <v>1413.6521001614399</v>
      </c>
      <c r="C13" s="33"/>
      <c r="D13" s="37">
        <f>IF( ISERROR(IND_papier_gas_kWh/1000),0,IND_papier_gas_kWh/1000)*0.902</f>
        <v>715.21805337057742</v>
      </c>
      <c r="E13" s="33">
        <f>C35*'E Balans VL '!I23/100/3.6*1000000</f>
        <v>43.494385818564687</v>
      </c>
      <c r="F13" s="33">
        <f>C35*'E Balans VL '!L23/100/3.6*1000000+C35*'E Balans VL '!N23/100/3.6*1000000</f>
        <v>300.16774508625497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7.719925939176</v>
      </c>
      <c r="C14" s="33"/>
      <c r="D14" s="37">
        <f>IF( ISERROR(IND_chemie_gas_kWh/1000),0,IND_chemie_gas_kWh/1000)*0.902</f>
        <v>20.087929308294406</v>
      </c>
      <c r="E14" s="33">
        <f>C36*'E Balans VL '!I24/100/3.6*1000000</f>
        <v>2.6175866161680224E-2</v>
      </c>
      <c r="F14" s="33">
        <f>C36*'E Balans VL '!L24/100/3.6*1000000+C36*'E Balans VL '!N24/100/3.6*1000000</f>
        <v>2.4775112769479989E-2</v>
      </c>
      <c r="G14" s="34"/>
      <c r="H14" s="33"/>
      <c r="I14" s="33"/>
      <c r="J14" s="40">
        <f>C36*'E Balans VL '!D24/100/3.6*1000000+C36*'E Balans VL '!E24/100/3.6*1000000</f>
        <v>0</v>
      </c>
      <c r="K14" s="33"/>
      <c r="L14" s="33"/>
      <c r="M14" s="33"/>
      <c r="N14" s="33">
        <f>C36*'E Balans VL '!Y24/100/3.6*1000000</f>
        <v>3.6096281554432688E-2</v>
      </c>
      <c r="O14" s="33"/>
      <c r="P14" s="33"/>
      <c r="R14" s="32"/>
    </row>
    <row r="15" spans="1:18">
      <c r="A15" s="6" t="s">
        <v>270</v>
      </c>
      <c r="B15" s="37">
        <f t="shared" si="0"/>
        <v>21682.7662564235</v>
      </c>
      <c r="C15" s="33"/>
      <c r="D15" s="37">
        <f>IF( ISERROR(IND_rest_gas_kWh/1000),0,IND_rest_gas_kWh/1000)*0.902</f>
        <v>34254.432858689019</v>
      </c>
      <c r="E15" s="33">
        <f>C37*'E Balans VL '!I15/100/3.6*1000000</f>
        <v>195.6818375369059</v>
      </c>
      <c r="F15" s="33">
        <f>C37*'E Balans VL '!L15/100/3.6*1000000+C37*'E Balans VL '!N15/100/3.6*1000000</f>
        <v>4334.5590840268851</v>
      </c>
      <c r="G15" s="34"/>
      <c r="H15" s="33"/>
      <c r="I15" s="33"/>
      <c r="J15" s="40">
        <f>C37*'E Balans VL '!D15/100/3.6*1000000+C37*'E Balans VL '!E15/100/3.6*1000000</f>
        <v>145.9977023712282</v>
      </c>
      <c r="K15" s="33"/>
      <c r="L15" s="33"/>
      <c r="M15" s="33"/>
      <c r="N15" s="33">
        <f>C37*'E Balans VL '!Y15/100/3.6*1000000</f>
        <v>390.19995931321847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52215.717980858863</v>
      </c>
      <c r="C18" s="21">
        <f>C5+C16</f>
        <v>0</v>
      </c>
      <c r="D18" s="21">
        <f>MAX((D5+D16),0)</f>
        <v>64594.046050742625</v>
      </c>
      <c r="E18" s="21">
        <f>MAX((E5+E16),0)</f>
        <v>566.82239210146815</v>
      </c>
      <c r="F18" s="21">
        <f>MAX((F5+F16),0)</f>
        <v>13996.187036492427</v>
      </c>
      <c r="G18" s="21"/>
      <c r="H18" s="21"/>
      <c r="I18" s="21"/>
      <c r="J18" s="21">
        <f>MAX((J5+J16),0)</f>
        <v>352.40019902090364</v>
      </c>
      <c r="K18" s="21"/>
      <c r="L18" s="21">
        <f>MAX((L5+L16),0)</f>
        <v>0</v>
      </c>
      <c r="M18" s="21"/>
      <c r="N18" s="21">
        <f>MAX((N5+N16),0)</f>
        <v>1212.6991755486033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0.2179183639677203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11378.763835788639</v>
      </c>
      <c r="C22" s="23">
        <f ca="1">C18*C20</f>
        <v>0</v>
      </c>
      <c r="D22" s="23">
        <f>D18*D20</f>
        <v>13047.997302250011</v>
      </c>
      <c r="E22" s="23">
        <f>E18*E20</f>
        <v>128.66868300703328</v>
      </c>
      <c r="F22" s="23">
        <f>F18*F20</f>
        <v>3736.9819387434782</v>
      </c>
      <c r="G22" s="23"/>
      <c r="H22" s="23"/>
      <c r="I22" s="23"/>
      <c r="J22" s="23">
        <f>J18*J20</f>
        <v>124.74967045339989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7213.1902661873401</v>
      </c>
      <c r="C30" s="39">
        <f>IF(ISERROR(B30*3.6/1000000/'E Balans VL '!Z18*100),0,B30*3.6/1000000/'E Balans VL '!Z18*100)</f>
        <v>0.48018648076317744</v>
      </c>
      <c r="D30" s="238" t="s">
        <v>719</v>
      </c>
    </row>
    <row r="31" spans="1:18">
      <c r="A31" s="6" t="s">
        <v>33</v>
      </c>
      <c r="B31" s="37">
        <f>IF( ISERROR(IND_ander_ele_kWh/1000),0,IND_ander_ele_kWh/1000)</f>
        <v>8253.3454908024505</v>
      </c>
      <c r="C31" s="39">
        <f>IF(ISERROR(B31*3.6/1000000/'E Balans VL '!Z19*100),0,B31*3.6/1000000/'E Balans VL '!Z19*100)</f>
        <v>0.36583809803774314</v>
      </c>
      <c r="D31" s="238" t="s">
        <v>719</v>
      </c>
    </row>
    <row r="32" spans="1:18">
      <c r="A32" s="172" t="s">
        <v>41</v>
      </c>
      <c r="B32" s="37">
        <f>IF( ISERROR(IND_voed_ele_kWh/1000),0,IND_voed_ele_kWh/1000)</f>
        <v>12454.011259090301</v>
      </c>
      <c r="C32" s="39">
        <f>IF(ISERROR(B32*3.6/1000000/'E Balans VL '!Z20*100),0,B32*3.6/1000000/'E Balans VL '!Z20*100)</f>
        <v>0.4159997019880789</v>
      </c>
      <c r="D32" s="238" t="s">
        <v>719</v>
      </c>
    </row>
    <row r="33" spans="1:5">
      <c r="A33" s="172" t="s">
        <v>40</v>
      </c>
      <c r="B33" s="37">
        <f>IF( ISERROR(IND_textiel_ele_kWh/1000),0,IND_textiel_ele_kWh/1000)</f>
        <v>215.66307318940102</v>
      </c>
      <c r="C33" s="39">
        <f>IF(ISERROR(B33*3.6/1000000/'E Balans VL '!Z21*100),0,B33*3.6/1000000/'E Balans VL '!Z21*100)</f>
        <v>2.8392540913053287E-2</v>
      </c>
      <c r="D33" s="238" t="s">
        <v>719</v>
      </c>
    </row>
    <row r="34" spans="1:5">
      <c r="A34" s="172" t="s">
        <v>37</v>
      </c>
      <c r="B34" s="37">
        <f>IF( ISERROR(IND_min_ele_kWh/1000),0,IND_min_ele_kWh/1000)</f>
        <v>975.36960906526099</v>
      </c>
      <c r="C34" s="39">
        <f>IF(ISERROR(B34*3.6/1000000/'E Balans VL '!Z22*100),0,B34*3.6/1000000/'E Balans VL '!Z22*100)</f>
        <v>0.18969867513704838</v>
      </c>
      <c r="D34" s="238" t="s">
        <v>719</v>
      </c>
    </row>
    <row r="35" spans="1:5">
      <c r="A35" s="172" t="s">
        <v>39</v>
      </c>
      <c r="B35" s="37">
        <f>IF( ISERROR(IND_papier_ele_kWh/1000),0,IND_papier_ele_kWh/1000)</f>
        <v>1413.6521001614399</v>
      </c>
      <c r="C35" s="39">
        <f>IF(ISERROR(B35*3.6/1000000/'E Balans VL '!Z22*100),0,B35*3.6/1000000/'E Balans VL '!Z22*100)</f>
        <v>0.27493980539574953</v>
      </c>
      <c r="D35" s="238" t="s">
        <v>719</v>
      </c>
    </row>
    <row r="36" spans="1:5">
      <c r="A36" s="172" t="s">
        <v>34</v>
      </c>
      <c r="B36" s="37">
        <f>IF( ISERROR(IND_chemie_ele_kWh/1000),0,IND_chemie_ele_kWh/1000)</f>
        <v>7.719925939176</v>
      </c>
      <c r="C36" s="39">
        <f>IF(ISERROR(B36*3.6/1000000/'E Balans VL '!Z24*100),0,B36*3.6/1000000/'E Balans VL '!Z24*100)</f>
        <v>1.8128465388797996E-4</v>
      </c>
      <c r="D36" s="238" t="s">
        <v>719</v>
      </c>
    </row>
    <row r="37" spans="1:5">
      <c r="A37" s="172" t="s">
        <v>270</v>
      </c>
      <c r="B37" s="37">
        <f>IF( ISERROR(IND_rest_ele_kWh/1000),0,IND_rest_ele_kWh/1000)</f>
        <v>21682.7662564235</v>
      </c>
      <c r="C37" s="39">
        <f>IF(ISERROR(B37*3.6/1000000/'E Balans VL '!Z15*100),0,B37*3.6/1000000/'E Balans VL '!Z15*100)</f>
        <v>0.16128445669994967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718.87258509103299</v>
      </c>
      <c r="C5" s="17">
        <f>'Eigen informatie GS &amp; warmtenet'!B60</f>
        <v>0</v>
      </c>
      <c r="D5" s="30">
        <f>IF(ISERROR(SUM(LB_lb_gas_kWh,LB_rest_gas_kWh)/1000),0,SUM(LB_lb_gas_kWh,LB_rest_gas_kWh)/1000)*0.902</f>
        <v>273.7435708115824</v>
      </c>
      <c r="E5" s="17">
        <f>B17*'E Balans VL '!I25/3.6*1000000/100</f>
        <v>7.5281893406414335</v>
      </c>
      <c r="F5" s="17">
        <f>B17*('E Balans VL '!L25/3.6*1000000+'E Balans VL '!N25/3.6*1000000)/100</f>
        <v>3077.3208913469466</v>
      </c>
      <c r="G5" s="18"/>
      <c r="H5" s="17"/>
      <c r="I5" s="17"/>
      <c r="J5" s="17">
        <f>('E Balans VL '!D25+'E Balans VL '!E25)/3.6*1000000*landbouw!B17/100</f>
        <v>64.201765213531033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718.87258509103299</v>
      </c>
      <c r="C8" s="21">
        <f>C5+C6</f>
        <v>0</v>
      </c>
      <c r="D8" s="21">
        <f>MAX((D5+D6),0)</f>
        <v>273.7435708115824</v>
      </c>
      <c r="E8" s="21">
        <f>MAX((E5+E6),0)</f>
        <v>7.5281893406414335</v>
      </c>
      <c r="F8" s="21">
        <f>MAX((F5+F6),0)</f>
        <v>3077.3208913469466</v>
      </c>
      <c r="G8" s="21"/>
      <c r="H8" s="21"/>
      <c r="I8" s="21"/>
      <c r="J8" s="21">
        <f>MAX((J5+J6),0)</f>
        <v>64.201765213531033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0.2179183639677203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156.6555376442837</v>
      </c>
      <c r="C12" s="23">
        <f ca="1">C8*C10</f>
        <v>0</v>
      </c>
      <c r="D12" s="23">
        <f>D8*D10</f>
        <v>55.296201303939647</v>
      </c>
      <c r="E12" s="23">
        <f>E8*E10</f>
        <v>1.7088989803256054</v>
      </c>
      <c r="F12" s="23">
        <f>F8*F10</f>
        <v>821.64467798963483</v>
      </c>
      <c r="G12" s="23"/>
      <c r="H12" s="23"/>
      <c r="I12" s="23"/>
      <c r="J12" s="23">
        <f>J8*J10</f>
        <v>22.727424885589983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0.11064836765081418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109.98187107299698</v>
      </c>
      <c r="C26" s="248">
        <f>B26*'GWP N2O_CH4'!B5</f>
        <v>2309.6192925329365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23.815853780314477</v>
      </c>
      <c r="C27" s="248">
        <f>B27*'GWP N2O_CH4'!B5</f>
        <v>500.13292938660402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1.4528746514346726</v>
      </c>
      <c r="C28" s="248">
        <f>B28*'GWP N2O_CH4'!B4</f>
        <v>450.39114194474854</v>
      </c>
      <c r="D28" s="50"/>
    </row>
    <row r="29" spans="1:4">
      <c r="A29" s="41" t="s">
        <v>277</v>
      </c>
      <c r="B29" s="248">
        <f>B34*'ha_N2O bodem landbouw'!B4</f>
        <v>7.5665294496452296</v>
      </c>
      <c r="C29" s="248">
        <f>B29*'GWP N2O_CH4'!B4</f>
        <v>2345.6241293900212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1.2504683680570011E-3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6.5136310497587358E-6</v>
      </c>
      <c r="C5" s="446" t="s">
        <v>211</v>
      </c>
      <c r="D5" s="431">
        <f>SUM(D6:D11)</f>
        <v>3.2930481512579048E-5</v>
      </c>
      <c r="E5" s="431">
        <f>SUM(E6:E11)</f>
        <v>3.4717582337433915E-3</v>
      </c>
      <c r="F5" s="444" t="s">
        <v>211</v>
      </c>
      <c r="G5" s="431">
        <f>SUM(G6:G11)</f>
        <v>0.64956695770824813</v>
      </c>
      <c r="H5" s="431">
        <f>SUM(H6:H11)</f>
        <v>0.11041879012870519</v>
      </c>
      <c r="I5" s="446" t="s">
        <v>211</v>
      </c>
      <c r="J5" s="446" t="s">
        <v>211</v>
      </c>
      <c r="K5" s="446" t="s">
        <v>211</v>
      </c>
      <c r="L5" s="446" t="s">
        <v>211</v>
      </c>
      <c r="M5" s="431">
        <f>SUM(M6:M11)</f>
        <v>3.3158328126800599E-2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3.9480471301061576E-6</v>
      </c>
      <c r="C6" s="432"/>
      <c r="D6" s="432">
        <f>vkm_2011_GW_PW*SUMIFS(TableVerdeelsleutelVkm[CNG],TableVerdeelsleutelVkm[Voertuigtype],"Lichte voertuigen")*SUMIFS(TableECFTransport[EnergieConsumptieFactor (PJ per km)],TableECFTransport[Index],CONCATENATE($A6,"_CNG_CNG"))</f>
        <v>1.7019572257395941E-5</v>
      </c>
      <c r="E6" s="434">
        <f>vkm_2011_GW_PW*SUMIFS(TableVerdeelsleutelVkm[LPG],TableVerdeelsleutelVkm[Voertuigtype],"Lichte voertuigen")*SUMIFS(TableECFTransport[EnergieConsumptieFactor (PJ per km)],TableECFTransport[Index],CONCATENATE($A6,"_LPG_LPG"))</f>
        <v>1.7707820634784632E-3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0.21781105509846252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5.734513710455847E-2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1.2058663491674461E-2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0.14624391336017623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5.0145011294638993E-5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6.3174630435828567E-3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1.3625368961329074E-6</v>
      </c>
      <c r="C8" s="432"/>
      <c r="D8" s="434">
        <f>vkm_2011_NGW_PW*SUMIFS(TableVerdeelsleutelVkm[CNG],TableVerdeelsleutelVkm[Voertuigtype],"Lichte voertuigen")*SUMIFS(TableECFTransport[EnergieConsumptieFactor (PJ per km)],TableECFTransport[Index],CONCATENATE($A8,"_CNG_CNG"))</f>
        <v>1.0537629358173289E-5</v>
      </c>
      <c r="E8" s="434">
        <f>vkm_2011_NGW_PW*SUMIFS(TableVerdeelsleutelVkm[LPG],TableVerdeelsleutelVkm[Voertuigtype],"Lichte voertuigen")*SUMIFS(TableECFTransport[EnergieConsumptieFactor (PJ per km)],TableECFTransport[Index],CONCATENATE($A8,"_LPG_LPG"))</f>
        <v>1.0010723109519905E-3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0.11679040465916499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3.3892049955952144E-2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6.6112993928374364E-3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6.9846648520662649E-2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2.0805481647490176E-5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3.0170988896632655E-3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1.2030470235196712E-6</v>
      </c>
      <c r="C10" s="432"/>
      <c r="D10" s="434">
        <f>vkm_2011_SW_PW*SUMIFS(TableVerdeelsleutelVkm[CNG],TableVerdeelsleutelVkm[Voertuigtype],"Lichte voertuigen")*SUMIFS(TableECFTransport[EnergieConsumptieFactor (PJ per km)],TableECFTransport[Index],CONCATENATE($A10,"_CNG_CNG"))</f>
        <v>5.3732798970098189E-6</v>
      </c>
      <c r="E10" s="434">
        <f>vkm_2011_SW_PW*SUMIFS(TableVerdeelsleutelVkm[LPG],TableVerdeelsleutelVkm[Voertuigtype],"Lichte voertuigen")*SUMIFS(TableECFTransport[EnergieConsumptieFactor (PJ per km)],TableECFTransport[Index],CONCATENATE($A10,"_LPG_LPG"))</f>
        <v>6.9990385931293796E-4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7.9146108583971767E-2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1.9103434870790689E-2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4.3015339706082827E-3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1.9728827485809966E-2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7.2177044617591392E-6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8.5226933843429373E-4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1.8093419582663155</v>
      </c>
      <c r="C14" s="21"/>
      <c r="D14" s="21">
        <f t="shared" ref="D14:M14" si="0">((D5)*10^9/3600)+D12</f>
        <v>9.1473559757164029</v>
      </c>
      <c r="E14" s="21">
        <f t="shared" si="0"/>
        <v>964.37728715094204</v>
      </c>
      <c r="F14" s="21"/>
      <c r="G14" s="21">
        <f t="shared" si="0"/>
        <v>180435.26603006892</v>
      </c>
      <c r="H14" s="21">
        <f t="shared" si="0"/>
        <v>30671.886146862551</v>
      </c>
      <c r="I14" s="21"/>
      <c r="J14" s="21"/>
      <c r="K14" s="21"/>
      <c r="L14" s="21"/>
      <c r="M14" s="21">
        <f t="shared" si="0"/>
        <v>9210.6467018890562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0.2179183639677203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0.39428883940354675</v>
      </c>
      <c r="C18" s="23"/>
      <c r="D18" s="23">
        <f t="shared" ref="D18:M18" si="1">D14*D16</f>
        <v>1.8477659070947134</v>
      </c>
      <c r="E18" s="23">
        <f t="shared" si="1"/>
        <v>218.91364418326384</v>
      </c>
      <c r="F18" s="23"/>
      <c r="G18" s="23">
        <f t="shared" si="1"/>
        <v>48176.216030028401</v>
      </c>
      <c r="H18" s="23">
        <f t="shared" si="1"/>
        <v>7637.2996505687752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6.324814130569051E-3</v>
      </c>
      <c r="C50" s="322">
        <f t="shared" ref="C50:P50" si="2">SUM(C51:C52)</f>
        <v>0</v>
      </c>
      <c r="D50" s="322">
        <f t="shared" si="2"/>
        <v>0</v>
      </c>
      <c r="E50" s="322">
        <f t="shared" si="2"/>
        <v>0</v>
      </c>
      <c r="F50" s="322">
        <f t="shared" si="2"/>
        <v>0</v>
      </c>
      <c r="G50" s="322">
        <f t="shared" si="2"/>
        <v>3.7775589422667212E-2</v>
      </c>
      <c r="H50" s="322">
        <f t="shared" si="2"/>
        <v>0</v>
      </c>
      <c r="I50" s="322">
        <f t="shared" si="2"/>
        <v>0</v>
      </c>
      <c r="J50" s="322">
        <f t="shared" si="2"/>
        <v>0</v>
      </c>
      <c r="K50" s="322">
        <f t="shared" si="2"/>
        <v>0</v>
      </c>
      <c r="L50" s="322">
        <f t="shared" si="2"/>
        <v>0</v>
      </c>
      <c r="M50" s="322">
        <f t="shared" si="2"/>
        <v>1.6102092619252599E-3</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3.7775589422667212E-2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1.6102092619252599E-3</v>
      </c>
      <c r="N51" s="324"/>
      <c r="O51" s="324"/>
      <c r="P51" s="327"/>
    </row>
    <row r="52" spans="1:18">
      <c r="A52" s="4" t="s">
        <v>330</v>
      </c>
      <c r="B52" s="328">
        <f>vkm_2011_tram*SUMIFS(TableECFTransport[EnergieConsumptieFactor (PJ per km)],TableECFTransport[Index],"Tram_gemiddeld_Electric_Electric")</f>
        <v>6.324814130569051E-3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1756.8928140469586</v>
      </c>
      <c r="C54" s="21">
        <f t="shared" ref="C54:P54" si="3">(C50)*10^9/3600</f>
        <v>0</v>
      </c>
      <c r="D54" s="21">
        <f t="shared" si="3"/>
        <v>0</v>
      </c>
      <c r="E54" s="21">
        <f t="shared" si="3"/>
        <v>0</v>
      </c>
      <c r="F54" s="21">
        <f t="shared" si="3"/>
        <v>0</v>
      </c>
      <c r="G54" s="21">
        <f t="shared" si="3"/>
        <v>10493.219284074226</v>
      </c>
      <c r="H54" s="21">
        <f t="shared" si="3"/>
        <v>0</v>
      </c>
      <c r="I54" s="21">
        <f t="shared" si="3"/>
        <v>0</v>
      </c>
      <c r="J54" s="21">
        <f t="shared" si="3"/>
        <v>0</v>
      </c>
      <c r="K54" s="21">
        <f t="shared" si="3"/>
        <v>0</v>
      </c>
      <c r="L54" s="21">
        <f t="shared" si="3"/>
        <v>0</v>
      </c>
      <c r="M54" s="21">
        <f t="shared" si="3"/>
        <v>447.28035053479442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0.2179183639677203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382.85920770375748</v>
      </c>
      <c r="C58" s="23">
        <f t="shared" ref="C58:P58" ca="1" si="4">C54*C56</f>
        <v>0</v>
      </c>
      <c r="D58" s="23">
        <f t="shared" si="4"/>
        <v>0</v>
      </c>
      <c r="E58" s="23">
        <f t="shared" si="4"/>
        <v>0</v>
      </c>
      <c r="F58" s="23">
        <f t="shared" si="4"/>
        <v>0</v>
      </c>
      <c r="G58" s="23">
        <f t="shared" si="4"/>
        <v>2801.6895488478185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164145.68412124799</v>
      </c>
      <c r="D10" s="687">
        <f ca="1">tertiair!C16</f>
        <v>0</v>
      </c>
      <c r="E10" s="687">
        <f ca="1">tertiair!D16</f>
        <v>175988.93413330262</v>
      </c>
      <c r="F10" s="687">
        <f>tertiair!E16</f>
        <v>3362.3228566720641</v>
      </c>
      <c r="G10" s="687">
        <f ca="1">tertiair!F16</f>
        <v>31640.728852947053</v>
      </c>
      <c r="H10" s="687">
        <f>tertiair!G16</f>
        <v>0</v>
      </c>
      <c r="I10" s="687">
        <f>tertiair!H16</f>
        <v>0</v>
      </c>
      <c r="J10" s="687">
        <f>tertiair!I16</f>
        <v>0</v>
      </c>
      <c r="K10" s="687">
        <f>tertiair!J16</f>
        <v>0</v>
      </c>
      <c r="L10" s="687">
        <f>tertiair!K16</f>
        <v>0</v>
      </c>
      <c r="M10" s="687">
        <f ca="1">tertiair!L16</f>
        <v>0</v>
      </c>
      <c r="N10" s="687">
        <f>tertiair!M16</f>
        <v>0</v>
      </c>
      <c r="O10" s="687">
        <f ca="1">tertiair!N16</f>
        <v>6414.0147552303379</v>
      </c>
      <c r="P10" s="687">
        <f>tertiair!O16</f>
        <v>0</v>
      </c>
      <c r="Q10" s="688">
        <f>tertiair!P16</f>
        <v>209.73333333333335</v>
      </c>
      <c r="R10" s="690">
        <f ca="1">SUM(C10:Q10)</f>
        <v>381761.41805273341</v>
      </c>
      <c r="S10" s="67"/>
    </row>
    <row r="11" spans="1:19" s="456" customFormat="1">
      <c r="A11" s="802" t="s">
        <v>225</v>
      </c>
      <c r="B11" s="807"/>
      <c r="C11" s="687">
        <f>huishoudens!B8</f>
        <v>148661.23152630345</v>
      </c>
      <c r="D11" s="687">
        <f>huishoudens!C8</f>
        <v>0</v>
      </c>
      <c r="E11" s="687">
        <f>huishoudens!D8</f>
        <v>261670.02680518775</v>
      </c>
      <c r="F11" s="687">
        <f>huishoudens!E8</f>
        <v>2678.1285663817926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9934.2874032022628</v>
      </c>
      <c r="P11" s="687">
        <f>huishoudens!O8</f>
        <v>101.61666666666667</v>
      </c>
      <c r="Q11" s="688">
        <f>huishoudens!P8</f>
        <v>305.06666666666666</v>
      </c>
      <c r="R11" s="690">
        <f>SUM(C11:Q11)</f>
        <v>423350.35763440857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52215.717980858863</v>
      </c>
      <c r="D13" s="687">
        <f>industrie!C18</f>
        <v>0</v>
      </c>
      <c r="E13" s="687">
        <f>industrie!D18</f>
        <v>64594.046050742625</v>
      </c>
      <c r="F13" s="687">
        <f>industrie!E18</f>
        <v>566.82239210146815</v>
      </c>
      <c r="G13" s="687">
        <f>industrie!F18</f>
        <v>13996.187036492427</v>
      </c>
      <c r="H13" s="687">
        <f>industrie!G18</f>
        <v>0</v>
      </c>
      <c r="I13" s="687">
        <f>industrie!H18</f>
        <v>0</v>
      </c>
      <c r="J13" s="687">
        <f>industrie!I18</f>
        <v>0</v>
      </c>
      <c r="K13" s="687">
        <f>industrie!J18</f>
        <v>352.40019902090364</v>
      </c>
      <c r="L13" s="687">
        <f>industrie!K18</f>
        <v>0</v>
      </c>
      <c r="M13" s="687">
        <f>industrie!L18</f>
        <v>0</v>
      </c>
      <c r="N13" s="687">
        <f>industrie!M18</f>
        <v>0</v>
      </c>
      <c r="O13" s="687">
        <f>industrie!N18</f>
        <v>1212.6991755486033</v>
      </c>
      <c r="P13" s="687">
        <f>industrie!O18</f>
        <v>0</v>
      </c>
      <c r="Q13" s="688">
        <f>industrie!P18</f>
        <v>0</v>
      </c>
      <c r="R13" s="690">
        <f>SUM(C13:Q13)</f>
        <v>132937.87283476489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365022.63362841029</v>
      </c>
      <c r="D16" s="720">
        <f t="shared" ref="D16:R16" ca="1" si="0">SUM(D9:D15)</f>
        <v>0</v>
      </c>
      <c r="E16" s="720">
        <f t="shared" ca="1" si="0"/>
        <v>502253.00698923296</v>
      </c>
      <c r="F16" s="720">
        <f t="shared" si="0"/>
        <v>6607.2738151553249</v>
      </c>
      <c r="G16" s="720">
        <f t="shared" ca="1" si="0"/>
        <v>45636.915889439479</v>
      </c>
      <c r="H16" s="720">
        <f t="shared" si="0"/>
        <v>0</v>
      </c>
      <c r="I16" s="720">
        <f t="shared" si="0"/>
        <v>0</v>
      </c>
      <c r="J16" s="720">
        <f t="shared" si="0"/>
        <v>0</v>
      </c>
      <c r="K16" s="720">
        <f t="shared" si="0"/>
        <v>352.40019902090364</v>
      </c>
      <c r="L16" s="720">
        <f t="shared" si="0"/>
        <v>0</v>
      </c>
      <c r="M16" s="720">
        <f t="shared" ca="1" si="0"/>
        <v>0</v>
      </c>
      <c r="N16" s="720">
        <f t="shared" si="0"/>
        <v>0</v>
      </c>
      <c r="O16" s="720">
        <f t="shared" ca="1" si="0"/>
        <v>17561.001333981207</v>
      </c>
      <c r="P16" s="720">
        <f t="shared" si="0"/>
        <v>101.61666666666667</v>
      </c>
      <c r="Q16" s="720">
        <f t="shared" si="0"/>
        <v>514.79999999999995</v>
      </c>
      <c r="R16" s="720">
        <f t="shared" ca="1" si="0"/>
        <v>938049.64852190693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1756.8928140469586</v>
      </c>
      <c r="D19" s="687">
        <f>transport!C54</f>
        <v>0</v>
      </c>
      <c r="E19" s="687">
        <f>transport!D54</f>
        <v>0</v>
      </c>
      <c r="F19" s="687">
        <f>transport!E54</f>
        <v>0</v>
      </c>
      <c r="G19" s="687">
        <f>transport!F54</f>
        <v>0</v>
      </c>
      <c r="H19" s="687">
        <f>transport!G54</f>
        <v>10493.219284074226</v>
      </c>
      <c r="I19" s="687">
        <f>transport!H54</f>
        <v>0</v>
      </c>
      <c r="J19" s="687">
        <f>transport!I54</f>
        <v>0</v>
      </c>
      <c r="K19" s="687">
        <f>transport!J54</f>
        <v>0</v>
      </c>
      <c r="L19" s="687">
        <f>transport!K54</f>
        <v>0</v>
      </c>
      <c r="M19" s="687">
        <f>transport!L54</f>
        <v>0</v>
      </c>
      <c r="N19" s="687">
        <f>transport!M54</f>
        <v>447.28035053479442</v>
      </c>
      <c r="O19" s="687">
        <f>transport!N54</f>
        <v>0</v>
      </c>
      <c r="P19" s="687">
        <f>transport!O54</f>
        <v>0</v>
      </c>
      <c r="Q19" s="688">
        <f>transport!P54</f>
        <v>0</v>
      </c>
      <c r="R19" s="690">
        <f>SUM(C19:Q19)</f>
        <v>12697.392448655979</v>
      </c>
      <c r="S19" s="67"/>
    </row>
    <row r="20" spans="1:19" s="456" customFormat="1">
      <c r="A20" s="802" t="s">
        <v>307</v>
      </c>
      <c r="B20" s="807"/>
      <c r="C20" s="687">
        <f>transport!B14</f>
        <v>1.8093419582663155</v>
      </c>
      <c r="D20" s="687">
        <f>transport!C14</f>
        <v>0</v>
      </c>
      <c r="E20" s="687">
        <f>transport!D14</f>
        <v>9.1473559757164029</v>
      </c>
      <c r="F20" s="687">
        <f>transport!E14</f>
        <v>964.37728715094204</v>
      </c>
      <c r="G20" s="687">
        <f>transport!F14</f>
        <v>0</v>
      </c>
      <c r="H20" s="687">
        <f>transport!G14</f>
        <v>180435.26603006892</v>
      </c>
      <c r="I20" s="687">
        <f>transport!H14</f>
        <v>30671.886146862551</v>
      </c>
      <c r="J20" s="687">
        <f>transport!I14</f>
        <v>0</v>
      </c>
      <c r="K20" s="687">
        <f>transport!J14</f>
        <v>0</v>
      </c>
      <c r="L20" s="687">
        <f>transport!K14</f>
        <v>0</v>
      </c>
      <c r="M20" s="687">
        <f>transport!L14</f>
        <v>0</v>
      </c>
      <c r="N20" s="687">
        <f>transport!M14</f>
        <v>9210.6467018890562</v>
      </c>
      <c r="O20" s="687">
        <f>transport!N14</f>
        <v>0</v>
      </c>
      <c r="P20" s="687">
        <f>transport!O14</f>
        <v>0</v>
      </c>
      <c r="Q20" s="688">
        <f>transport!P14</f>
        <v>0</v>
      </c>
      <c r="R20" s="690">
        <f>SUM(C20:Q20)</f>
        <v>221293.13286390546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1758.7021560052249</v>
      </c>
      <c r="D22" s="805">
        <f t="shared" ref="D22:R22" si="1">SUM(D18:D21)</f>
        <v>0</v>
      </c>
      <c r="E22" s="805">
        <f t="shared" si="1"/>
        <v>9.1473559757164029</v>
      </c>
      <c r="F22" s="805">
        <f t="shared" si="1"/>
        <v>964.37728715094204</v>
      </c>
      <c r="G22" s="805">
        <f t="shared" si="1"/>
        <v>0</v>
      </c>
      <c r="H22" s="805">
        <f t="shared" si="1"/>
        <v>190928.48531414315</v>
      </c>
      <c r="I22" s="805">
        <f t="shared" si="1"/>
        <v>30671.886146862551</v>
      </c>
      <c r="J22" s="805">
        <f t="shared" si="1"/>
        <v>0</v>
      </c>
      <c r="K22" s="805">
        <f t="shared" si="1"/>
        <v>0</v>
      </c>
      <c r="L22" s="805">
        <f t="shared" si="1"/>
        <v>0</v>
      </c>
      <c r="M22" s="805">
        <f t="shared" si="1"/>
        <v>0</v>
      </c>
      <c r="N22" s="805">
        <f t="shared" si="1"/>
        <v>9657.9270524238509</v>
      </c>
      <c r="O22" s="805">
        <f t="shared" si="1"/>
        <v>0</v>
      </c>
      <c r="P22" s="805">
        <f t="shared" si="1"/>
        <v>0</v>
      </c>
      <c r="Q22" s="805">
        <f t="shared" si="1"/>
        <v>0</v>
      </c>
      <c r="R22" s="805">
        <f t="shared" si="1"/>
        <v>233990.52531256143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718.87258509103299</v>
      </c>
      <c r="D24" s="687">
        <f>+landbouw!C8</f>
        <v>0</v>
      </c>
      <c r="E24" s="687">
        <f>+landbouw!D8</f>
        <v>273.7435708115824</v>
      </c>
      <c r="F24" s="687">
        <f>+landbouw!E8</f>
        <v>7.5281893406414335</v>
      </c>
      <c r="G24" s="687">
        <f>+landbouw!F8</f>
        <v>3077.3208913469466</v>
      </c>
      <c r="H24" s="687">
        <f>+landbouw!G8</f>
        <v>0</v>
      </c>
      <c r="I24" s="687">
        <f>+landbouw!H8</f>
        <v>0</v>
      </c>
      <c r="J24" s="687">
        <f>+landbouw!I8</f>
        <v>0</v>
      </c>
      <c r="K24" s="687">
        <f>+landbouw!J8</f>
        <v>64.201765213531033</v>
      </c>
      <c r="L24" s="687">
        <f>+landbouw!K8</f>
        <v>0</v>
      </c>
      <c r="M24" s="687">
        <f>+landbouw!L8</f>
        <v>0</v>
      </c>
      <c r="N24" s="687">
        <f>+landbouw!M8</f>
        <v>0</v>
      </c>
      <c r="O24" s="687">
        <f>+landbouw!N8</f>
        <v>0</v>
      </c>
      <c r="P24" s="687">
        <f>+landbouw!O8</f>
        <v>0</v>
      </c>
      <c r="Q24" s="688">
        <f>+landbouw!P8</f>
        <v>0</v>
      </c>
      <c r="R24" s="690">
        <f>SUM(C24:Q24)</f>
        <v>4141.6670018037348</v>
      </c>
      <c r="S24" s="67"/>
    </row>
    <row r="25" spans="1:19" s="456" customFormat="1" ht="15" thickBot="1">
      <c r="A25" s="824" t="s">
        <v>925</v>
      </c>
      <c r="B25" s="988"/>
      <c r="C25" s="989">
        <f>IF(Onbekend_ele_kWh="---",0,Onbekend_ele_kWh)/1000+IF(REST_rest_ele_kWh="---",0,REST_rest_ele_kWh)/1000</f>
        <v>9743.9015624145704</v>
      </c>
      <c r="D25" s="989"/>
      <c r="E25" s="989">
        <f>IF(onbekend_gas_kWh="---",0,onbekend_gas_kWh)/1000+IF(REST_rest_gas_kWh="---",0,REST_rest_gas_kWh)/1000</f>
        <v>18588.733115705199</v>
      </c>
      <c r="F25" s="989"/>
      <c r="G25" s="989"/>
      <c r="H25" s="989"/>
      <c r="I25" s="989"/>
      <c r="J25" s="989"/>
      <c r="K25" s="989"/>
      <c r="L25" s="989"/>
      <c r="M25" s="989"/>
      <c r="N25" s="989"/>
      <c r="O25" s="989"/>
      <c r="P25" s="989"/>
      <c r="Q25" s="990"/>
      <c r="R25" s="690">
        <f>SUM(C25:Q25)</f>
        <v>28332.634678119772</v>
      </c>
      <c r="S25" s="67"/>
    </row>
    <row r="26" spans="1:19" s="456" customFormat="1" ht="15.75" thickBot="1">
      <c r="A26" s="693" t="s">
        <v>926</v>
      </c>
      <c r="B26" s="810"/>
      <c r="C26" s="805">
        <f>SUM(C24:C25)</f>
        <v>10462.774147505603</v>
      </c>
      <c r="D26" s="805">
        <f t="shared" ref="D26:R26" si="2">SUM(D24:D25)</f>
        <v>0</v>
      </c>
      <c r="E26" s="805">
        <f t="shared" si="2"/>
        <v>18862.47668651678</v>
      </c>
      <c r="F26" s="805">
        <f t="shared" si="2"/>
        <v>7.5281893406414335</v>
      </c>
      <c r="G26" s="805">
        <f t="shared" si="2"/>
        <v>3077.3208913469466</v>
      </c>
      <c r="H26" s="805">
        <f t="shared" si="2"/>
        <v>0</v>
      </c>
      <c r="I26" s="805">
        <f t="shared" si="2"/>
        <v>0</v>
      </c>
      <c r="J26" s="805">
        <f t="shared" si="2"/>
        <v>0</v>
      </c>
      <c r="K26" s="805">
        <f t="shared" si="2"/>
        <v>64.201765213531033</v>
      </c>
      <c r="L26" s="805">
        <f t="shared" si="2"/>
        <v>0</v>
      </c>
      <c r="M26" s="805">
        <f t="shared" si="2"/>
        <v>0</v>
      </c>
      <c r="N26" s="805">
        <f t="shared" si="2"/>
        <v>0</v>
      </c>
      <c r="O26" s="805">
        <f t="shared" si="2"/>
        <v>0</v>
      </c>
      <c r="P26" s="805">
        <f t="shared" si="2"/>
        <v>0</v>
      </c>
      <c r="Q26" s="805">
        <f t="shared" si="2"/>
        <v>0</v>
      </c>
      <c r="R26" s="805">
        <f t="shared" si="2"/>
        <v>32474.301679923505</v>
      </c>
      <c r="S26" s="67"/>
    </row>
    <row r="27" spans="1:19" s="456" customFormat="1" ht="17.25" thickTop="1" thickBot="1">
      <c r="A27" s="694" t="s">
        <v>116</v>
      </c>
      <c r="B27" s="797"/>
      <c r="C27" s="695">
        <f ca="1">C22+C16+C26</f>
        <v>377244.10993192112</v>
      </c>
      <c r="D27" s="695">
        <f t="shared" ref="D27:R27" ca="1" si="3">D22+D16+D26</f>
        <v>0</v>
      </c>
      <c r="E27" s="695">
        <f t="shared" ca="1" si="3"/>
        <v>521124.63103172544</v>
      </c>
      <c r="F27" s="695">
        <f t="shared" si="3"/>
        <v>7579.1792916469085</v>
      </c>
      <c r="G27" s="695">
        <f t="shared" ca="1" si="3"/>
        <v>48714.236780786428</v>
      </c>
      <c r="H27" s="695">
        <f t="shared" si="3"/>
        <v>190928.48531414315</v>
      </c>
      <c r="I27" s="695">
        <f t="shared" si="3"/>
        <v>30671.886146862551</v>
      </c>
      <c r="J27" s="695">
        <f t="shared" si="3"/>
        <v>0</v>
      </c>
      <c r="K27" s="695">
        <f t="shared" si="3"/>
        <v>416.60196423443466</v>
      </c>
      <c r="L27" s="695">
        <f t="shared" si="3"/>
        <v>0</v>
      </c>
      <c r="M27" s="695">
        <f t="shared" ca="1" si="3"/>
        <v>0</v>
      </c>
      <c r="N27" s="695">
        <f t="shared" si="3"/>
        <v>9657.9270524238509</v>
      </c>
      <c r="O27" s="695">
        <f t="shared" ca="1" si="3"/>
        <v>17561.001333981207</v>
      </c>
      <c r="P27" s="695">
        <f t="shared" si="3"/>
        <v>101.61666666666667</v>
      </c>
      <c r="Q27" s="695">
        <f t="shared" si="3"/>
        <v>514.79999999999995</v>
      </c>
      <c r="R27" s="695">
        <f t="shared" ca="1" si="3"/>
        <v>1204514.4755143917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35770.358936064564</v>
      </c>
      <c r="D40" s="687">
        <f ca="1">tertiair!C20</f>
        <v>0</v>
      </c>
      <c r="E40" s="687">
        <f ca="1">tertiair!D20</f>
        <v>35549.764694927129</v>
      </c>
      <c r="F40" s="687">
        <f>tertiair!E20</f>
        <v>763.24728846455855</v>
      </c>
      <c r="G40" s="687">
        <f ca="1">tertiair!F20</f>
        <v>8448.0746037368644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80531.445523193121</v>
      </c>
    </row>
    <row r="41" spans="1:18">
      <c r="A41" s="815" t="s">
        <v>225</v>
      </c>
      <c r="B41" s="822"/>
      <c r="C41" s="687">
        <f ca="1">huishoudens!B12</f>
        <v>32396.012359638531</v>
      </c>
      <c r="D41" s="687">
        <f ca="1">huishoudens!C12</f>
        <v>0</v>
      </c>
      <c r="E41" s="687">
        <f>huishoudens!D12</f>
        <v>52857.345414647927</v>
      </c>
      <c r="F41" s="687">
        <f>huishoudens!E12</f>
        <v>607.93518456866695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85861.29295885512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11378.763835788639</v>
      </c>
      <c r="D43" s="687">
        <f ca="1">industrie!C22</f>
        <v>0</v>
      </c>
      <c r="E43" s="687">
        <f>industrie!D22</f>
        <v>13047.997302250011</v>
      </c>
      <c r="F43" s="687">
        <f>industrie!E22</f>
        <v>128.66868300703328</v>
      </c>
      <c r="G43" s="687">
        <f>industrie!F22</f>
        <v>3736.9819387434782</v>
      </c>
      <c r="H43" s="687">
        <f>industrie!G22</f>
        <v>0</v>
      </c>
      <c r="I43" s="687">
        <f>industrie!H22</f>
        <v>0</v>
      </c>
      <c r="J43" s="687">
        <f>industrie!I22</f>
        <v>0</v>
      </c>
      <c r="K43" s="687">
        <f>industrie!J22</f>
        <v>124.74967045339989</v>
      </c>
      <c r="L43" s="687">
        <f>industrie!K22</f>
        <v>0</v>
      </c>
      <c r="M43" s="687">
        <f>industrie!L22</f>
        <v>0</v>
      </c>
      <c r="N43" s="687">
        <f>industrie!M22</f>
        <v>0</v>
      </c>
      <c r="O43" s="687">
        <f>industrie!N22</f>
        <v>0</v>
      </c>
      <c r="P43" s="687">
        <f>industrie!O22</f>
        <v>0</v>
      </c>
      <c r="Q43" s="762">
        <f>industrie!P22</f>
        <v>0</v>
      </c>
      <c r="R43" s="842">
        <f t="shared" ca="1" si="4"/>
        <v>28417.161430242559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79545.135131491726</v>
      </c>
      <c r="D46" s="720">
        <f t="shared" ref="D46:Q46" ca="1" si="5">SUM(D39:D45)</f>
        <v>0</v>
      </c>
      <c r="E46" s="720">
        <f t="shared" ca="1" si="5"/>
        <v>101455.10741182507</v>
      </c>
      <c r="F46" s="720">
        <f t="shared" si="5"/>
        <v>1499.8511560402587</v>
      </c>
      <c r="G46" s="720">
        <f t="shared" ca="1" si="5"/>
        <v>12185.056542480343</v>
      </c>
      <c r="H46" s="720">
        <f t="shared" si="5"/>
        <v>0</v>
      </c>
      <c r="I46" s="720">
        <f t="shared" si="5"/>
        <v>0</v>
      </c>
      <c r="J46" s="720">
        <f t="shared" si="5"/>
        <v>0</v>
      </c>
      <c r="K46" s="720">
        <f t="shared" si="5"/>
        <v>124.74967045339989</v>
      </c>
      <c r="L46" s="720">
        <f t="shared" si="5"/>
        <v>0</v>
      </c>
      <c r="M46" s="720">
        <f t="shared" ca="1" si="5"/>
        <v>0</v>
      </c>
      <c r="N46" s="720">
        <f t="shared" si="5"/>
        <v>0</v>
      </c>
      <c r="O46" s="720">
        <f t="shared" ca="1" si="5"/>
        <v>0</v>
      </c>
      <c r="P46" s="720">
        <f t="shared" si="5"/>
        <v>0</v>
      </c>
      <c r="Q46" s="720">
        <f t="shared" si="5"/>
        <v>0</v>
      </c>
      <c r="R46" s="720">
        <f ca="1">SUM(R39:R45)</f>
        <v>194809.8999122908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382.85920770375748</v>
      </c>
      <c r="D49" s="687">
        <f ca="1">transport!C58</f>
        <v>0</v>
      </c>
      <c r="E49" s="687">
        <f>transport!D58</f>
        <v>0</v>
      </c>
      <c r="F49" s="687">
        <f>transport!E58</f>
        <v>0</v>
      </c>
      <c r="G49" s="687">
        <f>transport!F58</f>
        <v>0</v>
      </c>
      <c r="H49" s="687">
        <f>transport!G58</f>
        <v>2801.6895488478185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3184.5487565515759</v>
      </c>
    </row>
    <row r="50" spans="1:18">
      <c r="A50" s="818" t="s">
        <v>307</v>
      </c>
      <c r="B50" s="828"/>
      <c r="C50" s="995">
        <f ca="1">transport!B18</f>
        <v>0.39428883940354675</v>
      </c>
      <c r="D50" s="995">
        <f>transport!C18</f>
        <v>0</v>
      </c>
      <c r="E50" s="995">
        <f>transport!D18</f>
        <v>1.8477659070947134</v>
      </c>
      <c r="F50" s="995">
        <f>transport!E18</f>
        <v>218.91364418326384</v>
      </c>
      <c r="G50" s="995">
        <f>transport!F18</f>
        <v>0</v>
      </c>
      <c r="H50" s="995">
        <f>transport!G18</f>
        <v>48176.216030028401</v>
      </c>
      <c r="I50" s="995">
        <f>transport!H18</f>
        <v>7637.2996505687752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56034.671379526939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383.25349654316102</v>
      </c>
      <c r="D52" s="720">
        <f t="shared" ref="D52:Q52" ca="1" si="6">SUM(D48:D51)</f>
        <v>0</v>
      </c>
      <c r="E52" s="720">
        <f t="shared" si="6"/>
        <v>1.8477659070947134</v>
      </c>
      <c r="F52" s="720">
        <f t="shared" si="6"/>
        <v>218.91364418326384</v>
      </c>
      <c r="G52" s="720">
        <f t="shared" si="6"/>
        <v>0</v>
      </c>
      <c r="H52" s="720">
        <f t="shared" si="6"/>
        <v>50977.90557887622</v>
      </c>
      <c r="I52" s="720">
        <f t="shared" si="6"/>
        <v>7637.2996505687752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59219.220136078511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156.6555376442837</v>
      </c>
      <c r="D54" s="995">
        <f ca="1">+landbouw!C12</f>
        <v>0</v>
      </c>
      <c r="E54" s="995">
        <f>+landbouw!D12</f>
        <v>55.296201303939647</v>
      </c>
      <c r="F54" s="995">
        <f>+landbouw!E12</f>
        <v>1.7088989803256054</v>
      </c>
      <c r="G54" s="995">
        <f>+landbouw!F12</f>
        <v>821.64467798963483</v>
      </c>
      <c r="H54" s="995">
        <f>+landbouw!G12</f>
        <v>0</v>
      </c>
      <c r="I54" s="995">
        <f>+landbouw!H12</f>
        <v>0</v>
      </c>
      <c r="J54" s="995">
        <f>+landbouw!I12</f>
        <v>0</v>
      </c>
      <c r="K54" s="995">
        <f>+landbouw!J12</f>
        <v>22.727424885589983</v>
      </c>
      <c r="L54" s="995">
        <f>+landbouw!K12</f>
        <v>0</v>
      </c>
      <c r="M54" s="995">
        <f>+landbouw!L12</f>
        <v>0</v>
      </c>
      <c r="N54" s="995">
        <f>+landbouw!M12</f>
        <v>0</v>
      </c>
      <c r="O54" s="995">
        <f>+landbouw!N12</f>
        <v>0</v>
      </c>
      <c r="P54" s="995">
        <f>+landbouw!O12</f>
        <v>0</v>
      </c>
      <c r="Q54" s="996">
        <f>+landbouw!P12</f>
        <v>0</v>
      </c>
      <c r="R54" s="719">
        <f ca="1">SUM(C54:Q54)</f>
        <v>1058.0327408037738</v>
      </c>
    </row>
    <row r="55" spans="1:18" ht="15" thickBot="1">
      <c r="A55" s="818" t="s">
        <v>925</v>
      </c>
      <c r="B55" s="828"/>
      <c r="C55" s="995">
        <f ca="1">C25*'EF ele_warmte'!B12</f>
        <v>2123.375087143897</v>
      </c>
      <c r="D55" s="995"/>
      <c r="E55" s="995">
        <f>E25*EF_CO2_aardgas</f>
        <v>3754.9240893724505</v>
      </c>
      <c r="F55" s="995"/>
      <c r="G55" s="995"/>
      <c r="H55" s="995"/>
      <c r="I55" s="995"/>
      <c r="J55" s="995"/>
      <c r="K55" s="995"/>
      <c r="L55" s="995"/>
      <c r="M55" s="995"/>
      <c r="N55" s="995"/>
      <c r="O55" s="995"/>
      <c r="P55" s="995"/>
      <c r="Q55" s="996"/>
      <c r="R55" s="719">
        <f ca="1">SUM(C55:Q55)</f>
        <v>5878.2991765163479</v>
      </c>
    </row>
    <row r="56" spans="1:18" ht="15.75" thickBot="1">
      <c r="A56" s="816" t="s">
        <v>926</v>
      </c>
      <c r="B56" s="829"/>
      <c r="C56" s="720">
        <f ca="1">SUM(C54:C55)</f>
        <v>2280.0306247881808</v>
      </c>
      <c r="D56" s="720">
        <f t="shared" ref="D56:Q56" ca="1" si="7">SUM(D54:D55)</f>
        <v>0</v>
      </c>
      <c r="E56" s="720">
        <f t="shared" si="7"/>
        <v>3810.2202906763901</v>
      </c>
      <c r="F56" s="720">
        <f t="shared" si="7"/>
        <v>1.7088989803256054</v>
      </c>
      <c r="G56" s="720">
        <f t="shared" si="7"/>
        <v>821.64467798963483</v>
      </c>
      <c r="H56" s="720">
        <f t="shared" si="7"/>
        <v>0</v>
      </c>
      <c r="I56" s="720">
        <f t="shared" si="7"/>
        <v>0</v>
      </c>
      <c r="J56" s="720">
        <f t="shared" si="7"/>
        <v>0</v>
      </c>
      <c r="K56" s="720">
        <f t="shared" si="7"/>
        <v>22.727424885589983</v>
      </c>
      <c r="L56" s="720">
        <f t="shared" si="7"/>
        <v>0</v>
      </c>
      <c r="M56" s="720">
        <f t="shared" si="7"/>
        <v>0</v>
      </c>
      <c r="N56" s="720">
        <f t="shared" si="7"/>
        <v>0</v>
      </c>
      <c r="O56" s="720">
        <f t="shared" si="7"/>
        <v>0</v>
      </c>
      <c r="P56" s="720">
        <f t="shared" si="7"/>
        <v>0</v>
      </c>
      <c r="Q56" s="721">
        <f t="shared" si="7"/>
        <v>0</v>
      </c>
      <c r="R56" s="722">
        <f ca="1">SUM(R54:R55)</f>
        <v>6936.3319173201216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82208.419252823063</v>
      </c>
      <c r="D61" s="728">
        <f t="shared" ref="D61:Q61" ca="1" si="8">D46+D52+D56</f>
        <v>0</v>
      </c>
      <c r="E61" s="728">
        <f t="shared" ca="1" si="8"/>
        <v>105267.17546840855</v>
      </c>
      <c r="F61" s="728">
        <f t="shared" si="8"/>
        <v>1720.4736992038481</v>
      </c>
      <c r="G61" s="728">
        <f t="shared" ca="1" si="8"/>
        <v>13006.701220469977</v>
      </c>
      <c r="H61" s="728">
        <f t="shared" si="8"/>
        <v>50977.90557887622</v>
      </c>
      <c r="I61" s="728">
        <f t="shared" si="8"/>
        <v>7637.2996505687752</v>
      </c>
      <c r="J61" s="728">
        <f t="shared" si="8"/>
        <v>0</v>
      </c>
      <c r="K61" s="728">
        <f t="shared" si="8"/>
        <v>147.47709533898987</v>
      </c>
      <c r="L61" s="728">
        <f t="shared" si="8"/>
        <v>0</v>
      </c>
      <c r="M61" s="728">
        <f t="shared" ca="1" si="8"/>
        <v>0</v>
      </c>
      <c r="N61" s="728">
        <f t="shared" si="8"/>
        <v>0</v>
      </c>
      <c r="O61" s="728">
        <f t="shared" ca="1" si="8"/>
        <v>0</v>
      </c>
      <c r="P61" s="728">
        <f t="shared" si="8"/>
        <v>0</v>
      </c>
      <c r="Q61" s="728">
        <f t="shared" si="8"/>
        <v>0</v>
      </c>
      <c r="R61" s="728">
        <f ca="1">R46+R52+R56</f>
        <v>260965.45196568943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0.21791836396772027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5260.3124078348028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5260.3124078348028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5260.3124078348028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5260.3124078348028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148661.23152630345</v>
      </c>
      <c r="C4" s="460">
        <f>huishoudens!C8</f>
        <v>0</v>
      </c>
      <c r="D4" s="460">
        <f>huishoudens!D8</f>
        <v>261670.02680518775</v>
      </c>
      <c r="E4" s="460">
        <f>huishoudens!E8</f>
        <v>2678.1285663817926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9934.2874032022628</v>
      </c>
      <c r="O4" s="460">
        <f>huishoudens!O8</f>
        <v>101.61666666666667</v>
      </c>
      <c r="P4" s="461">
        <f>huishoudens!P8</f>
        <v>305.06666666666666</v>
      </c>
      <c r="Q4" s="462">
        <f>SUM(B4:P4)</f>
        <v>423350.35763440857</v>
      </c>
    </row>
    <row r="5" spans="1:17">
      <c r="A5" s="459" t="s">
        <v>156</v>
      </c>
      <c r="B5" s="460">
        <f ca="1">tertiair!B16</f>
        <v>160392.25016969489</v>
      </c>
      <c r="C5" s="460">
        <f ca="1">tertiair!C16</f>
        <v>0</v>
      </c>
      <c r="D5" s="460">
        <f ca="1">tertiair!D16</f>
        <v>175988.93413330262</v>
      </c>
      <c r="E5" s="460">
        <f>tertiair!E16</f>
        <v>3362.3228566720641</v>
      </c>
      <c r="F5" s="460">
        <f ca="1">tertiair!F16</f>
        <v>31640.728852947053</v>
      </c>
      <c r="G5" s="460">
        <f>tertiair!G16</f>
        <v>0</v>
      </c>
      <c r="H5" s="460">
        <f>tertiair!H16</f>
        <v>0</v>
      </c>
      <c r="I5" s="460">
        <f>tertiair!I16</f>
        <v>0</v>
      </c>
      <c r="J5" s="460">
        <f>tertiair!J16</f>
        <v>0</v>
      </c>
      <c r="K5" s="460">
        <f>tertiair!K16</f>
        <v>0</v>
      </c>
      <c r="L5" s="460">
        <f ca="1">tertiair!L16</f>
        <v>0</v>
      </c>
      <c r="M5" s="460">
        <f>tertiair!M16</f>
        <v>0</v>
      </c>
      <c r="N5" s="460">
        <f ca="1">tertiair!N16</f>
        <v>6414.0147552303379</v>
      </c>
      <c r="O5" s="460">
        <f>tertiair!O16</f>
        <v>0</v>
      </c>
      <c r="P5" s="461">
        <f>tertiair!P16</f>
        <v>209.73333333333335</v>
      </c>
      <c r="Q5" s="459">
        <f t="shared" ref="Q5:Q14" ca="1" si="0">SUM(B5:P5)</f>
        <v>378007.98410118034</v>
      </c>
    </row>
    <row r="6" spans="1:17">
      <c r="A6" s="459" t="s">
        <v>194</v>
      </c>
      <c r="B6" s="460">
        <f>'openbare verlichting'!B8</f>
        <v>3753.4339515530996</v>
      </c>
      <c r="C6" s="460"/>
      <c r="D6" s="460"/>
      <c r="E6" s="460"/>
      <c r="F6" s="460"/>
      <c r="G6" s="460"/>
      <c r="H6" s="460"/>
      <c r="I6" s="460"/>
      <c r="J6" s="460"/>
      <c r="K6" s="460"/>
      <c r="L6" s="460"/>
      <c r="M6" s="460"/>
      <c r="N6" s="460"/>
      <c r="O6" s="460"/>
      <c r="P6" s="461"/>
      <c r="Q6" s="459">
        <f t="shared" si="0"/>
        <v>3753.4339515530996</v>
      </c>
    </row>
    <row r="7" spans="1:17">
      <c r="A7" s="459" t="s">
        <v>112</v>
      </c>
      <c r="B7" s="460">
        <f>landbouw!B8</f>
        <v>718.87258509103299</v>
      </c>
      <c r="C7" s="460">
        <f>landbouw!C8</f>
        <v>0</v>
      </c>
      <c r="D7" s="460">
        <f>landbouw!D8</f>
        <v>273.7435708115824</v>
      </c>
      <c r="E7" s="460">
        <f>landbouw!E8</f>
        <v>7.5281893406414335</v>
      </c>
      <c r="F7" s="460">
        <f>landbouw!F8</f>
        <v>3077.3208913469466</v>
      </c>
      <c r="G7" s="460">
        <f>landbouw!G8</f>
        <v>0</v>
      </c>
      <c r="H7" s="460">
        <f>landbouw!H8</f>
        <v>0</v>
      </c>
      <c r="I7" s="460">
        <f>landbouw!I8</f>
        <v>0</v>
      </c>
      <c r="J7" s="460">
        <f>landbouw!J8</f>
        <v>64.201765213531033</v>
      </c>
      <c r="K7" s="460">
        <f>landbouw!K8</f>
        <v>0</v>
      </c>
      <c r="L7" s="460">
        <f>landbouw!L8</f>
        <v>0</v>
      </c>
      <c r="M7" s="460">
        <f>landbouw!M8</f>
        <v>0</v>
      </c>
      <c r="N7" s="460">
        <f>landbouw!N8</f>
        <v>0</v>
      </c>
      <c r="O7" s="460">
        <f>landbouw!O8</f>
        <v>0</v>
      </c>
      <c r="P7" s="461">
        <f>landbouw!P8</f>
        <v>0</v>
      </c>
      <c r="Q7" s="459">
        <f t="shared" si="0"/>
        <v>4141.6670018037348</v>
      </c>
    </row>
    <row r="8" spans="1:17">
      <c r="A8" s="459" t="s">
        <v>655</v>
      </c>
      <c r="B8" s="460">
        <f>industrie!B18</f>
        <v>52215.717980858863</v>
      </c>
      <c r="C8" s="460">
        <f>industrie!C18</f>
        <v>0</v>
      </c>
      <c r="D8" s="460">
        <f>industrie!D18</f>
        <v>64594.046050742625</v>
      </c>
      <c r="E8" s="460">
        <f>industrie!E18</f>
        <v>566.82239210146815</v>
      </c>
      <c r="F8" s="460">
        <f>industrie!F18</f>
        <v>13996.187036492427</v>
      </c>
      <c r="G8" s="460">
        <f>industrie!G18</f>
        <v>0</v>
      </c>
      <c r="H8" s="460">
        <f>industrie!H18</f>
        <v>0</v>
      </c>
      <c r="I8" s="460">
        <f>industrie!I18</f>
        <v>0</v>
      </c>
      <c r="J8" s="460">
        <f>industrie!J18</f>
        <v>352.40019902090364</v>
      </c>
      <c r="K8" s="460">
        <f>industrie!K18</f>
        <v>0</v>
      </c>
      <c r="L8" s="460">
        <f>industrie!L18</f>
        <v>0</v>
      </c>
      <c r="M8" s="460">
        <f>industrie!M18</f>
        <v>0</v>
      </c>
      <c r="N8" s="460">
        <f>industrie!N18</f>
        <v>1212.6991755486033</v>
      </c>
      <c r="O8" s="460">
        <f>industrie!O18</f>
        <v>0</v>
      </c>
      <c r="P8" s="461">
        <f>industrie!P18</f>
        <v>0</v>
      </c>
      <c r="Q8" s="459">
        <f t="shared" si="0"/>
        <v>132937.87283476489</v>
      </c>
    </row>
    <row r="9" spans="1:17" s="465" customFormat="1">
      <c r="A9" s="463" t="s">
        <v>573</v>
      </c>
      <c r="B9" s="464">
        <f>transport!B14</f>
        <v>1.8093419582663155</v>
      </c>
      <c r="C9" s="464">
        <f>transport!C14</f>
        <v>0</v>
      </c>
      <c r="D9" s="464">
        <f>transport!D14</f>
        <v>9.1473559757164029</v>
      </c>
      <c r="E9" s="464">
        <f>transport!E14</f>
        <v>964.37728715094204</v>
      </c>
      <c r="F9" s="464">
        <f>transport!F14</f>
        <v>0</v>
      </c>
      <c r="G9" s="464">
        <f>transport!G14</f>
        <v>180435.26603006892</v>
      </c>
      <c r="H9" s="464">
        <f>transport!H14</f>
        <v>30671.886146862551</v>
      </c>
      <c r="I9" s="464">
        <f>transport!I14</f>
        <v>0</v>
      </c>
      <c r="J9" s="464">
        <f>transport!J14</f>
        <v>0</v>
      </c>
      <c r="K9" s="464">
        <f>transport!K14</f>
        <v>0</v>
      </c>
      <c r="L9" s="464">
        <f>transport!L14</f>
        <v>0</v>
      </c>
      <c r="M9" s="464">
        <f>transport!M14</f>
        <v>9210.6467018890562</v>
      </c>
      <c r="N9" s="464">
        <f>transport!N14</f>
        <v>0</v>
      </c>
      <c r="O9" s="464">
        <f>transport!O14</f>
        <v>0</v>
      </c>
      <c r="P9" s="464">
        <f>transport!P14</f>
        <v>0</v>
      </c>
      <c r="Q9" s="463">
        <f>SUM(B9:P9)</f>
        <v>221293.13286390546</v>
      </c>
    </row>
    <row r="10" spans="1:17">
      <c r="A10" s="459" t="s">
        <v>563</v>
      </c>
      <c r="B10" s="460">
        <f>transport!B54</f>
        <v>1756.8928140469586</v>
      </c>
      <c r="C10" s="460">
        <f>transport!C54</f>
        <v>0</v>
      </c>
      <c r="D10" s="460">
        <f>transport!D54</f>
        <v>0</v>
      </c>
      <c r="E10" s="460">
        <f>transport!E54</f>
        <v>0</v>
      </c>
      <c r="F10" s="460">
        <f>transport!F54</f>
        <v>0</v>
      </c>
      <c r="G10" s="460">
        <f>transport!G54</f>
        <v>10493.219284074226</v>
      </c>
      <c r="H10" s="460">
        <f>transport!H54</f>
        <v>0</v>
      </c>
      <c r="I10" s="460">
        <f>transport!I54</f>
        <v>0</v>
      </c>
      <c r="J10" s="460">
        <f>transport!J54</f>
        <v>0</v>
      </c>
      <c r="K10" s="460">
        <f>transport!K54</f>
        <v>0</v>
      </c>
      <c r="L10" s="460">
        <f>transport!L54</f>
        <v>0</v>
      </c>
      <c r="M10" s="460">
        <f>transport!M54</f>
        <v>447.28035053479442</v>
      </c>
      <c r="N10" s="460">
        <f>transport!N54</f>
        <v>0</v>
      </c>
      <c r="O10" s="460">
        <f>transport!O54</f>
        <v>0</v>
      </c>
      <c r="P10" s="461">
        <f>transport!P54</f>
        <v>0</v>
      </c>
      <c r="Q10" s="459">
        <f t="shared" si="0"/>
        <v>12697.392448655979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9743.9015624145704</v>
      </c>
      <c r="C14" s="467"/>
      <c r="D14" s="467">
        <f>'SEAP template'!E25</f>
        <v>18588.733115705199</v>
      </c>
      <c r="E14" s="467"/>
      <c r="F14" s="467"/>
      <c r="G14" s="467"/>
      <c r="H14" s="467"/>
      <c r="I14" s="467"/>
      <c r="J14" s="467"/>
      <c r="K14" s="467"/>
      <c r="L14" s="467"/>
      <c r="M14" s="467"/>
      <c r="N14" s="467"/>
      <c r="O14" s="467"/>
      <c r="P14" s="468"/>
      <c r="Q14" s="459">
        <f t="shared" si="0"/>
        <v>28332.634678119772</v>
      </c>
    </row>
    <row r="15" spans="1:17" s="472" customFormat="1">
      <c r="A15" s="469" t="s">
        <v>567</v>
      </c>
      <c r="B15" s="470">
        <f ca="1">SUM(B4:B14)</f>
        <v>377244.10993192112</v>
      </c>
      <c r="C15" s="470">
        <f t="shared" ref="C15:Q15" ca="1" si="1">SUM(C4:C14)</f>
        <v>0</v>
      </c>
      <c r="D15" s="470">
        <f t="shared" ca="1" si="1"/>
        <v>521124.63103172544</v>
      </c>
      <c r="E15" s="470">
        <f t="shared" si="1"/>
        <v>7579.1792916469085</v>
      </c>
      <c r="F15" s="470">
        <f t="shared" ca="1" si="1"/>
        <v>48714.236780786428</v>
      </c>
      <c r="G15" s="470">
        <f t="shared" si="1"/>
        <v>190928.48531414315</v>
      </c>
      <c r="H15" s="470">
        <f t="shared" si="1"/>
        <v>30671.886146862551</v>
      </c>
      <c r="I15" s="470">
        <f t="shared" si="1"/>
        <v>0</v>
      </c>
      <c r="J15" s="470">
        <f t="shared" si="1"/>
        <v>416.60196423443466</v>
      </c>
      <c r="K15" s="470">
        <f t="shared" si="1"/>
        <v>0</v>
      </c>
      <c r="L15" s="470">
        <f t="shared" ca="1" si="1"/>
        <v>0</v>
      </c>
      <c r="M15" s="470">
        <f t="shared" si="1"/>
        <v>9657.9270524238509</v>
      </c>
      <c r="N15" s="470">
        <f t="shared" ca="1" si="1"/>
        <v>17561.001333981207</v>
      </c>
      <c r="O15" s="470">
        <f t="shared" si="1"/>
        <v>101.61666666666667</v>
      </c>
      <c r="P15" s="470">
        <f t="shared" si="1"/>
        <v>514.79999999999995</v>
      </c>
      <c r="Q15" s="470">
        <f t="shared" ca="1" si="1"/>
        <v>1204514.4755143919</v>
      </c>
    </row>
    <row r="17" spans="1:17">
      <c r="A17" s="473" t="s">
        <v>568</v>
      </c>
      <c r="B17" s="777">
        <f ca="1">huishoudens!B10</f>
        <v>0.2179183639677203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32396.012359638531</v>
      </c>
      <c r="C22" s="460">
        <f t="shared" ref="C22:C32" ca="1" si="3">C4*$C$17</f>
        <v>0</v>
      </c>
      <c r="D22" s="460">
        <f t="shared" ref="D22:D32" si="4">D4*$D$17</f>
        <v>52857.345414647927</v>
      </c>
      <c r="E22" s="460">
        <f t="shared" ref="E22:E32" si="5">E4*$E$17</f>
        <v>607.93518456866695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85861.29295885512</v>
      </c>
    </row>
    <row r="23" spans="1:17">
      <c r="A23" s="459" t="s">
        <v>156</v>
      </c>
      <c r="B23" s="460">
        <f t="shared" ca="1" si="2"/>
        <v>34952.416750081218</v>
      </c>
      <c r="C23" s="460">
        <f t="shared" ca="1" si="3"/>
        <v>0</v>
      </c>
      <c r="D23" s="460">
        <f t="shared" ca="1" si="4"/>
        <v>35549.764694927129</v>
      </c>
      <c r="E23" s="460">
        <f t="shared" si="5"/>
        <v>763.24728846455855</v>
      </c>
      <c r="F23" s="460">
        <f t="shared" ca="1" si="6"/>
        <v>8448.0746037368644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79713.503337209768</v>
      </c>
    </row>
    <row r="24" spans="1:17">
      <c r="A24" s="459" t="s">
        <v>194</v>
      </c>
      <c r="B24" s="460">
        <f t="shared" ca="1" si="2"/>
        <v>817.94218598334703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817.94218598334703</v>
      </c>
    </row>
    <row r="25" spans="1:17">
      <c r="A25" s="459" t="s">
        <v>112</v>
      </c>
      <c r="B25" s="460">
        <f t="shared" ca="1" si="2"/>
        <v>156.6555376442837</v>
      </c>
      <c r="C25" s="460">
        <f t="shared" ca="1" si="3"/>
        <v>0</v>
      </c>
      <c r="D25" s="460">
        <f t="shared" si="4"/>
        <v>55.296201303939647</v>
      </c>
      <c r="E25" s="460">
        <f t="shared" si="5"/>
        <v>1.7088989803256054</v>
      </c>
      <c r="F25" s="460">
        <f t="shared" si="6"/>
        <v>821.64467798963483</v>
      </c>
      <c r="G25" s="460">
        <f t="shared" si="7"/>
        <v>0</v>
      </c>
      <c r="H25" s="460">
        <f t="shared" si="8"/>
        <v>0</v>
      </c>
      <c r="I25" s="460">
        <f t="shared" si="9"/>
        <v>0</v>
      </c>
      <c r="J25" s="460">
        <f t="shared" si="10"/>
        <v>22.727424885589983</v>
      </c>
      <c r="K25" s="460">
        <f t="shared" si="11"/>
        <v>0</v>
      </c>
      <c r="L25" s="460">
        <f t="shared" si="12"/>
        <v>0</v>
      </c>
      <c r="M25" s="460">
        <f t="shared" si="13"/>
        <v>0</v>
      </c>
      <c r="N25" s="460">
        <f t="shared" si="14"/>
        <v>0</v>
      </c>
      <c r="O25" s="460">
        <f t="shared" si="15"/>
        <v>0</v>
      </c>
      <c r="P25" s="461">
        <f t="shared" si="16"/>
        <v>0</v>
      </c>
      <c r="Q25" s="459">
        <f t="shared" ca="1" si="17"/>
        <v>1058.0327408037738</v>
      </c>
    </row>
    <row r="26" spans="1:17">
      <c r="A26" s="459" t="s">
        <v>655</v>
      </c>
      <c r="B26" s="460">
        <f t="shared" ca="1" si="2"/>
        <v>11378.763835788639</v>
      </c>
      <c r="C26" s="460">
        <f t="shared" ca="1" si="3"/>
        <v>0</v>
      </c>
      <c r="D26" s="460">
        <f t="shared" si="4"/>
        <v>13047.997302250011</v>
      </c>
      <c r="E26" s="460">
        <f t="shared" si="5"/>
        <v>128.66868300703328</v>
      </c>
      <c r="F26" s="460">
        <f t="shared" si="6"/>
        <v>3736.9819387434782</v>
      </c>
      <c r="G26" s="460">
        <f t="shared" si="7"/>
        <v>0</v>
      </c>
      <c r="H26" s="460">
        <f t="shared" si="8"/>
        <v>0</v>
      </c>
      <c r="I26" s="460">
        <f t="shared" si="9"/>
        <v>0</v>
      </c>
      <c r="J26" s="460">
        <f t="shared" si="10"/>
        <v>124.74967045339989</v>
      </c>
      <c r="K26" s="460">
        <f t="shared" si="11"/>
        <v>0</v>
      </c>
      <c r="L26" s="460">
        <f t="shared" si="12"/>
        <v>0</v>
      </c>
      <c r="M26" s="460">
        <f t="shared" si="13"/>
        <v>0</v>
      </c>
      <c r="N26" s="460">
        <f t="shared" si="14"/>
        <v>0</v>
      </c>
      <c r="O26" s="460">
        <f t="shared" si="15"/>
        <v>0</v>
      </c>
      <c r="P26" s="461">
        <f t="shared" si="16"/>
        <v>0</v>
      </c>
      <c r="Q26" s="459">
        <f t="shared" ca="1" si="17"/>
        <v>28417.161430242559</v>
      </c>
    </row>
    <row r="27" spans="1:17" s="465" customFormat="1">
      <c r="A27" s="463" t="s">
        <v>573</v>
      </c>
      <c r="B27" s="771">
        <f t="shared" ca="1" si="2"/>
        <v>0.39428883940354675</v>
      </c>
      <c r="C27" s="464">
        <f t="shared" ca="1" si="3"/>
        <v>0</v>
      </c>
      <c r="D27" s="464">
        <f t="shared" si="4"/>
        <v>1.8477659070947134</v>
      </c>
      <c r="E27" s="464">
        <f t="shared" si="5"/>
        <v>218.91364418326384</v>
      </c>
      <c r="F27" s="464">
        <f t="shared" si="6"/>
        <v>0</v>
      </c>
      <c r="G27" s="464">
        <f t="shared" si="7"/>
        <v>48176.216030028401</v>
      </c>
      <c r="H27" s="464">
        <f t="shared" si="8"/>
        <v>7637.2996505687752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56034.671379526939</v>
      </c>
    </row>
    <row r="28" spans="1:17">
      <c r="A28" s="459" t="s">
        <v>563</v>
      </c>
      <c r="B28" s="460">
        <f t="shared" ca="1" si="2"/>
        <v>382.85920770375748</v>
      </c>
      <c r="C28" s="460">
        <f t="shared" ca="1" si="3"/>
        <v>0</v>
      </c>
      <c r="D28" s="460">
        <f t="shared" si="4"/>
        <v>0</v>
      </c>
      <c r="E28" s="460">
        <f t="shared" si="5"/>
        <v>0</v>
      </c>
      <c r="F28" s="460">
        <f t="shared" si="6"/>
        <v>0</v>
      </c>
      <c r="G28" s="460">
        <f t="shared" si="7"/>
        <v>2801.6895488478185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3184.5487565515759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2123.375087143897</v>
      </c>
      <c r="C32" s="460">
        <f t="shared" ca="1" si="3"/>
        <v>0</v>
      </c>
      <c r="D32" s="460">
        <f t="shared" si="4"/>
        <v>3754.9240893724505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5878.2991765163479</v>
      </c>
    </row>
    <row r="33" spans="1:17" s="472" customFormat="1">
      <c r="A33" s="469" t="s">
        <v>567</v>
      </c>
      <c r="B33" s="470">
        <f ca="1">SUM(B22:B32)</f>
        <v>82208.419252823107</v>
      </c>
      <c r="C33" s="470">
        <f t="shared" ref="C33:Q33" ca="1" si="19">SUM(C22:C32)</f>
        <v>0</v>
      </c>
      <c r="D33" s="470">
        <f t="shared" ca="1" si="19"/>
        <v>105267.17546840855</v>
      </c>
      <c r="E33" s="470">
        <f t="shared" si="19"/>
        <v>1720.4736992038481</v>
      </c>
      <c r="F33" s="470">
        <f t="shared" ca="1" si="19"/>
        <v>13006.701220469977</v>
      </c>
      <c r="G33" s="470">
        <f t="shared" si="19"/>
        <v>50977.90557887622</v>
      </c>
      <c r="H33" s="470">
        <f t="shared" si="19"/>
        <v>7637.2996505687752</v>
      </c>
      <c r="I33" s="470">
        <f t="shared" si="19"/>
        <v>0</v>
      </c>
      <c r="J33" s="470">
        <f t="shared" si="19"/>
        <v>147.47709533898987</v>
      </c>
      <c r="K33" s="470">
        <f t="shared" si="19"/>
        <v>0</v>
      </c>
      <c r="L33" s="470">
        <f t="shared" ca="1" si="19"/>
        <v>0</v>
      </c>
      <c r="M33" s="470">
        <f t="shared" si="19"/>
        <v>0</v>
      </c>
      <c r="N33" s="470">
        <f t="shared" ca="1" si="19"/>
        <v>0</v>
      </c>
      <c r="O33" s="470">
        <f t="shared" si="19"/>
        <v>0</v>
      </c>
      <c r="P33" s="470">
        <f t="shared" si="19"/>
        <v>0</v>
      </c>
      <c r="Q33" s="470">
        <f t="shared" ca="1" si="19"/>
        <v>260965.45196568946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5260.3124078348028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5260.3124078348028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0.2179183639677203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0.2179183639677203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2019-08-12T09:21:17Z</dcterms:modified>
</cp:coreProperties>
</file>