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O18"/>
  <c r="B8"/>
  <c r="B10" s="1"/>
  <c r="B98"/>
  <c r="E102" s="1"/>
  <c r="E17" s="1"/>
  <c r="O19"/>
  <c r="I101"/>
  <c r="H8" s="1"/>
  <c r="H10" s="1"/>
  <c r="E101"/>
  <c r="E8" s="1"/>
  <c r="E10" s="1"/>
  <c r="H101"/>
  <c r="D101"/>
  <c r="G101"/>
  <c r="C101"/>
  <c r="F101"/>
  <c r="B101"/>
  <c r="C8" s="1"/>
  <c r="H102"/>
  <c r="D102"/>
  <c r="G102"/>
  <c r="C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D5" i="17"/>
  <c r="E20" i="18" l="1"/>
  <c r="F87" i="14"/>
  <c r="F17" i="55" s="1"/>
  <c r="L78" i="14"/>
  <c r="L8" i="55"/>
  <c r="O78" i="14"/>
  <c r="O9" i="55"/>
  <c r="C77" i="14"/>
  <c r="C9" i="55" s="1"/>
  <c r="F9"/>
  <c r="F10" s="1"/>
  <c r="F18"/>
  <c r="N90" i="14"/>
  <c r="N18" i="55"/>
  <c r="N20" s="1"/>
  <c r="P32" i="48"/>
  <c r="L22" i="14"/>
  <c r="G10" i="55"/>
  <c r="D10"/>
  <c r="F102" i="18"/>
  <c r="R9" i="14"/>
  <c r="E10" i="55"/>
  <c r="O10"/>
  <c r="H20"/>
  <c r="P24" i="48"/>
  <c r="B102" i="18"/>
  <c r="C17" s="1"/>
  <c r="G78" i="14"/>
  <c r="G9" i="55"/>
  <c r="Q76" i="14"/>
  <c r="P8" i="55" s="1"/>
  <c r="D8"/>
  <c r="E90" i="14"/>
  <c r="E18" i="55"/>
  <c r="E20" s="1"/>
  <c r="O20"/>
  <c r="F78" i="14"/>
  <c r="D22"/>
  <c r="D14" i="48"/>
  <c r="L10" i="55"/>
  <c r="M22" i="14"/>
  <c r="O28" i="48"/>
  <c r="O25"/>
  <c r="I102" i="18"/>
  <c r="H17" s="1"/>
  <c r="N78" i="14"/>
  <c r="N9" i="55"/>
  <c r="N10" s="1"/>
  <c r="K22" i="14"/>
  <c r="P31" i="48"/>
  <c r="K20" i="55"/>
  <c r="G22" i="14"/>
  <c r="O22"/>
  <c r="P22"/>
  <c r="M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14" i="48" l="1"/>
  <c r="Q78" i="14"/>
  <c r="B9" i="6" s="1"/>
  <c r="P9" i="55"/>
  <c r="P10" s="1"/>
  <c r="H20" i="18"/>
  <c r="M87" i="14"/>
  <c r="O17" i="18"/>
  <c r="O20" s="1"/>
  <c r="F20" i="55"/>
  <c r="F90" i="14"/>
  <c r="I10" i="18"/>
  <c r="I76" i="14"/>
  <c r="I8" i="55" s="1"/>
  <c r="I10" s="1"/>
  <c r="J20" i="18"/>
  <c r="J87" i="14"/>
  <c r="I20" i="18"/>
  <c r="I87" i="14"/>
  <c r="I17" i="55" s="1"/>
  <c r="I20" s="1"/>
  <c r="O8" i="18"/>
  <c r="O10" s="1"/>
  <c r="J10"/>
  <c r="J76" i="14"/>
  <c r="D90"/>
  <c r="J90" l="1"/>
  <c r="J17" i="55"/>
  <c r="J20" s="1"/>
  <c r="M90" i="14"/>
  <c r="M17" i="55"/>
  <c r="M20" s="1"/>
  <c r="J78" i="14"/>
  <c r="J8" i="55"/>
  <c r="J10" s="1"/>
  <c r="Q87" i="14"/>
  <c r="I78"/>
  <c r="C76"/>
  <c r="B76"/>
  <c r="I90"/>
  <c r="B87"/>
  <c r="C87"/>
  <c r="H14" i="15"/>
  <c r="H16" s="1"/>
  <c r="G14"/>
  <c r="G16" s="1"/>
  <c r="I10" i="14" l="1"/>
  <c r="I16" s="1"/>
  <c r="H5" i="48"/>
  <c r="H10" i="14"/>
  <c r="H16" s="1"/>
  <c r="G5" i="48"/>
  <c r="Q90" i="14"/>
  <c r="B17" i="6" s="1"/>
  <c r="P17" i="55"/>
  <c r="P20" s="1"/>
  <c r="C78" i="14"/>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D30"/>
  <c r="D24"/>
  <c r="D31"/>
  <c r="D29"/>
  <c r="D28"/>
  <c r="D32"/>
  <c r="P5"/>
  <c r="P23" s="1"/>
  <c r="Q10" i="14"/>
  <c r="J10"/>
  <c r="J16" s="1"/>
  <c r="J27" s="1"/>
  <c r="I5" i="48"/>
  <c r="J32"/>
  <c r="J31"/>
  <c r="J24"/>
  <c r="J30"/>
  <c r="J27"/>
  <c r="J28"/>
  <c r="J29"/>
  <c r="P4"/>
  <c r="Q11" i="14"/>
  <c r="B8" i="9"/>
  <c r="B6" i="48" s="1"/>
  <c r="Q6" s="1"/>
  <c r="F32"/>
  <c r="F24"/>
  <c r="F31"/>
  <c r="F30"/>
  <c r="F29"/>
  <c r="F28"/>
  <c r="F27"/>
  <c r="E32"/>
  <c r="E30"/>
  <c r="E24"/>
  <c r="E29"/>
  <c r="E31"/>
  <c r="E28"/>
  <c r="M32"/>
  <c r="M30"/>
  <c r="M24"/>
  <c r="M25"/>
  <c r="M22"/>
  <c r="M26"/>
  <c r="M29"/>
  <c r="B10"/>
  <c r="C19" i="14"/>
  <c r="O4" i="48"/>
  <c r="P11" i="14"/>
  <c r="D4" i="48"/>
  <c r="D22" s="1"/>
  <c r="E11" i="14"/>
  <c r="H30" i="48"/>
  <c r="H32"/>
  <c r="H26"/>
  <c r="H29"/>
  <c r="H28"/>
  <c r="H25"/>
  <c r="H22"/>
  <c r="H24"/>
  <c r="H23"/>
  <c r="C18" i="16"/>
  <c r="N10" i="14"/>
  <c r="N16" s="1"/>
  <c r="M5" i="48"/>
  <c r="N32"/>
  <c r="N28"/>
  <c r="N30"/>
  <c r="N27"/>
  <c r="N29"/>
  <c r="N24"/>
  <c r="N31"/>
  <c r="L10" i="14"/>
  <c r="L16" s="1"/>
  <c r="L27" s="1"/>
  <c r="K5" i="48"/>
  <c r="L30"/>
  <c r="L24"/>
  <c r="L22"/>
  <c r="L32"/>
  <c r="L31"/>
  <c r="L27"/>
  <c r="L28"/>
  <c r="L29"/>
  <c r="K30"/>
  <c r="K32"/>
  <c r="K31"/>
  <c r="K29"/>
  <c r="K24"/>
  <c r="K26"/>
  <c r="K25"/>
  <c r="K22"/>
  <c r="K27"/>
  <c r="K28"/>
  <c r="I26"/>
  <c r="I30"/>
  <c r="I24"/>
  <c r="I32"/>
  <c r="I28"/>
  <c r="I31"/>
  <c r="I22"/>
  <c r="I25"/>
  <c r="I29"/>
  <c r="I27"/>
  <c r="H12" i="22"/>
  <c r="I18" i="14"/>
  <c r="H13" i="48"/>
  <c r="H31" s="1"/>
  <c r="C4"/>
  <c r="D11" i="14"/>
  <c r="G30" i="48"/>
  <c r="G32"/>
  <c r="G25"/>
  <c r="G29"/>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G11" i="14"/>
  <c r="F4" i="48"/>
  <c r="F22" s="1"/>
  <c r="D16" i="15"/>
  <c r="L46" i="14"/>
  <c r="L61" s="1"/>
  <c r="L63" s="1"/>
  <c r="Q16"/>
  <c r="Q27" s="1"/>
  <c r="O5" i="48"/>
  <c r="O23" s="1"/>
  <c r="P10" i="14"/>
  <c r="M13" i="48"/>
  <c r="M31" s="1"/>
  <c r="N18" i="14"/>
  <c r="G12" i="22"/>
  <c r="G13" i="48"/>
  <c r="H18" i="14"/>
  <c r="R18" s="1"/>
  <c r="P22" i="16"/>
  <c r="Q43" i="14" s="1"/>
  <c r="Q13"/>
  <c r="P8" i="48"/>
  <c r="P26" s="1"/>
  <c r="M23"/>
  <c r="P15"/>
  <c r="P22"/>
  <c r="P33" s="1"/>
  <c r="I15"/>
  <c r="I23"/>
  <c r="I33"/>
  <c r="J63" i="14"/>
  <c r="G31" i="20"/>
  <c r="H48" i="14" s="1"/>
  <c r="K15" i="48"/>
  <c r="K23"/>
  <c r="O22"/>
  <c r="K33"/>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O26" s="1"/>
  <c r="P13" i="14"/>
  <c r="O11"/>
  <c r="N4" i="48"/>
  <c r="N22" s="1"/>
  <c r="K11" i="14"/>
  <c r="J4" i="48"/>
  <c r="J22" s="1"/>
  <c r="G31"/>
  <c r="Q13"/>
  <c r="H27"/>
  <c r="H33" s="1"/>
  <c r="H15"/>
  <c r="H20" i="14"/>
  <c r="G9" i="48"/>
  <c r="B9"/>
  <c r="C20" i="14"/>
  <c r="E9" i="48"/>
  <c r="E27" s="1"/>
  <c r="F20" i="14"/>
  <c r="F22" s="1"/>
  <c r="O33" i="48"/>
  <c r="C15"/>
  <c r="P16" i="14"/>
  <c r="P27" s="1"/>
  <c r="N19"/>
  <c r="M10" i="48"/>
  <c r="M28" s="1"/>
  <c r="E12" i="13"/>
  <c r="F41" i="14" s="1"/>
  <c r="E4" i="48"/>
  <c r="F11" i="14"/>
  <c r="G10" i="48"/>
  <c r="H19" i="14"/>
  <c r="R19" s="1"/>
  <c r="O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H52" s="1"/>
  <c r="H61" s="1"/>
  <c r="G58" i="22"/>
  <c r="H49" i="14" s="1"/>
  <c r="N20" i="15"/>
  <c r="O40" i="14" s="1"/>
  <c r="F20" i="15"/>
  <c r="G40" i="14" s="1"/>
  <c r="N5" i="16"/>
  <c r="E5"/>
  <c r="J5"/>
  <c r="C35" i="13"/>
  <c r="F5" i="16"/>
  <c r="C36" i="13"/>
  <c r="N12"/>
  <c r="O41" i="14" s="1"/>
  <c r="C38" i="13"/>
  <c r="C39"/>
  <c r="C32"/>
  <c r="C34"/>
  <c r="J12"/>
  <c r="K41" i="14" s="1"/>
  <c r="L20" i="15"/>
  <c r="M40" i="14" s="1"/>
  <c r="R22" l="1"/>
  <c r="N52"/>
  <c r="N61" s="1"/>
  <c r="M18" i="22"/>
  <c r="N50" i="14" s="1"/>
  <c r="M9" i="48"/>
  <c r="N20" i="14"/>
  <c r="N22" s="1"/>
  <c r="N27" s="1"/>
  <c r="B15" i="48"/>
  <c r="D15"/>
  <c r="G28"/>
  <c r="Q10"/>
  <c r="R20" i="14"/>
  <c r="C22"/>
  <c r="E22" i="48"/>
  <c r="Q4"/>
  <c r="H22" i="14"/>
  <c r="H27" s="1"/>
  <c r="H63" s="1"/>
  <c r="G27" i="48"/>
  <c r="G33" s="1"/>
  <c r="G15"/>
  <c r="R11" i="14"/>
  <c r="J5" i="48"/>
  <c r="K10" i="14"/>
  <c r="E20" i="15"/>
  <c r="F40" i="14" s="1"/>
  <c r="E5" i="48"/>
  <c r="F10" i="14"/>
  <c r="L15" i="48"/>
  <c r="Q7"/>
  <c r="R24" i="14"/>
  <c r="R26" s="1"/>
  <c r="J18" i="16"/>
  <c r="N18"/>
  <c r="E18"/>
  <c r="F18"/>
  <c r="F22" s="1"/>
  <c r="G43" i="14" s="1"/>
  <c r="N63" l="1"/>
  <c r="M27" i="48"/>
  <c r="M33" s="1"/>
  <c r="M15"/>
  <c r="Q9"/>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<sst xmlns="http://schemas.openxmlformats.org/spreadsheetml/2006/main" count="2523" uniqueCount="977">
  <si>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</si>
  <si>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</si>
  <si>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</si>
  <si>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</si>
  <si>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</si>
  <si>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</si>
  <si>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</si>
  <si>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</si>
  <si>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</si>
  <si>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</si>
  <si>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</si>
  <si>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</si>
  <si>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</si>
  <si>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</si>
  <si>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</si>
  <si>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</si>
  <si>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</si>
  <si>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</si>
  <si>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</si>
  <si>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</si>
  <si>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</si>
  <si>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</si>
  <si>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</si>
  <si>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</si>
  <si>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</si>
  <si>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</si>
  <si>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</si>
  <si>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</si>
  <si>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</si>
  <si>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</si>
  <si>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</si>
  <si>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</si>
  <si>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</si>
  <si>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</si>
  <si>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</si>
  <si>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</si>
  <si>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</si>
  <si>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</si>
  <si>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</si>
  <si>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</si>
  <si>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</si>
  <si>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</si>
  <si>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</si>
  <si>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</si>
  <si>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</si>
  <si>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</si>
  <si>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</si>
  <si>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</si>
  <si>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</si>
  <si>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</si>
  <si>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</si>
  <si>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</si>
  <si>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</si>
  <si>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</si>
  <si>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</si>
  <si>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</si>
  <si>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</si>
  <si>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</si>
  <si>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</si>
  <si>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</si>
  <si>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</si>
  <si>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</si>
  <si>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</si>
  <si>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</si>
  <si>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</si>
  <si>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</si>
  <si>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</si>
  <si>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</si>
  <si>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</si>
  <si>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</si>
  <si>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</si>
  <si>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</si>
  <si>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</si>
  <si>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</si>
  <si>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</si>
  <si>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</si>
  <si>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</si>
  <si>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</si>
  <si>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</si>
  <si>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</si>
  <si>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</si>
  <si>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</si>
  <si>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</si>
  <si>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</si>
  <si>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</si>
  <si>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</si>
  <si>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</si>
  <si>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</si>
  <si>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</si>
  <si>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</si>
  <si>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</si>
  <si>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</si>
  <si>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</si>
  <si>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</si>
  <si>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</si>
  <si>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</si>
  <si>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</si>
  <si>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</si>
  <si>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</si>
  <si>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</si>
  <si>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</si>
  <si>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</si>
  <si>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</si>
  <si>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</si>
  <si>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</si>
  <si>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</si>
  <si>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</si>
  <si>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</si>
  <si>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</si>
  <si>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</si>
  <si>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</si>
  <si>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</si>
  <si>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</si>
  <si>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</si>
  <si>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</si>
  <si>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</si>
  <si>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</si>
  <si>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</si>
  <si>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</si>
  <si>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</si>
  <si>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</si>
  <si>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</si>
  <si>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</si>
  <si>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</si>
  <si>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</si>
  <si>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</si>
  <si>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</si>
  <si>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</si>
  <si>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</si>
  <si>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</si>
  <si>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</si>
  <si>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</si>
  <si>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</si>
  <si>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</si>
  <si>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</si>
  <si>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</si>
  <si>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</si>
  <si>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</si>
  <si>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</si>
  <si>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</si>
  <si>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</si>
  <si>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</si>
  <si>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</si>
  <si>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</si>
  <si>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</si>
  <si>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</si>
  <si>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</si>
  <si>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</si>
  <si>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</si>
  <si>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</si>
  <si>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</si>
  <si>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</si>
  <si>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</si>
  <si>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</si>
  <si>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</si>
  <si>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</si>
  <si>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</si>
  <si>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</si>
  <si>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</si>
  <si>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</si>
  <si>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</si>
  <si>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</si>
  <si>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</si>
  <si>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</si>
  <si>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</si>
  <si>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</si>
  <si>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</si>
  <si>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</si>
  <si>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</si>
  <si>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</si>
  <si>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</si>
  <si>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</si>
  <si>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</si>
  <si>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</si>
  <si>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</si>
  <si>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</si>
  <si>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</si>
  <si>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</si>
  <si>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</si>
  <si>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</si>
  <si>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</si>
  <si>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</si>
  <si>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</si>
  <si>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</si>
  <si>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</si>
  <si>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</si>
  <si>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</si>
  <si>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</si>
  <si>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</si>
  <si>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</si>
  <si>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</si>
  <si>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</si>
  <si>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</si>
  <si>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</si>
  <si>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</si>
  <si>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</si>
  <si>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</si>
  <si>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</si>
  <si>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</si>
  <si>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</si>
  <si>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</si>
  <si>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</si>
  <si>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</si>
  <si>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</si>
  <si>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</si>
  <si>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</si>
  <si>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</si>
  <si>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</si>
  <si>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</si>
  <si>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</si>
  <si>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</si>
  <si>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</si>
  <si>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</si>
  <si>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</si>
  <si>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</si>
  <si>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</si>
  <si>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</si>
  <si>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</si>
  <si>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</si>
  <si>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</si>
  <si>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</si>
  <si>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</si>
  <si>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</si>
  <si>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</si>
  <si>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</si>
  <si>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</si>
  <si>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</si>
  <si>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</si>
  <si>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</si>
  <si>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</si>
  <si>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</si>
  <si>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</si>
  <si>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</si>
  <si>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</si>
  <si>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</si>
  <si>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</si>
  <si>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</si>
  <si>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</si>
  <si>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</si>
  <si>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</si>
  <si>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</si>
  <si>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</si>
  <si>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</si>
  <si>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</si>
  <si>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</si>
  <si>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</si>
  <si>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</si>
  <si>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</si>
  <si>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</si>
  <si>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</si>
  <si>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</si>
  <si>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</si>
  <si>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</si>
  <si>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</si>
  <si>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</si>
  <si>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</si>
  <si>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</si>
  <si>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</si>
  <si>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</si>
  <si>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</si>
  <si>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</si>
  <si>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</si>
  <si>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</si>
  <si>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</si>
  <si>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</si>
  <si>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</si>
  <si>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</si>
  <si>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</si>
  <si>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</si>
  <si>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</si>
  <si>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</si>
  <si>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</si>
  <si>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</si>
  <si>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</si>
  <si>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</si>
  <si>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</si>
  <si>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</si>
  <si>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</si>
  <si>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</si>
  <si>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</si>
  <si>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</si>
  <si>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</si>
  <si>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</si>
  <si>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</si>
  <si>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</si>
  <si>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</si>
  <si>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</si>
  <si>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</si>
  <si>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</si>
  <si>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</si>
  <si>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</si>
  <si>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</si>
  <si>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</si>
  <si>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</si>
  <si>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</si>
  <si>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</si>
  <si>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</si>
  <si>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</si>
  <si>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</si>
  <si>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</si>
  <si>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</si>
  <si>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</si>
  <si>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</si>
  <si>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</si>
  <si>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</si>
  <si>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</si>
  <si>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</si>
  <si>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</si>
  <si>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</si>
  <si>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</si>
  <si>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</si>
  <si>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</si>
  <si>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</si>
  <si>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</si>
  <si>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</si>
  <si>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</si>
  <si>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</si>
  <si>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</si>
  <si>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</si>
  <si>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</si>
  <si>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</si>
  <si>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</si>
  <si>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</si>
  <si>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</si>
  <si>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</si>
  <si>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</si>
  <si>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</si>
  <si>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</si>
  <si>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</si>
  <si>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</si>
  <si>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</si>
  <si>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</si>
  <si>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</si>
  <si>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</si>
  <si>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</si>
  <si>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</si>
  <si>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</si>
  <si>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</si>
  <si>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</si>
  <si>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</si>
  <si>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</si>
  <si>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</si>
  <si>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</si>
  <si>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</si>
  <si>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</si>
  <si>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</si>
  <si>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</si>
  <si>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</si>
  <si>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</si>
  <si>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</si>
  <si>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</si>
  <si>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</si>
  <si>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</si>
  <si>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</si>
  <si>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</si>
  <si>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</si>
  <si>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</si>
  <si>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</si>
  <si>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</si>
  <si>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</si>
  <si>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</si>
  <si>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</si>
  <si>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</si>
  <si>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</si>
  <si>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</si>
  <si>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</si>
  <si>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</si>
  <si>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</si>
  <si>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</si>
  <si>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</si>
  <si>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</si>
  <si>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</si>
  <si>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</si>
  <si>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</si>
  <si>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</si>
  <si>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</si>
  <si>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</si>
  <si>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</si>
  <si>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</si>
  <si>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</si>
  <si>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</si>
  <si>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</si>
  <si>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</si>
  <si>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</si>
  <si>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</si>
  <si>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</si>
  <si>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</si>
  <si>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</si>
  <si>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</si>
  <si>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</si>
  <si>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</si>
  <si>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</si>
  <si>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</si>
  <si>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</si>
  <si>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</si>
  <si>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</si>
  <si>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</si>
  <si>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</si>
  <si>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</si>
  <si>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</si>
  <si>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</si>
  <si>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</si>
  <si>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</si>
  <si>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</si>
  <si>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</si>
  <si>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</si>
  <si>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</si>
  <si>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</si>
  <si>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</si>
  <si>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</si>
  <si>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</si>
  <si>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</si>
  <si>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</si>
  <si>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</si>
  <si>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</si>
  <si>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</si>
  <si>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</si>
  <si>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</si>
  <si>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</si>
  <si>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</si>
  <si>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</si>
  <si>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</si>
  <si>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</si>
  <si>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</si>
  <si>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</si>
  <si>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</si>
  <si>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</si>
  <si>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</si>
  <si>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</si>
  <si>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</si>
  <si>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</si>
  <si>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</si>
  <si>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</si>
  <si>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</si>
  <si>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</si>
  <si>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</si>
  <si>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</si>
  <si>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</si>
  <si>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</si>
  <si>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</si>
  <si>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</si>
  <si>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</si>
  <si>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</si>
  <si>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</si>
  <si>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</si>
  <si>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</si>
  <si>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</si>
  <si>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</si>
  <si>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</si>
  <si>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</si>
  <si>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</si>
  <si>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</si>
  <si>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</si>
  <si>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</si>
  <si>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</si>
  <si>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</si>
  <si>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</si>
  <si>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</si>
  <si>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</si>
  <si>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</si>
  <si>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</si>
  <si>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</si>
  <si>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</si>
  <si>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</si>
  <si>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</si>
  <si>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</si>
  <si>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</si>
  <si>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</si>
  <si>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</si>
  <si>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</si>
  <si>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</si>
  <si>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</si>
  <si>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</si>
  <si>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</si>
  <si>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</si>
  <si>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</si>
  <si>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</si>
  <si>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</si>
  <si>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</si>
  <si>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</si>
  <si>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</si>
  <si>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</si>
  <si>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</si>
  <si>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</si>
  <si>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</si>
  <si>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</si>
  <si>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</si>
  <si>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</si>
  <si>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</si>
  <si>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</si>
  <si>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</si>
  <si>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</si>
  <si>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</si>
  <si>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</si>
  <si>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</si>
  <si>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</si>
  <si>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</si>
  <si>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</si>
  <si>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</si>
  <si>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</si>
  <si>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</si>
  <si>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</si>
  <si>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</si>
  <si>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</si>
  <si>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</si>
  <si>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</si>
  <si>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</si>
  <si>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</si>
  <si>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</si>
  <si>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</si>
  <si>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</si>
  <si>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</si>
  <si>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</si>
  <si>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</si>
  <si>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</si>
  <si>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</si>
  <si>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</si>
  <si>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</si>
  <si>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</si>
  <si>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</si>
  <si>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</si>
  <si>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</si>
  <si>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</si>
  <si>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</si>
  <si>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</si>
  <si>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</si>
  <si>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</si>
  <si>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</si>
  <si>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</si>
  <si>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</si>
  <si>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</si>
  <si>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</si>
  <si>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</si>
  <si>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</si>
  <si>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</si>
  <si>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</si>
  <si>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</si>
  <si>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</si>
  <si>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</si>
  <si>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</si>
  <si>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</si>
  <si>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</si>
  <si>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</si>
  <si>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</si>
  <si>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</si>
  <si>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</si>
  <si>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</si>
  <si>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</si>
  <si>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</si>
  <si>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</si>
  <si>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</si>
  <si>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</si>
  <si>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</si>
  <si>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</si>
  <si>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</si>
  <si>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</si>
  <si>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</si>
  <si>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</si>
  <si>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</si>
  <si>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</si>
  <si>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</si>
  <si>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</si>
  <si>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</si>
  <si>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</si>
  <si>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</si>
  <si>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</si>
  <si>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</si>
  <si>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</si>
  <si>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</si>
  <si>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</si>
  <si>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</si>
  <si>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</si>
  <si>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</si>
  <si>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</si>
  <si>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</si>
  <si>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</si>
  <si>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</si>
  <si>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</si>
  <si>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</si>
  <si>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</si>
  <si>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</si>
  <si>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</si>
  <si>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</si>
  <si>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</si>
  <si>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</si>
  <si>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</si>
  <si>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</si>
  <si>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</si>
  <si>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</si>
  <si>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</si>
  <si>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</si>
  <si>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</si>
  <si>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</si>
  <si>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</si>
  <si>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</si>
  <si>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</si>
  <si>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</si>
  <si>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</si>
  <si>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</si>
  <si>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</si>
  <si>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</si>
  <si>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</si>
  <si>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</si>
  <si>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</si>
  <si>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</si>
  <si>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</si>
  <si>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</si>
  <si>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</si>
  <si>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</si>
  <si>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</si>
  <si>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</si>
  <si>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</si>
  <si>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</si>
  <si>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</si>
  <si>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</si>
  <si>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</si>
  <si>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</si>
  <si>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</si>
  <si>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</si>
  <si>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</si>
  <si>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</si>
  <si>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</si>
  <si>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</si>
  <si>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</si>
  <si>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</si>
  <si>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</si>
  <si>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</si>
  <si>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</si>
  <si>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</si>
  <si>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</si>
  <si>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</si>
  <si>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</si>
  <si>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</si>
  <si>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</si>
  <si>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</si>
  <si>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</si>
  <si>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</si>
  <si>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</si>
  <si>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</si>
  <si>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</si>
  <si>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</si>
  <si>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</si>
  <si>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</si>
  <si>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</si>
  <si>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</si>
  <si>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</si>
  <si>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</si>
  <si>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</si>
  <si>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</si>
  <si>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</si>
  <si>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</si>
  <si>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</si>
  <si>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</si>
  <si>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</si>
  <si>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</si>
  <si>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</si>
  <si>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</si>
  <si>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</si>
  <si>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</si>
  <si>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</si>
  <si>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</si>
  <si>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</si>
  <si>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</si>
  <si>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</si>
  <si>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</si>
  <si>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</si>
  <si>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</si>
  <si>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</si>
  <si>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</si>
  <si>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</si>
  <si>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</si>
  <si>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</si>
  <si>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</si>
  <si>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</si>
  <si>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</si>
  <si>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</si>
  <si>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</si>
  <si>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</si>
  <si>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</si>
  <si>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</si>
  <si>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</si>
  <si>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</si>
  <si>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</si>
  <si>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</si>
  <si>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</si>
  <si>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</si>
  <si>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</si>
  <si>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</si>
  <si>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</si>
  <si>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</si>
  <si>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</si>
  <si>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</si>
  <si>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</si>
  <si>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</si>
  <si>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</si>
  <si>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</si>
  <si>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</si>
  <si>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</si>
  <si>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</si>
  <si>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</si>
  <si>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</si>
  <si>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</si>
  <si>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</si>
  <si>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</si>
  <si>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</si>
  <si>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</si>
  <si>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</si>
  <si>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</si>
  <si>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</si>
  <si>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</si>
  <si>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</si>
  <si>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</si>
  <si>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</si>
  <si>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</si>
  <si>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</si>
  <si>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</si>
  <si>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</si>
  <si>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</si>
  <si>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</si>
  <si>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</si>
  <si>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</si>
  <si>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</si>
  <si>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</si>
  <si>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</si>
  <si>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</si>
  <si>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</si>
  <si>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</si>
  <si>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</si>
  <si>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</si>
  <si>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</si>
  <si>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</si>
  <si>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</si>
  <si>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</si>
  <si>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</si>
  <si>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</si>
  <si>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</si>
  <si>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</si>
  <si>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</si>
  <si>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</si>
  <si>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</si>
  <si>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</si>
  <si>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</si>
  <si>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</si>
  <si>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</si>
  <si>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</si>
  <si>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</si>
  <si>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</si>
  <si>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</si>
  <si>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</si>
  <si>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</si>
  <si>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</si>
  <si>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</si>
  <si>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</si>
  <si>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</si>
  <si>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</si>
  <si>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</si>
  <si>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</si>
  <si>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</si>
  <si>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</si>
  <si>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</si>
  <si>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</si>
  <si>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</si>
  <si>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</si>
  <si>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</si>
  <si>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</si>
  <si>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</si>
  <si>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</si>
  <si>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</si>
  <si>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</si>
  <si>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</si>
  <si>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</si>
  <si>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</si>
  <si>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</si>
  <si>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</si>
  <si>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</si>
  <si>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</si>
  <si>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</si>
  <si>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</si>
  <si>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</si>
  <si>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</si>
  <si>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</si>
  <si>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</si>
  <si>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</si>
  <si>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</si>
  <si>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</si>
  <si>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</si>
  <si>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</si>
  <si>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</si>
  <si>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</si>
  <si>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</si>
  <si>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</si>
  <si>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</si>
  <si>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</si>
  <si>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</si>
  <si>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</si>
  <si>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</si>
  <si>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</si>
  <si>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</si>
  <si>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</si>
  <si>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</si>
  <si>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</si>
  <si>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</si>
  <si>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</si>
  <si>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</si>
  <si>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</si>
  <si>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</si>
  <si>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</si>
  <si>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</si>
  <si>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</si>
  <si>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</si>
  <si>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</si>
  <si>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</si>
  <si>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</si>
  <si>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</si>
  <si>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</si>
  <si>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</si>
  <si>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</si>
  <si>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</si>
  <si>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</si>
  <si>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</si>
  <si>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</si>
  <si>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</si>
  <si>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</si>
  <si>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</si>
  <si>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</si>
  <si>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</si>
  <si>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</si>
  <si>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</si>
  <si>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</si>
  <si>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</si>
  <si>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</si>
  <si>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</si>
  <si>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</si>
  <si>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</si>
  <si>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</si>
  <si>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</si>
  <si>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</si>
  <si>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</si>
  <si>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</si>
  <si>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</si>
  <si>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</si>
  <si>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</si>
  <si>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</si>
  <si>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</si>
  <si>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</si>
  <si>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</si>
  <si>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</si>
  <si>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</si>
  <si>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</si>
  <si>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</si>
  <si>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</si>
  <si>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</si>
  <si>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</si>
  <si>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</si>
  <si>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</si>
  <si>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</si>
  <si>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</si>
  <si>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</si>
  <si>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</si>
  <si>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</si>
  <si>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</si>
  <si>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</si>
  <si>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</si>
  <si>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</si>
  <si>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</si>
  <si>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</si>
  <si>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</si>
  <si>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</si>
  <si>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</si>
  <si>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</si>
  <si>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</si>
  <si>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</si>
  <si>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</si>
  <si>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</si>
  <si>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</si>
  <si>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</si>
  <si>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</si>
  <si>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</si>
  <si>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</si>
  <si>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</si>
  <si>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</si>
  <si>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</si>
  <si>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</si>
  <si>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</si>
  <si>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</si>
  <si>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</si>
  <si>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</si>
  <si>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</si>
  <si>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</si>
  <si>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</si>
  <si>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</si>
  <si>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</si>
  <si>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</si>
  <si>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</si>
  <si>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</si>
  <si>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</si>
  <si>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</si>
  <si>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</si>
  <si>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</si>
  <si>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</si>
  <si>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</si>
  <si>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</si>
  <si>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</si>
  <si>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</si>
  <si>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</si>
  <si>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</si>
  <si>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</si>
  <si>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</si>
  <si>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</si>
  <si>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</si>
  <si>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</si>
  <si>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</si>
  <si>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</si>
  <si>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</si>
  <si>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</si>
  <si>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</si>
  <si>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</si>
  <si>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</si>
  <si>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</si>
  <si>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</si>
  <si>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</si>
  <si>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</si>
  <si>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</si>
  <si>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</si>
  <si>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</si>
  <si>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</si>
  <si>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</si>
  <si>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</si>
  <si>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</si>
  <si>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</si>
  <si>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</si>
  <si>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</si>
  <si>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</si>
  <si>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</si>
  <si>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</si>
  <si>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</si>
  <si>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</si>
  <si>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</si>
  <si>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</si>
  <si>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</si>
  <si>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</si>
  <si>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</si>
  <si>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</si>
  <si>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</si>
  <si>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</si>
  <si>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</si>
  <si>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</si>
  <si>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</si>
  <si>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</si>
  <si>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</si>
  <si>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</si>
  <si>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</si>
  <si>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</si>
  <si>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</si>
  <si>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</si>
  <si>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</si>
  <si>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31040</t>
  </si>
  <si>
    <t>ZEDELGEM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</si>
  <si>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</si>
  <si>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</si>
  <si>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</si>
  <si>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</si>
  <si>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</si>
  <si>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</si>
  <si>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</si>
  <si>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Rese Roger</t>
  </si>
  <si>
    <t>Torhoutsesteenweg 237, 8210 Zedelgem</t>
  </si>
  <si>
    <t>WKK-0153 Slachthuis De Rese</t>
  </si>
  <si>
    <t>interne verbrandingsmotor</t>
  </si>
  <si>
    <t>WKK interne verbrandinsgmotor (gas)</t>
  </si>
  <si>
    <t>IMEWO</t>
  </si>
  <si>
    <t>Vandtra</t>
  </si>
  <si>
    <t>Faliestraat 40B, 8210 Zedelgem</t>
  </si>
  <si>
    <t>WKK-0036 Vandevelde</t>
  </si>
  <si>
    <t>Alex Allemeersch</t>
  </si>
  <si>
    <t>Faliestraat 59 , 8210 Zedelgem</t>
  </si>
  <si>
    <t>WKK-0350 Alex Allemeersch</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</si>
</sst>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31040</v>
      </c>
      <c r="B6" s="396"/>
      <c r="C6" s="397"/>
    </row>
    <row r="7" spans="1:7" s="394" customFormat="1" ht="15.75" customHeight="1">
      <c r="A7" s="398" t="str">
        <f>txtMunicipality</f>
        <v>ZEDELGEM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24388.819961017336</v>
      </c>
      <c r="D10" s="687">
        <f ca="1">tertiair!C16</f>
        <v>0</v>
      </c>
      <c r="E10" s="687">
        <f ca="1">tertiair!D16</f>
        <v>25215.612820628477</v>
      </c>
      <c r="F10" s="687">
        <f>tertiair!E16</f>
        <v>411.82864030686812</v>
      </c>
      <c r="G10" s="687">
        <f ca="1">tertiair!F16</f>
        <v>4291.0947880936637</v>
      </c>
      <c r="H10" s="687">
        <f>tertiair!G16</f>
        <v>0</v>
      </c>
      <c r="I10" s="687">
        <f>tertiair!H16</f>
        <v>0</v>
      </c>
      <c r="J10" s="687">
        <f>tertiair!I16</f>
        <v>0</v>
      </c>
      <c r="K10" s="687">
        <f>tertiair!J16</f>
        <v>0</v>
      </c>
      <c r="L10" s="687">
        <f>tertiair!K16</f>
        <v>0</v>
      </c>
      <c r="M10" s="687">
        <f ca="1">tertiair!L16</f>
        <v>0</v>
      </c>
      <c r="N10" s="687">
        <f>tertiair!M16</f>
        <v>0</v>
      </c>
      <c r="O10" s="687">
        <f ca="1">tertiair!N16</f>
        <v>853.37148438092754</v>
      </c>
      <c r="P10" s="687">
        <f>tertiair!O16</f>
        <v>1.5633333333333335</v>
      </c>
      <c r="Q10" s="688">
        <f>tertiair!P16</f>
        <v>38.133333333333333</v>
      </c>
      <c r="R10" s="690">
        <f ca="1">SUM(C10:Q10)</f>
        <v>55200.424361093937</v>
      </c>
      <c r="S10" s="67"/>
    </row>
    <row r="11" spans="1:19" s="456" customFormat="1">
      <c r="A11" s="802" t="s">
        <v>225</v>
      </c>
      <c r="B11" s="807"/>
      <c r="C11" s="687">
        <f>huishoudens!B8</f>
        <v>45203.306242840023</v>
      </c>
      <c r="D11" s="687">
        <f>huishoudens!C8</f>
        <v>0</v>
      </c>
      <c r="E11" s="687">
        <f>huishoudens!D8</f>
        <v>69654.652066409704</v>
      </c>
      <c r="F11" s="687">
        <f>huishoudens!E8</f>
        <v>7441.6210788019507</v>
      </c>
      <c r="G11" s="687">
        <f>huishoudens!F8</f>
        <v>40781.566331747221</v>
      </c>
      <c r="H11" s="687">
        <f>huishoudens!G8</f>
        <v>0</v>
      </c>
      <c r="I11" s="687">
        <f>huishoudens!H8</f>
        <v>0</v>
      </c>
      <c r="J11" s="687">
        <f>huishoudens!I8</f>
        <v>0</v>
      </c>
      <c r="K11" s="687">
        <f>huishoudens!J8</f>
        <v>3886.9595524463716</v>
      </c>
      <c r="L11" s="687">
        <f>huishoudens!K8</f>
        <v>0</v>
      </c>
      <c r="M11" s="687">
        <f>huishoudens!L8</f>
        <v>0</v>
      </c>
      <c r="N11" s="687">
        <f>huishoudens!M8</f>
        <v>0</v>
      </c>
      <c r="O11" s="687">
        <f>huishoudens!N8</f>
        <v>21436.310309044406</v>
      </c>
      <c r="P11" s="687">
        <f>huishoudens!O8</f>
        <v>101.61666666666667</v>
      </c>
      <c r="Q11" s="688">
        <f>huishoudens!P8</f>
        <v>171.6</v>
      </c>
      <c r="R11" s="690">
        <f>SUM(C11:Q11)</f>
        <v>188677.63224795635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29544.428111959183</v>
      </c>
      <c r="D13" s="687">
        <f>industrie!C18</f>
        <v>4017.8571428571431</v>
      </c>
      <c r="E13" s="687">
        <f>industrie!D18</f>
        <v>67334.689604004467</v>
      </c>
      <c r="F13" s="687">
        <f>industrie!E18</f>
        <v>256.84098727333503</v>
      </c>
      <c r="G13" s="687">
        <f>industrie!F18</f>
        <v>5884.5131260501475</v>
      </c>
      <c r="H13" s="687">
        <f>industrie!G18</f>
        <v>0</v>
      </c>
      <c r="I13" s="687">
        <f>industrie!H18</f>
        <v>0</v>
      </c>
      <c r="J13" s="687">
        <f>industrie!I18</f>
        <v>0</v>
      </c>
      <c r="K13" s="687">
        <f>industrie!J18</f>
        <v>266.30470949080097</v>
      </c>
      <c r="L13" s="687">
        <f>industrie!K18</f>
        <v>0</v>
      </c>
      <c r="M13" s="687">
        <f>industrie!L18</f>
        <v>0</v>
      </c>
      <c r="N13" s="687">
        <f>industrie!M18</f>
        <v>0</v>
      </c>
      <c r="O13" s="687">
        <f>industrie!N18</f>
        <v>0</v>
      </c>
      <c r="P13" s="687">
        <f>industrie!O18</f>
        <v>0</v>
      </c>
      <c r="Q13" s="688">
        <f>industrie!P18</f>
        <v>0</v>
      </c>
      <c r="R13" s="690">
        <f>SUM(C13:Q13)</f>
        <v>107304.63368163507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99136.554315816553</v>
      </c>
      <c r="D16" s="720">
        <f t="shared" ref="D16:R16" ca="1" si="0">SUM(D9:D15)</f>
        <v>4017.8571428571431</v>
      </c>
      <c r="E16" s="720">
        <f t="shared" ca="1" si="0"/>
        <v>162204.95449104265</v>
      </c>
      <c r="F16" s="720">
        <f t="shared" si="0"/>
        <v>8110.2907063821531</v>
      </c>
      <c r="G16" s="720">
        <f t="shared" ca="1" si="0"/>
        <v>50957.17424589103</v>
      </c>
      <c r="H16" s="720">
        <f t="shared" si="0"/>
        <v>0</v>
      </c>
      <c r="I16" s="720">
        <f t="shared" si="0"/>
        <v>0</v>
      </c>
      <c r="J16" s="720">
        <f t="shared" si="0"/>
        <v>0</v>
      </c>
      <c r="K16" s="720">
        <f t="shared" si="0"/>
        <v>4153.2642619371727</v>
      </c>
      <c r="L16" s="720">
        <f t="shared" si="0"/>
        <v>0</v>
      </c>
      <c r="M16" s="720">
        <f t="shared" ca="1" si="0"/>
        <v>0</v>
      </c>
      <c r="N16" s="720">
        <f t="shared" si="0"/>
        <v>0</v>
      </c>
      <c r="O16" s="720">
        <f t="shared" ca="1" si="0"/>
        <v>22289.681793425334</v>
      </c>
      <c r="P16" s="720">
        <f t="shared" si="0"/>
        <v>103.18</v>
      </c>
      <c r="Q16" s="720">
        <f t="shared" si="0"/>
        <v>209.73333333333332</v>
      </c>
      <c r="R16" s="720">
        <f t="shared" ca="1" si="0"/>
        <v>351182.69029068534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2139.1459572899275</v>
      </c>
      <c r="I19" s="687">
        <f>transport!H54</f>
        <v>0</v>
      </c>
      <c r="J19" s="687">
        <f>transport!I54</f>
        <v>0</v>
      </c>
      <c r="K19" s="687">
        <f>transport!J54</f>
        <v>0</v>
      </c>
      <c r="L19" s="687">
        <f>transport!K54</f>
        <v>0</v>
      </c>
      <c r="M19" s="687">
        <f>transport!L54</f>
        <v>0</v>
      </c>
      <c r="N19" s="687">
        <f>transport!M54</f>
        <v>91.18249868978522</v>
      </c>
      <c r="O19" s="687">
        <f>transport!N54</f>
        <v>0</v>
      </c>
      <c r="P19" s="687">
        <f>transport!O54</f>
        <v>0</v>
      </c>
      <c r="Q19" s="688">
        <f>transport!P54</f>
        <v>0</v>
      </c>
      <c r="R19" s="690">
        <f>SUM(C19:Q19)</f>
        <v>2230.3284559797125</v>
      </c>
      <c r="S19" s="67"/>
    </row>
    <row r="20" spans="1:19" s="456" customFormat="1">
      <c r="A20" s="802" t="s">
        <v>307</v>
      </c>
      <c r="B20" s="807"/>
      <c r="C20" s="687">
        <f>transport!B14</f>
        <v>1.6797401806876058</v>
      </c>
      <c r="D20" s="687">
        <f>transport!C14</f>
        <v>0</v>
      </c>
      <c r="E20" s="687">
        <f>transport!D14</f>
        <v>8.1438085430684417</v>
      </c>
      <c r="F20" s="687">
        <f>transport!E14</f>
        <v>926.70765660051848</v>
      </c>
      <c r="G20" s="687">
        <f>transport!F14</f>
        <v>0</v>
      </c>
      <c r="H20" s="687">
        <f>transport!G14</f>
        <v>174200.25144682606</v>
      </c>
      <c r="I20" s="687">
        <f>transport!H14</f>
        <v>27869.894517785262</v>
      </c>
      <c r="J20" s="687">
        <f>transport!I14</f>
        <v>0</v>
      </c>
      <c r="K20" s="687">
        <f>transport!J14</f>
        <v>0</v>
      </c>
      <c r="L20" s="687">
        <f>transport!K14</f>
        <v>0</v>
      </c>
      <c r="M20" s="687">
        <f>transport!L14</f>
        <v>0</v>
      </c>
      <c r="N20" s="687">
        <f>transport!M14</f>
        <v>8811.7697136910538</v>
      </c>
      <c r="O20" s="687">
        <f>transport!N14</f>
        <v>0</v>
      </c>
      <c r="P20" s="687">
        <f>transport!O14</f>
        <v>0</v>
      </c>
      <c r="Q20" s="688">
        <f>transport!P14</f>
        <v>0</v>
      </c>
      <c r="R20" s="690">
        <f>SUM(C20:Q20)</f>
        <v>211818.44688362666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1.6797401806876058</v>
      </c>
      <c r="D22" s="805">
        <f t="shared" ref="D22:R22" si="1">SUM(D18:D21)</f>
        <v>0</v>
      </c>
      <c r="E22" s="805">
        <f t="shared" si="1"/>
        <v>8.1438085430684417</v>
      </c>
      <c r="F22" s="805">
        <f t="shared" si="1"/>
        <v>926.70765660051848</v>
      </c>
      <c r="G22" s="805">
        <f t="shared" si="1"/>
        <v>0</v>
      </c>
      <c r="H22" s="805">
        <f t="shared" si="1"/>
        <v>176339.397404116</v>
      </c>
      <c r="I22" s="805">
        <f t="shared" si="1"/>
        <v>27869.894517785262</v>
      </c>
      <c r="J22" s="805">
        <f t="shared" si="1"/>
        <v>0</v>
      </c>
      <c r="K22" s="805">
        <f t="shared" si="1"/>
        <v>0</v>
      </c>
      <c r="L22" s="805">
        <f t="shared" si="1"/>
        <v>0</v>
      </c>
      <c r="M22" s="805">
        <f t="shared" si="1"/>
        <v>0</v>
      </c>
      <c r="N22" s="805">
        <f t="shared" si="1"/>
        <v>8902.9522123808383</v>
      </c>
      <c r="O22" s="805">
        <f t="shared" si="1"/>
        <v>0</v>
      </c>
      <c r="P22" s="805">
        <f t="shared" si="1"/>
        <v>0</v>
      </c>
      <c r="Q22" s="805">
        <f t="shared" si="1"/>
        <v>0</v>
      </c>
      <c r="R22" s="805">
        <f t="shared" si="1"/>
        <v>214048.77533960636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6032.2850013984735</v>
      </c>
      <c r="D24" s="687">
        <f>+landbouw!C8</f>
        <v>13795.714285714286</v>
      </c>
      <c r="E24" s="687">
        <f>+landbouw!D8</f>
        <v>0</v>
      </c>
      <c r="F24" s="687">
        <f>+landbouw!E8</f>
        <v>63.171394471091837</v>
      </c>
      <c r="G24" s="687">
        <f>+landbouw!F8</f>
        <v>25822.763369132579</v>
      </c>
      <c r="H24" s="687">
        <f>+landbouw!G8</f>
        <v>0</v>
      </c>
      <c r="I24" s="687">
        <f>+landbouw!H8</f>
        <v>0</v>
      </c>
      <c r="J24" s="687">
        <f>+landbouw!I8</f>
        <v>0</v>
      </c>
      <c r="K24" s="687">
        <f>+landbouw!J8</f>
        <v>538.73711891773792</v>
      </c>
      <c r="L24" s="687">
        <f>+landbouw!K8</f>
        <v>0</v>
      </c>
      <c r="M24" s="687">
        <f>+landbouw!L8</f>
        <v>0</v>
      </c>
      <c r="N24" s="687">
        <f>+landbouw!M8</f>
        <v>0</v>
      </c>
      <c r="O24" s="687">
        <f>+landbouw!N8</f>
        <v>0</v>
      </c>
      <c r="P24" s="687">
        <f>+landbouw!O8</f>
        <v>0</v>
      </c>
      <c r="Q24" s="688">
        <f>+landbouw!P8</f>
        <v>0</v>
      </c>
      <c r="R24" s="690">
        <f>SUM(C24:Q24)</f>
        <v>46252.671169634166</v>
      </c>
      <c r="S24" s="67"/>
    </row>
    <row r="25" spans="1:19" s="456" customFormat="1" ht="15" thickBot="1">
      <c r="A25" s="824" t="s">
        <v>925</v>
      </c>
      <c r="B25" s="988"/>
      <c r="C25" s="989">
        <f>IF(Onbekend_ele_kWh="---",0,Onbekend_ele_kWh)/1000+IF(REST_rest_ele_kWh="---",0,REST_rest_ele_kWh)/1000</f>
        <v>3332.1793128625</v>
      </c>
      <c r="D25" s="989"/>
      <c r="E25" s="989">
        <f>IF(onbekend_gas_kWh="---",0,onbekend_gas_kWh)/1000+IF(REST_rest_gas_kWh="---",0,REST_rest_gas_kWh)/1000</f>
        <v>4589.4061627290694</v>
      </c>
      <c r="F25" s="989"/>
      <c r="G25" s="989"/>
      <c r="H25" s="989"/>
      <c r="I25" s="989"/>
      <c r="J25" s="989"/>
      <c r="K25" s="989"/>
      <c r="L25" s="989"/>
      <c r="M25" s="989"/>
      <c r="N25" s="989"/>
      <c r="O25" s="989"/>
      <c r="P25" s="989"/>
      <c r="Q25" s="990"/>
      <c r="R25" s="690">
        <f>SUM(C25:Q25)</f>
        <v>7921.5854755915698</v>
      </c>
      <c r="S25" s="67"/>
    </row>
    <row r="26" spans="1:19" s="456" customFormat="1" ht="15.75" thickBot="1">
      <c r="A26" s="693" t="s">
        <v>926</v>
      </c>
      <c r="B26" s="810"/>
      <c r="C26" s="805">
        <f>SUM(C24:C25)</f>
        <v>9364.464314260973</v>
      </c>
      <c r="D26" s="805">
        <f t="shared" ref="D26:R26" si="2">SUM(D24:D25)</f>
        <v>13795.714285714286</v>
      </c>
      <c r="E26" s="805">
        <f t="shared" si="2"/>
        <v>4589.4061627290694</v>
      </c>
      <c r="F26" s="805">
        <f t="shared" si="2"/>
        <v>63.171394471091837</v>
      </c>
      <c r="G26" s="805">
        <f t="shared" si="2"/>
        <v>25822.763369132579</v>
      </c>
      <c r="H26" s="805">
        <f t="shared" si="2"/>
        <v>0</v>
      </c>
      <c r="I26" s="805">
        <f t="shared" si="2"/>
        <v>0</v>
      </c>
      <c r="J26" s="805">
        <f t="shared" si="2"/>
        <v>0</v>
      </c>
      <c r="K26" s="805">
        <f t="shared" si="2"/>
        <v>538.73711891773792</v>
      </c>
      <c r="L26" s="805">
        <f t="shared" si="2"/>
        <v>0</v>
      </c>
      <c r="M26" s="805">
        <f t="shared" si="2"/>
        <v>0</v>
      </c>
      <c r="N26" s="805">
        <f t="shared" si="2"/>
        <v>0</v>
      </c>
      <c r="O26" s="805">
        <f t="shared" si="2"/>
        <v>0</v>
      </c>
      <c r="P26" s="805">
        <f t="shared" si="2"/>
        <v>0</v>
      </c>
      <c r="Q26" s="805">
        <f t="shared" si="2"/>
        <v>0</v>
      </c>
      <c r="R26" s="805">
        <f t="shared" si="2"/>
        <v>54174.256645225738</v>
      </c>
      <c r="S26" s="67"/>
    </row>
    <row r="27" spans="1:19" s="456" customFormat="1" ht="17.25" thickTop="1" thickBot="1">
      <c r="A27" s="694" t="s">
        <v>116</v>
      </c>
      <c r="B27" s="797"/>
      <c r="C27" s="695">
        <f ca="1">C22+C16+C26</f>
        <v>108502.69837025821</v>
      </c>
      <c r="D27" s="695">
        <f t="shared" ref="D27:R27" ca="1" si="3">D22+D16+D26</f>
        <v>17813.571428571428</v>
      </c>
      <c r="E27" s="695">
        <f t="shared" ca="1" si="3"/>
        <v>166802.5044623148</v>
      </c>
      <c r="F27" s="695">
        <f t="shared" si="3"/>
        <v>9100.1697574537629</v>
      </c>
      <c r="G27" s="695">
        <f t="shared" ca="1" si="3"/>
        <v>76779.937615023606</v>
      </c>
      <c r="H27" s="695">
        <f t="shared" si="3"/>
        <v>176339.397404116</v>
      </c>
      <c r="I27" s="695">
        <f t="shared" si="3"/>
        <v>27869.894517785262</v>
      </c>
      <c r="J27" s="695">
        <f t="shared" si="3"/>
        <v>0</v>
      </c>
      <c r="K27" s="695">
        <f t="shared" si="3"/>
        <v>4692.0013808549102</v>
      </c>
      <c r="L27" s="695">
        <f t="shared" si="3"/>
        <v>0</v>
      </c>
      <c r="M27" s="695">
        <f t="shared" ca="1" si="3"/>
        <v>0</v>
      </c>
      <c r="N27" s="695">
        <f t="shared" si="3"/>
        <v>8902.9522123808383</v>
      </c>
      <c r="O27" s="695">
        <f t="shared" ca="1" si="3"/>
        <v>22289.681793425334</v>
      </c>
      <c r="P27" s="695">
        <f t="shared" si="3"/>
        <v>103.18</v>
      </c>
      <c r="Q27" s="695">
        <f t="shared" si="3"/>
        <v>209.73333333333332</v>
      </c>
      <c r="R27" s="695">
        <f t="shared" ca="1" si="3"/>
        <v>619405.72227551742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4881.1665988217628</v>
      </c>
      <c r="D40" s="687">
        <f ca="1">tertiair!C20</f>
        <v>0</v>
      </c>
      <c r="E40" s="687">
        <f ca="1">tertiair!D20</f>
        <v>5093.5537897669528</v>
      </c>
      <c r="F40" s="687">
        <f>tertiair!E20</f>
        <v>93.485101349659061</v>
      </c>
      <c r="G40" s="687">
        <f ca="1">tertiair!F20</f>
        <v>1145.7223084210084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11213.927798359384</v>
      </c>
    </row>
    <row r="41" spans="1:18">
      <c r="A41" s="815" t="s">
        <v>225</v>
      </c>
      <c r="B41" s="822"/>
      <c r="C41" s="687">
        <f ca="1">huishoudens!B12</f>
        <v>9046.9677885825095</v>
      </c>
      <c r="D41" s="687">
        <f ca="1">huishoudens!C12</f>
        <v>0</v>
      </c>
      <c r="E41" s="687">
        <f>huishoudens!D12</f>
        <v>14070.239717414761</v>
      </c>
      <c r="F41" s="687">
        <f>huishoudens!E12</f>
        <v>1689.2479848880428</v>
      </c>
      <c r="G41" s="687">
        <f>huishoudens!F12</f>
        <v>10888.678210576509</v>
      </c>
      <c r="H41" s="687">
        <f>huishoudens!G12</f>
        <v>0</v>
      </c>
      <c r="I41" s="687">
        <f>huishoudens!H12</f>
        <v>0</v>
      </c>
      <c r="J41" s="687">
        <f>huishoudens!I12</f>
        <v>0</v>
      </c>
      <c r="K41" s="687">
        <f>huishoudens!J12</f>
        <v>1375.9836815660155</v>
      </c>
      <c r="L41" s="687">
        <f>huishoudens!K12</f>
        <v>0</v>
      </c>
      <c r="M41" s="687">
        <f>huishoudens!L12</f>
        <v>0</v>
      </c>
      <c r="N41" s="687">
        <f>huishoudens!M12</f>
        <v>0</v>
      </c>
      <c r="O41" s="687">
        <f>huishoudens!N12</f>
        <v>0</v>
      </c>
      <c r="P41" s="687">
        <f>huishoudens!O12</f>
        <v>0</v>
      </c>
      <c r="Q41" s="762">
        <f>huishoudens!P12</f>
        <v>0</v>
      </c>
      <c r="R41" s="843">
        <f t="shared" ca="1" si="4"/>
        <v>37071.117383027835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5913.0075137661706</v>
      </c>
      <c r="D43" s="687">
        <f ca="1">industrie!C22</f>
        <v>739.46926298487642</v>
      </c>
      <c r="E43" s="687">
        <f>industrie!D22</f>
        <v>13601.607300008904</v>
      </c>
      <c r="F43" s="687">
        <f>industrie!E22</f>
        <v>58.302904111047056</v>
      </c>
      <c r="G43" s="687">
        <f>industrie!F22</f>
        <v>1571.1650046553896</v>
      </c>
      <c r="H43" s="687">
        <f>industrie!G22</f>
        <v>0</v>
      </c>
      <c r="I43" s="687">
        <f>industrie!H22</f>
        <v>0</v>
      </c>
      <c r="J43" s="687">
        <f>industrie!I22</f>
        <v>0</v>
      </c>
      <c r="K43" s="687">
        <f>industrie!J22</f>
        <v>94.271867159743536</v>
      </c>
      <c r="L43" s="687">
        <f>industrie!K22</f>
        <v>0</v>
      </c>
      <c r="M43" s="687">
        <f>industrie!L22</f>
        <v>0</v>
      </c>
      <c r="N43" s="687">
        <f>industrie!M22</f>
        <v>0</v>
      </c>
      <c r="O43" s="687">
        <f>industrie!N22</f>
        <v>0</v>
      </c>
      <c r="P43" s="687">
        <f>industrie!O22</f>
        <v>0</v>
      </c>
      <c r="Q43" s="762">
        <f>industrie!P22</f>
        <v>0</v>
      </c>
      <c r="R43" s="842">
        <f t="shared" ca="1" si="4"/>
        <v>21977.823852686128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19841.141901170442</v>
      </c>
      <c r="D46" s="720">
        <f t="shared" ref="D46:Q46" ca="1" si="5">SUM(D39:D45)</f>
        <v>739.46926298487642</v>
      </c>
      <c r="E46" s="720">
        <f t="shared" ca="1" si="5"/>
        <v>32765.400807190614</v>
      </c>
      <c r="F46" s="720">
        <f t="shared" si="5"/>
        <v>1841.035990348749</v>
      </c>
      <c r="G46" s="720">
        <f t="shared" ca="1" si="5"/>
        <v>13605.565523652907</v>
      </c>
      <c r="H46" s="720">
        <f t="shared" si="5"/>
        <v>0</v>
      </c>
      <c r="I46" s="720">
        <f t="shared" si="5"/>
        <v>0</v>
      </c>
      <c r="J46" s="720">
        <f t="shared" si="5"/>
        <v>0</v>
      </c>
      <c r="K46" s="720">
        <f t="shared" si="5"/>
        <v>1470.2555487257591</v>
      </c>
      <c r="L46" s="720">
        <f t="shared" si="5"/>
        <v>0</v>
      </c>
      <c r="M46" s="720">
        <f t="shared" ca="1" si="5"/>
        <v>0</v>
      </c>
      <c r="N46" s="720">
        <f t="shared" si="5"/>
        <v>0</v>
      </c>
      <c r="O46" s="720">
        <f t="shared" ca="1" si="5"/>
        <v>0</v>
      </c>
      <c r="P46" s="720">
        <f t="shared" si="5"/>
        <v>0</v>
      </c>
      <c r="Q46" s="720">
        <f t="shared" si="5"/>
        <v>0</v>
      </c>
      <c r="R46" s="720">
        <f ca="1">SUM(R39:R45)</f>
        <v>70262.869034073345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571.15197059641071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571.15197059641071</v>
      </c>
    </row>
    <row r="50" spans="1:18">
      <c r="A50" s="818" t="s">
        <v>307</v>
      </c>
      <c r="B50" s="828"/>
      <c r="C50" s="995">
        <f ca="1">transport!B18</f>
        <v>0.33618238511647791</v>
      </c>
      <c r="D50" s="995">
        <f>transport!C18</f>
        <v>0</v>
      </c>
      <c r="E50" s="995">
        <f>transport!D18</f>
        <v>1.6450493256998253</v>
      </c>
      <c r="F50" s="995">
        <f>transport!E18</f>
        <v>210.36263804831771</v>
      </c>
      <c r="G50" s="995">
        <f>transport!F18</f>
        <v>0</v>
      </c>
      <c r="H50" s="995">
        <f>transport!G18</f>
        <v>46511.467136302563</v>
      </c>
      <c r="I50" s="995">
        <f>transport!H18</f>
        <v>6939.6037349285298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53663.414740990229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0.33618238511647791</v>
      </c>
      <c r="D52" s="720">
        <f t="shared" ref="D52:Q52" ca="1" si="6">SUM(D48:D51)</f>
        <v>0</v>
      </c>
      <c r="E52" s="720">
        <f t="shared" si="6"/>
        <v>1.6450493256998253</v>
      </c>
      <c r="F52" s="720">
        <f t="shared" si="6"/>
        <v>210.36263804831771</v>
      </c>
      <c r="G52" s="720">
        <f t="shared" si="6"/>
        <v>0</v>
      </c>
      <c r="H52" s="720">
        <f t="shared" si="6"/>
        <v>47082.619106898972</v>
      </c>
      <c r="I52" s="720">
        <f t="shared" si="6"/>
        <v>6939.6037349285298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54234.566711586638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1207.2985946209549</v>
      </c>
      <c r="D54" s="995">
        <f ca="1">+landbouw!C12</f>
        <v>2539.0416613848715</v>
      </c>
      <c r="E54" s="995">
        <f>+landbouw!D12</f>
        <v>0</v>
      </c>
      <c r="F54" s="995">
        <f>+landbouw!E12</f>
        <v>14.339906544937847</v>
      </c>
      <c r="G54" s="995">
        <f>+landbouw!F12</f>
        <v>6894.6778195583993</v>
      </c>
      <c r="H54" s="995">
        <f>+landbouw!G12</f>
        <v>0</v>
      </c>
      <c r="I54" s="995">
        <f>+landbouw!H12</f>
        <v>0</v>
      </c>
      <c r="J54" s="995">
        <f>+landbouw!I12</f>
        <v>0</v>
      </c>
      <c r="K54" s="995">
        <f>+landbouw!J12</f>
        <v>190.71294009687921</v>
      </c>
      <c r="L54" s="995">
        <f>+landbouw!K12</f>
        <v>0</v>
      </c>
      <c r="M54" s="995">
        <f>+landbouw!L12</f>
        <v>0</v>
      </c>
      <c r="N54" s="995">
        <f>+landbouw!M12</f>
        <v>0</v>
      </c>
      <c r="O54" s="995">
        <f>+landbouw!N12</f>
        <v>0</v>
      </c>
      <c r="P54" s="995">
        <f>+landbouw!O12</f>
        <v>0</v>
      </c>
      <c r="Q54" s="996">
        <f>+landbouw!P12</f>
        <v>0</v>
      </c>
      <c r="R54" s="719">
        <f ca="1">SUM(C54:Q54)</f>
        <v>10846.070922206043</v>
      </c>
    </row>
    <row r="55" spans="1:18" ht="15" thickBot="1">
      <c r="A55" s="818" t="s">
        <v>925</v>
      </c>
      <c r="B55" s="828"/>
      <c r="C55" s="995">
        <f ca="1">C25*'EF ele_warmte'!B12</f>
        <v>666.90075162418088</v>
      </c>
      <c r="D55" s="995"/>
      <c r="E55" s="995">
        <f>E25*EF_CO2_aardgas</f>
        <v>927.06004487127211</v>
      </c>
      <c r="F55" s="995"/>
      <c r="G55" s="995"/>
      <c r="H55" s="995"/>
      <c r="I55" s="995"/>
      <c r="J55" s="995"/>
      <c r="K55" s="995"/>
      <c r="L55" s="995"/>
      <c r="M55" s="995"/>
      <c r="N55" s="995"/>
      <c r="O55" s="995"/>
      <c r="P55" s="995"/>
      <c r="Q55" s="996"/>
      <c r="R55" s="719">
        <f ca="1">SUM(C55:Q55)</f>
        <v>1593.960796495453</v>
      </c>
    </row>
    <row r="56" spans="1:18" ht="15.75" thickBot="1">
      <c r="A56" s="816" t="s">
        <v>926</v>
      </c>
      <c r="B56" s="829"/>
      <c r="C56" s="720">
        <f ca="1">SUM(C54:C55)</f>
        <v>1874.1993462451358</v>
      </c>
      <c r="D56" s="720">
        <f t="shared" ref="D56:Q56" ca="1" si="7">SUM(D54:D55)</f>
        <v>2539.0416613848715</v>
      </c>
      <c r="E56" s="720">
        <f t="shared" si="7"/>
        <v>927.06004487127211</v>
      </c>
      <c r="F56" s="720">
        <f t="shared" si="7"/>
        <v>14.339906544937847</v>
      </c>
      <c r="G56" s="720">
        <f t="shared" si="7"/>
        <v>6894.6778195583993</v>
      </c>
      <c r="H56" s="720">
        <f t="shared" si="7"/>
        <v>0</v>
      </c>
      <c r="I56" s="720">
        <f t="shared" si="7"/>
        <v>0</v>
      </c>
      <c r="J56" s="720">
        <f t="shared" si="7"/>
        <v>0</v>
      </c>
      <c r="K56" s="720">
        <f t="shared" si="7"/>
        <v>190.71294009687921</v>
      </c>
      <c r="L56" s="720">
        <f t="shared" si="7"/>
        <v>0</v>
      </c>
      <c r="M56" s="720">
        <f t="shared" si="7"/>
        <v>0</v>
      </c>
      <c r="N56" s="720">
        <f t="shared" si="7"/>
        <v>0</v>
      </c>
      <c r="O56" s="720">
        <f t="shared" si="7"/>
        <v>0</v>
      </c>
      <c r="P56" s="720">
        <f t="shared" si="7"/>
        <v>0</v>
      </c>
      <c r="Q56" s="721">
        <f t="shared" si="7"/>
        <v>0</v>
      </c>
      <c r="R56" s="722">
        <f ca="1">SUM(R54:R55)</f>
        <v>12440.031718701495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21715.677429800693</v>
      </c>
      <c r="D61" s="728">
        <f t="shared" ref="D61:Q61" ca="1" si="8">D46+D52+D56</f>
        <v>3278.510924369748</v>
      </c>
      <c r="E61" s="728">
        <f t="shared" ca="1" si="8"/>
        <v>33694.105901387586</v>
      </c>
      <c r="F61" s="728">
        <f t="shared" si="8"/>
        <v>2065.7385349420047</v>
      </c>
      <c r="G61" s="728">
        <f t="shared" ca="1" si="8"/>
        <v>20500.243343211307</v>
      </c>
      <c r="H61" s="728">
        <f t="shared" si="8"/>
        <v>47082.619106898972</v>
      </c>
      <c r="I61" s="728">
        <f t="shared" si="8"/>
        <v>6939.6037349285298</v>
      </c>
      <c r="J61" s="728">
        <f t="shared" si="8"/>
        <v>0</v>
      </c>
      <c r="K61" s="728">
        <f t="shared" si="8"/>
        <v>1660.9684888226384</v>
      </c>
      <c r="L61" s="728">
        <f t="shared" si="8"/>
        <v>0</v>
      </c>
      <c r="M61" s="728">
        <f t="shared" ca="1" si="8"/>
        <v>0</v>
      </c>
      <c r="N61" s="728">
        <f t="shared" si="8"/>
        <v>0</v>
      </c>
      <c r="O61" s="728">
        <f t="shared" ca="1" si="8"/>
        <v>0</v>
      </c>
      <c r="P61" s="728">
        <f t="shared" si="8"/>
        <v>0</v>
      </c>
      <c r="Q61" s="728">
        <f t="shared" si="8"/>
        <v>0</v>
      </c>
      <c r="R61" s="728">
        <f ca="1">R46+R52+R56</f>
        <v>136937.46746436149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0.20013951501645974</v>
      </c>
      <c r="D63" s="772">
        <f t="shared" ca="1" si="9"/>
        <v>0.18404568323179146</v>
      </c>
      <c r="E63" s="997">
        <f t="shared" ca="1" si="9"/>
        <v>0.20199999999999999</v>
      </c>
      <c r="F63" s="772">
        <f t="shared" si="9"/>
        <v>0.22700000000000006</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2973.3635864381308</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5183.2746809156833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2812.5</v>
      </c>
      <c r="C76" s="738">
        <f>'lokale energieproductie'!B8*IFERROR(SUM(D76:H76)/SUM(D76:O76),0)</f>
        <v>9656.9999999999982</v>
      </c>
      <c r="D76" s="1007">
        <f>'lokale energieproductie'!C8</f>
        <v>11361.176470588236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3308.8235294117653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2294.957647058824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10969.138267353814</v>
      </c>
      <c r="C78" s="743">
        <f>SUM(C72:C77)</f>
        <v>9656.9999999999982</v>
      </c>
      <c r="D78" s="744">
        <f t="shared" ref="D78:H78" si="10">SUM(D76:D77)</f>
        <v>11361.176470588236</v>
      </c>
      <c r="E78" s="744">
        <f t="shared" si="10"/>
        <v>0</v>
      </c>
      <c r="F78" s="744">
        <f t="shared" si="10"/>
        <v>0</v>
      </c>
      <c r="G78" s="744">
        <f t="shared" si="10"/>
        <v>0</v>
      </c>
      <c r="H78" s="744">
        <f t="shared" si="10"/>
        <v>0</v>
      </c>
      <c r="I78" s="744">
        <f>SUM(I76:I77)</f>
        <v>0</v>
      </c>
      <c r="J78" s="744">
        <f>SUM(J76:J77)</f>
        <v>3308.8235294117653</v>
      </c>
      <c r="K78" s="744">
        <f t="shared" ref="K78:L78" si="11">SUM(K76:K77)</f>
        <v>0</v>
      </c>
      <c r="L78" s="744">
        <f t="shared" si="11"/>
        <v>0</v>
      </c>
      <c r="M78" s="744">
        <f>SUM(M76:M77)</f>
        <v>0</v>
      </c>
      <c r="N78" s="744">
        <f>SUM(N76:N77)</f>
        <v>0</v>
      </c>
      <c r="O78" s="853">
        <f>SUM(O76:O77)</f>
        <v>0</v>
      </c>
      <c r="P78" s="745">
        <v>0</v>
      </c>
      <c r="Q78" s="745">
        <f>SUM(Q76:Q77)</f>
        <v>2294.957647058824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4017.8571428571427</v>
      </c>
      <c r="C87" s="754">
        <f>'lokale energieproductie'!B17*IFERROR(SUM(D87:H87)/SUM(D87:O87),0)</f>
        <v>13795.714285714283</v>
      </c>
      <c r="D87" s="765">
        <f>'lokale energieproductie'!C17</f>
        <v>16230.252100840336</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4726.8907563025214</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3278.510924369748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4017.8571428571427</v>
      </c>
      <c r="C90" s="743">
        <f>SUM(C87:C89)</f>
        <v>13795.714285714283</v>
      </c>
      <c r="D90" s="743">
        <f t="shared" ref="D90:H90" si="12">SUM(D87:D89)</f>
        <v>16230.252100840336</v>
      </c>
      <c r="E90" s="743">
        <f t="shared" si="12"/>
        <v>0</v>
      </c>
      <c r="F90" s="743">
        <f t="shared" si="12"/>
        <v>0</v>
      </c>
      <c r="G90" s="743">
        <f t="shared" si="12"/>
        <v>0</v>
      </c>
      <c r="H90" s="743">
        <f t="shared" si="12"/>
        <v>0</v>
      </c>
      <c r="I90" s="743">
        <f>SUM(I87:I89)</f>
        <v>0</v>
      </c>
      <c r="J90" s="743">
        <f>SUM(J87:J89)</f>
        <v>4726.8907563025214</v>
      </c>
      <c r="K90" s="743">
        <f t="shared" ref="K90:L90" si="13">SUM(K87:K89)</f>
        <v>0</v>
      </c>
      <c r="L90" s="743">
        <f t="shared" si="13"/>
        <v>0</v>
      </c>
      <c r="M90" s="743">
        <f>SUM(M87:M89)</f>
        <v>0</v>
      </c>
      <c r="N90" s="743">
        <f>SUM(N87:N89)</f>
        <v>0</v>
      </c>
      <c r="O90" s="743">
        <f>SUM(O87:O89)</f>
        <v>0</v>
      </c>
      <c r="P90" s="743">
        <v>0</v>
      </c>
      <c r="Q90" s="743">
        <f>SUM(Q87:Q89)</f>
        <v>3278.510924369748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45203.306242840023</v>
      </c>
      <c r="C4" s="460">
        <f>huishoudens!C8</f>
        <v>0</v>
      </c>
      <c r="D4" s="460">
        <f>huishoudens!D8</f>
        <v>69654.652066409704</v>
      </c>
      <c r="E4" s="460">
        <f>huishoudens!E8</f>
        <v>7441.6210788019507</v>
      </c>
      <c r="F4" s="460">
        <f>huishoudens!F8</f>
        <v>40781.566331747221</v>
      </c>
      <c r="G4" s="460">
        <f>huishoudens!G8</f>
        <v>0</v>
      </c>
      <c r="H4" s="460">
        <f>huishoudens!H8</f>
        <v>0</v>
      </c>
      <c r="I4" s="460">
        <f>huishoudens!I8</f>
        <v>0</v>
      </c>
      <c r="J4" s="460">
        <f>huishoudens!J8</f>
        <v>3886.9595524463716</v>
      </c>
      <c r="K4" s="460">
        <f>huishoudens!K8</f>
        <v>0</v>
      </c>
      <c r="L4" s="460">
        <f>huishoudens!L8</f>
        <v>0</v>
      </c>
      <c r="M4" s="460">
        <f>huishoudens!M8</f>
        <v>0</v>
      </c>
      <c r="N4" s="460">
        <f>huishoudens!N8</f>
        <v>21436.310309044406</v>
      </c>
      <c r="O4" s="460">
        <f>huishoudens!O8</f>
        <v>101.61666666666667</v>
      </c>
      <c r="P4" s="461">
        <f>huishoudens!P8</f>
        <v>171.6</v>
      </c>
      <c r="Q4" s="462">
        <f>SUM(B4:P4)</f>
        <v>188677.63224795635</v>
      </c>
    </row>
    <row r="5" spans="1:17">
      <c r="A5" s="459" t="s">
        <v>156</v>
      </c>
      <c r="B5" s="460">
        <f ca="1">tertiair!B16</f>
        <v>22468.975961017335</v>
      </c>
      <c r="C5" s="460">
        <f ca="1">tertiair!C16</f>
        <v>0</v>
      </c>
      <c r="D5" s="460">
        <f ca="1">tertiair!D16</f>
        <v>25215.612820628477</v>
      </c>
      <c r="E5" s="460">
        <f>tertiair!E16</f>
        <v>411.82864030686812</v>
      </c>
      <c r="F5" s="460">
        <f ca="1">tertiair!F16</f>
        <v>4291.0947880936637</v>
      </c>
      <c r="G5" s="460">
        <f>tertiair!G16</f>
        <v>0</v>
      </c>
      <c r="H5" s="460">
        <f>tertiair!H16</f>
        <v>0</v>
      </c>
      <c r="I5" s="460">
        <f>tertiair!I16</f>
        <v>0</v>
      </c>
      <c r="J5" s="460">
        <f>tertiair!J16</f>
        <v>0</v>
      </c>
      <c r="K5" s="460">
        <f>tertiair!K16</f>
        <v>0</v>
      </c>
      <c r="L5" s="460">
        <f ca="1">tertiair!L16</f>
        <v>0</v>
      </c>
      <c r="M5" s="460">
        <f>tertiair!M16</f>
        <v>0</v>
      </c>
      <c r="N5" s="460">
        <f ca="1">tertiair!N16</f>
        <v>853.37148438092754</v>
      </c>
      <c r="O5" s="460">
        <f>tertiair!O16</f>
        <v>1.5633333333333335</v>
      </c>
      <c r="P5" s="461">
        <f>tertiair!P16</f>
        <v>38.133333333333333</v>
      </c>
      <c r="Q5" s="459">
        <f t="shared" ref="Q5:Q14" ca="1" si="0">SUM(B5:P5)</f>
        <v>53280.58036109394</v>
      </c>
    </row>
    <row r="6" spans="1:17">
      <c r="A6" s="459" t="s">
        <v>194</v>
      </c>
      <c r="B6" s="460">
        <f>'openbare verlichting'!B8</f>
        <v>1919.8440000000001</v>
      </c>
      <c r="C6" s="460"/>
      <c r="D6" s="460"/>
      <c r="E6" s="460"/>
      <c r="F6" s="460"/>
      <c r="G6" s="460"/>
      <c r="H6" s="460"/>
      <c r="I6" s="460"/>
      <c r="J6" s="460"/>
      <c r="K6" s="460"/>
      <c r="L6" s="460"/>
      <c r="M6" s="460"/>
      <c r="N6" s="460"/>
      <c r="O6" s="460"/>
      <c r="P6" s="461"/>
      <c r="Q6" s="459">
        <f t="shared" si="0"/>
        <v>1919.8440000000001</v>
      </c>
    </row>
    <row r="7" spans="1:17">
      <c r="A7" s="459" t="s">
        <v>112</v>
      </c>
      <c r="B7" s="460">
        <f>landbouw!B8</f>
        <v>6032.2850013984735</v>
      </c>
      <c r="C7" s="460">
        <f>landbouw!C8</f>
        <v>13795.714285714286</v>
      </c>
      <c r="D7" s="460">
        <f>landbouw!D8</f>
        <v>0</v>
      </c>
      <c r="E7" s="460">
        <f>landbouw!E8</f>
        <v>63.171394471091837</v>
      </c>
      <c r="F7" s="460">
        <f>landbouw!F8</f>
        <v>25822.763369132579</v>
      </c>
      <c r="G7" s="460">
        <f>landbouw!G8</f>
        <v>0</v>
      </c>
      <c r="H7" s="460">
        <f>landbouw!H8</f>
        <v>0</v>
      </c>
      <c r="I7" s="460">
        <f>landbouw!I8</f>
        <v>0</v>
      </c>
      <c r="J7" s="460">
        <f>landbouw!J8</f>
        <v>538.73711891773792</v>
      </c>
      <c r="K7" s="460">
        <f>landbouw!K8</f>
        <v>0</v>
      </c>
      <c r="L7" s="460">
        <f>landbouw!L8</f>
        <v>0</v>
      </c>
      <c r="M7" s="460">
        <f>landbouw!M8</f>
        <v>0</v>
      </c>
      <c r="N7" s="460">
        <f>landbouw!N8</f>
        <v>0</v>
      </c>
      <c r="O7" s="460">
        <f>landbouw!O8</f>
        <v>0</v>
      </c>
      <c r="P7" s="461">
        <f>landbouw!P8</f>
        <v>0</v>
      </c>
      <c r="Q7" s="459">
        <f t="shared" si="0"/>
        <v>46252.671169634166</v>
      </c>
    </row>
    <row r="8" spans="1:17">
      <c r="A8" s="459" t="s">
        <v>655</v>
      </c>
      <c r="B8" s="460">
        <f>industrie!B18</f>
        <v>29544.428111959183</v>
      </c>
      <c r="C8" s="460">
        <f>industrie!C18</f>
        <v>4017.8571428571431</v>
      </c>
      <c r="D8" s="460">
        <f>industrie!D18</f>
        <v>67334.689604004467</v>
      </c>
      <c r="E8" s="460">
        <f>industrie!E18</f>
        <v>256.84098727333503</v>
      </c>
      <c r="F8" s="460">
        <f>industrie!F18</f>
        <v>5884.5131260501475</v>
      </c>
      <c r="G8" s="460">
        <f>industrie!G18</f>
        <v>0</v>
      </c>
      <c r="H8" s="460">
        <f>industrie!H18</f>
        <v>0</v>
      </c>
      <c r="I8" s="460">
        <f>industrie!I18</f>
        <v>0</v>
      </c>
      <c r="J8" s="460">
        <f>industrie!J18</f>
        <v>266.30470949080097</v>
      </c>
      <c r="K8" s="460">
        <f>industrie!K18</f>
        <v>0</v>
      </c>
      <c r="L8" s="460">
        <f>industrie!L18</f>
        <v>0</v>
      </c>
      <c r="M8" s="460">
        <f>industrie!M18</f>
        <v>0</v>
      </c>
      <c r="N8" s="460">
        <f>industrie!N18</f>
        <v>0</v>
      </c>
      <c r="O8" s="460">
        <f>industrie!O18</f>
        <v>0</v>
      </c>
      <c r="P8" s="461">
        <f>industrie!P18</f>
        <v>0</v>
      </c>
      <c r="Q8" s="459">
        <f t="shared" si="0"/>
        <v>107304.63368163507</v>
      </c>
    </row>
    <row r="9" spans="1:17" s="465" customFormat="1">
      <c r="A9" s="463" t="s">
        <v>573</v>
      </c>
      <c r="B9" s="464">
        <f>transport!B14</f>
        <v>1.6797401806876058</v>
      </c>
      <c r="C9" s="464">
        <f>transport!C14</f>
        <v>0</v>
      </c>
      <c r="D9" s="464">
        <f>transport!D14</f>
        <v>8.1438085430684417</v>
      </c>
      <c r="E9" s="464">
        <f>transport!E14</f>
        <v>926.70765660051848</v>
      </c>
      <c r="F9" s="464">
        <f>transport!F14</f>
        <v>0</v>
      </c>
      <c r="G9" s="464">
        <f>transport!G14</f>
        <v>174200.25144682606</v>
      </c>
      <c r="H9" s="464">
        <f>transport!H14</f>
        <v>27869.894517785262</v>
      </c>
      <c r="I9" s="464">
        <f>transport!I14</f>
        <v>0</v>
      </c>
      <c r="J9" s="464">
        <f>transport!J14</f>
        <v>0</v>
      </c>
      <c r="K9" s="464">
        <f>transport!K14</f>
        <v>0</v>
      </c>
      <c r="L9" s="464">
        <f>transport!L14</f>
        <v>0</v>
      </c>
      <c r="M9" s="464">
        <f>transport!M14</f>
        <v>8811.7697136910538</v>
      </c>
      <c r="N9" s="464">
        <f>transport!N14</f>
        <v>0</v>
      </c>
      <c r="O9" s="464">
        <f>transport!O14</f>
        <v>0</v>
      </c>
      <c r="P9" s="464">
        <f>transport!P14</f>
        <v>0</v>
      </c>
      <c r="Q9" s="463">
        <f>SUM(B9:P9)</f>
        <v>211818.44688362666</v>
      </c>
    </row>
    <row r="10" spans="1:17">
      <c r="A10" s="459" t="s">
        <v>563</v>
      </c>
      <c r="B10" s="460">
        <f>transport!B54</f>
        <v>0</v>
      </c>
      <c r="C10" s="460">
        <f>transport!C54</f>
        <v>0</v>
      </c>
      <c r="D10" s="460">
        <f>transport!D54</f>
        <v>0</v>
      </c>
      <c r="E10" s="460">
        <f>transport!E54</f>
        <v>0</v>
      </c>
      <c r="F10" s="460">
        <f>transport!F54</f>
        <v>0</v>
      </c>
      <c r="G10" s="460">
        <f>transport!G54</f>
        <v>2139.1459572899275</v>
      </c>
      <c r="H10" s="460">
        <f>transport!H54</f>
        <v>0</v>
      </c>
      <c r="I10" s="460">
        <f>transport!I54</f>
        <v>0</v>
      </c>
      <c r="J10" s="460">
        <f>transport!J54</f>
        <v>0</v>
      </c>
      <c r="K10" s="460">
        <f>transport!K54</f>
        <v>0</v>
      </c>
      <c r="L10" s="460">
        <f>transport!L54</f>
        <v>0</v>
      </c>
      <c r="M10" s="460">
        <f>transport!M54</f>
        <v>91.18249868978522</v>
      </c>
      <c r="N10" s="460">
        <f>transport!N54</f>
        <v>0</v>
      </c>
      <c r="O10" s="460">
        <f>transport!O54</f>
        <v>0</v>
      </c>
      <c r="P10" s="461">
        <f>transport!P54</f>
        <v>0</v>
      </c>
      <c r="Q10" s="459">
        <f t="shared" si="0"/>
        <v>2230.3284559797125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3332.1793128625</v>
      </c>
      <c r="C14" s="467"/>
      <c r="D14" s="467">
        <f>'SEAP template'!E25</f>
        <v>4589.4061627290694</v>
      </c>
      <c r="E14" s="467"/>
      <c r="F14" s="467"/>
      <c r="G14" s="467"/>
      <c r="H14" s="467"/>
      <c r="I14" s="467"/>
      <c r="J14" s="467"/>
      <c r="K14" s="467"/>
      <c r="L14" s="467"/>
      <c r="M14" s="467"/>
      <c r="N14" s="467"/>
      <c r="O14" s="467"/>
      <c r="P14" s="468"/>
      <c r="Q14" s="459">
        <f t="shared" si="0"/>
        <v>7921.5854755915698</v>
      </c>
    </row>
    <row r="15" spans="1:17" s="472" customFormat="1">
      <c r="A15" s="469" t="s">
        <v>567</v>
      </c>
      <c r="B15" s="470">
        <f ca="1">SUM(B4:B14)</f>
        <v>108502.69837025818</v>
      </c>
      <c r="C15" s="470">
        <f t="shared" ref="C15:Q15" ca="1" si="1">SUM(C4:C14)</f>
        <v>17813.571428571428</v>
      </c>
      <c r="D15" s="470">
        <f t="shared" ca="1" si="1"/>
        <v>166802.5044623148</v>
      </c>
      <c r="E15" s="470">
        <f t="shared" si="1"/>
        <v>9100.1697574537629</v>
      </c>
      <c r="F15" s="470">
        <f t="shared" ca="1" si="1"/>
        <v>76779.93761502362</v>
      </c>
      <c r="G15" s="470">
        <f t="shared" si="1"/>
        <v>176339.397404116</v>
      </c>
      <c r="H15" s="470">
        <f t="shared" si="1"/>
        <v>27869.894517785262</v>
      </c>
      <c r="I15" s="470">
        <f t="shared" si="1"/>
        <v>0</v>
      </c>
      <c r="J15" s="470">
        <f t="shared" si="1"/>
        <v>4692.0013808549102</v>
      </c>
      <c r="K15" s="470">
        <f t="shared" si="1"/>
        <v>0</v>
      </c>
      <c r="L15" s="470">
        <f t="shared" ca="1" si="1"/>
        <v>0</v>
      </c>
      <c r="M15" s="470">
        <f t="shared" si="1"/>
        <v>8902.9522123808383</v>
      </c>
      <c r="N15" s="470">
        <f t="shared" ca="1" si="1"/>
        <v>22289.681793425334</v>
      </c>
      <c r="O15" s="470">
        <f t="shared" si="1"/>
        <v>103.18</v>
      </c>
      <c r="P15" s="470">
        <f t="shared" si="1"/>
        <v>209.73333333333332</v>
      </c>
      <c r="Q15" s="470">
        <f t="shared" ca="1" si="1"/>
        <v>619405.72227551753</v>
      </c>
    </row>
    <row r="17" spans="1:17">
      <c r="A17" s="473" t="s">
        <v>568</v>
      </c>
      <c r="B17" s="777">
        <f ca="1">huishoudens!B10</f>
        <v>0.20013951501645977</v>
      </c>
      <c r="C17" s="777">
        <f ca="1">huishoudens!C10</f>
        <v>0.18404568323179146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9046.9677885825095</v>
      </c>
      <c r="C22" s="460">
        <f t="shared" ref="C22:C32" ca="1" si="3">C4*$C$17</f>
        <v>0</v>
      </c>
      <c r="D22" s="460">
        <f t="shared" ref="D22:D32" si="4">D4*$D$17</f>
        <v>14070.239717414761</v>
      </c>
      <c r="E22" s="460">
        <f t="shared" ref="E22:E32" si="5">E4*$E$17</f>
        <v>1689.2479848880428</v>
      </c>
      <c r="F22" s="460">
        <f t="shared" ref="F22:F32" si="6">F4*$F$17</f>
        <v>10888.678210576509</v>
      </c>
      <c r="G22" s="460">
        <f t="shared" ref="G22:G32" si="7">G4*$G$17</f>
        <v>0</v>
      </c>
      <c r="H22" s="460">
        <f t="shared" ref="H22:H32" si="8">H4*$H$17</f>
        <v>0</v>
      </c>
      <c r="I22" s="460">
        <f t="shared" ref="I22:I32" si="9">I4*$I$17</f>
        <v>0</v>
      </c>
      <c r="J22" s="460">
        <f t="shared" ref="J22:J32" si="10">J4*$J$17</f>
        <v>1375.9836815660155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37071.117383027835</v>
      </c>
    </row>
    <row r="23" spans="1:17">
      <c r="A23" s="459" t="s">
        <v>156</v>
      </c>
      <c r="B23" s="460">
        <f t="shared" ca="1" si="2"/>
        <v>4496.9299517545023</v>
      </c>
      <c r="C23" s="460">
        <f t="shared" ca="1" si="3"/>
        <v>0</v>
      </c>
      <c r="D23" s="460">
        <f t="shared" ca="1" si="4"/>
        <v>5093.5537897669528</v>
      </c>
      <c r="E23" s="460">
        <f t="shared" si="5"/>
        <v>93.485101349659061</v>
      </c>
      <c r="F23" s="460">
        <f t="shared" ca="1" si="6"/>
        <v>1145.7223084210084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10829.691151292123</v>
      </c>
    </row>
    <row r="24" spans="1:17">
      <c r="A24" s="459" t="s">
        <v>194</v>
      </c>
      <c r="B24" s="460">
        <f t="shared" ca="1" si="2"/>
        <v>384.23664706726021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384.23664706726021</v>
      </c>
    </row>
    <row r="25" spans="1:17">
      <c r="A25" s="459" t="s">
        <v>112</v>
      </c>
      <c r="B25" s="460">
        <f t="shared" ca="1" si="2"/>
        <v>1207.2985946209549</v>
      </c>
      <c r="C25" s="460">
        <f t="shared" ca="1" si="3"/>
        <v>2539.0416613848715</v>
      </c>
      <c r="D25" s="460">
        <f t="shared" si="4"/>
        <v>0</v>
      </c>
      <c r="E25" s="460">
        <f t="shared" si="5"/>
        <v>14.339906544937847</v>
      </c>
      <c r="F25" s="460">
        <f t="shared" si="6"/>
        <v>6894.6778195583993</v>
      </c>
      <c r="G25" s="460">
        <f t="shared" si="7"/>
        <v>0</v>
      </c>
      <c r="H25" s="460">
        <f t="shared" si="8"/>
        <v>0</v>
      </c>
      <c r="I25" s="460">
        <f t="shared" si="9"/>
        <v>0</v>
      </c>
      <c r="J25" s="460">
        <f t="shared" si="10"/>
        <v>190.71294009687921</v>
      </c>
      <c r="K25" s="460">
        <f t="shared" si="11"/>
        <v>0</v>
      </c>
      <c r="L25" s="460">
        <f t="shared" si="12"/>
        <v>0</v>
      </c>
      <c r="M25" s="460">
        <f t="shared" si="13"/>
        <v>0</v>
      </c>
      <c r="N25" s="460">
        <f t="shared" si="14"/>
        <v>0</v>
      </c>
      <c r="O25" s="460">
        <f t="shared" si="15"/>
        <v>0</v>
      </c>
      <c r="P25" s="461">
        <f t="shared" si="16"/>
        <v>0</v>
      </c>
      <c r="Q25" s="459">
        <f t="shared" ca="1" si="17"/>
        <v>10846.070922206043</v>
      </c>
    </row>
    <row r="26" spans="1:17">
      <c r="A26" s="459" t="s">
        <v>655</v>
      </c>
      <c r="B26" s="460">
        <f t="shared" ca="1" si="2"/>
        <v>5913.0075137661706</v>
      </c>
      <c r="C26" s="460">
        <f t="shared" ca="1" si="3"/>
        <v>739.46926298487642</v>
      </c>
      <c r="D26" s="460">
        <f t="shared" si="4"/>
        <v>13601.607300008904</v>
      </c>
      <c r="E26" s="460">
        <f t="shared" si="5"/>
        <v>58.302904111047056</v>
      </c>
      <c r="F26" s="460">
        <f t="shared" si="6"/>
        <v>1571.1650046553896</v>
      </c>
      <c r="G26" s="460">
        <f t="shared" si="7"/>
        <v>0</v>
      </c>
      <c r="H26" s="460">
        <f t="shared" si="8"/>
        <v>0</v>
      </c>
      <c r="I26" s="460">
        <f t="shared" si="9"/>
        <v>0</v>
      </c>
      <c r="J26" s="460">
        <f t="shared" si="10"/>
        <v>94.271867159743536</v>
      </c>
      <c r="K26" s="460">
        <f t="shared" si="11"/>
        <v>0</v>
      </c>
      <c r="L26" s="460">
        <f t="shared" si="12"/>
        <v>0</v>
      </c>
      <c r="M26" s="460">
        <f t="shared" si="13"/>
        <v>0</v>
      </c>
      <c r="N26" s="460">
        <f t="shared" si="14"/>
        <v>0</v>
      </c>
      <c r="O26" s="460">
        <f t="shared" si="15"/>
        <v>0</v>
      </c>
      <c r="P26" s="461">
        <f t="shared" si="16"/>
        <v>0</v>
      </c>
      <c r="Q26" s="459">
        <f t="shared" ca="1" si="17"/>
        <v>21977.823852686128</v>
      </c>
    </row>
    <row r="27" spans="1:17" s="465" customFormat="1">
      <c r="A27" s="463" t="s">
        <v>573</v>
      </c>
      <c r="B27" s="771">
        <f t="shared" ca="1" si="2"/>
        <v>0.33618238511647791</v>
      </c>
      <c r="C27" s="464">
        <f t="shared" ca="1" si="3"/>
        <v>0</v>
      </c>
      <c r="D27" s="464">
        <f t="shared" si="4"/>
        <v>1.6450493256998253</v>
      </c>
      <c r="E27" s="464">
        <f t="shared" si="5"/>
        <v>210.36263804831771</v>
      </c>
      <c r="F27" s="464">
        <f t="shared" si="6"/>
        <v>0</v>
      </c>
      <c r="G27" s="464">
        <f t="shared" si="7"/>
        <v>46511.467136302563</v>
      </c>
      <c r="H27" s="464">
        <f t="shared" si="8"/>
        <v>6939.6037349285298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53663.414740990229</v>
      </c>
    </row>
    <row r="28" spans="1:17">
      <c r="A28" s="459" t="s">
        <v>563</v>
      </c>
      <c r="B28" s="460">
        <f t="shared" ca="1" si="2"/>
        <v>0</v>
      </c>
      <c r="C28" s="460">
        <f t="shared" ca="1" si="3"/>
        <v>0</v>
      </c>
      <c r="D28" s="460">
        <f t="shared" si="4"/>
        <v>0</v>
      </c>
      <c r="E28" s="460">
        <f t="shared" si="5"/>
        <v>0</v>
      </c>
      <c r="F28" s="460">
        <f t="shared" si="6"/>
        <v>0</v>
      </c>
      <c r="G28" s="460">
        <f t="shared" si="7"/>
        <v>571.15197059641071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571.15197059641071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666.90075162418088</v>
      </c>
      <c r="C32" s="460">
        <f t="shared" ca="1" si="3"/>
        <v>0</v>
      </c>
      <c r="D32" s="460">
        <f t="shared" si="4"/>
        <v>927.06004487127211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1593.960796495453</v>
      </c>
    </row>
    <row r="33" spans="1:17" s="472" customFormat="1">
      <c r="A33" s="469" t="s">
        <v>567</v>
      </c>
      <c r="B33" s="470">
        <f ca="1">SUM(B22:B32)</f>
        <v>21715.677429800693</v>
      </c>
      <c r="C33" s="470">
        <f t="shared" ref="C33:Q33" ca="1" si="19">SUM(C22:C32)</f>
        <v>3278.510924369748</v>
      </c>
      <c r="D33" s="470">
        <f t="shared" ca="1" si="19"/>
        <v>33694.105901387586</v>
      </c>
      <c r="E33" s="470">
        <f t="shared" si="19"/>
        <v>2065.7385349420047</v>
      </c>
      <c r="F33" s="470">
        <f t="shared" ca="1" si="19"/>
        <v>20500.24334321131</v>
      </c>
      <c r="G33" s="470">
        <f t="shared" si="19"/>
        <v>47082.619106898972</v>
      </c>
      <c r="H33" s="470">
        <f t="shared" si="19"/>
        <v>6939.6037349285298</v>
      </c>
      <c r="I33" s="470">
        <f t="shared" si="19"/>
        <v>0</v>
      </c>
      <c r="J33" s="470">
        <f t="shared" si="19"/>
        <v>1660.9684888226384</v>
      </c>
      <c r="K33" s="470">
        <f t="shared" si="19"/>
        <v>0</v>
      </c>
      <c r="L33" s="470">
        <f t="shared" ca="1" si="19"/>
        <v>0</v>
      </c>
      <c r="M33" s="470">
        <f t="shared" si="19"/>
        <v>0</v>
      </c>
      <c r="N33" s="470">
        <f t="shared" ca="1" si="19"/>
        <v>0</v>
      </c>
      <c r="O33" s="470">
        <f t="shared" si="19"/>
        <v>0</v>
      </c>
      <c r="P33" s="470">
        <f t="shared" si="19"/>
        <v>0</v>
      </c>
      <c r="Q33" s="470">
        <f t="shared" ca="1" si="19"/>
        <v>136937.46746436149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2973.3635864381308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5183.2746809156833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2812.5</v>
      </c>
      <c r="C8" s="1028">
        <f>'SEAP template'!C76</f>
        <v>9656.9999999999982</v>
      </c>
      <c r="D8" s="1028">
        <f>'SEAP template'!D76</f>
        <v>11361.176470588236</v>
      </c>
      <c r="E8" s="1028">
        <f>'SEAP template'!E76</f>
        <v>0</v>
      </c>
      <c r="F8" s="1028">
        <f>'SEAP template'!F76</f>
        <v>0</v>
      </c>
      <c r="G8" s="1028">
        <f>'SEAP template'!G76</f>
        <v>0</v>
      </c>
      <c r="H8" s="1028">
        <f>'SEAP template'!H76</f>
        <v>0</v>
      </c>
      <c r="I8" s="1028">
        <f>'SEAP template'!I76</f>
        <v>0</v>
      </c>
      <c r="J8" s="1028">
        <f>'SEAP template'!J76</f>
        <v>3308.8235294117653</v>
      </c>
      <c r="K8" s="1028">
        <f>'SEAP template'!K76</f>
        <v>0</v>
      </c>
      <c r="L8" s="1028">
        <f>'SEAP template'!L76</f>
        <v>0</v>
      </c>
      <c r="M8" s="1028">
        <f>'SEAP template'!M76</f>
        <v>0</v>
      </c>
      <c r="N8" s="1028">
        <f>'SEAP template'!N76</f>
        <v>0</v>
      </c>
      <c r="O8" s="1028">
        <f>'SEAP template'!O76</f>
        <v>0</v>
      </c>
      <c r="P8" s="1029">
        <f>'SEAP template'!Q76</f>
        <v>2294.957647058824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10969.138267353814</v>
      </c>
      <c r="C10" s="1032">
        <f>SUM(C4:C9)</f>
        <v>9656.9999999999982</v>
      </c>
      <c r="D10" s="1032">
        <f t="shared" ref="D10:H10" si="0">SUM(D8:D9)</f>
        <v>11361.176470588236</v>
      </c>
      <c r="E10" s="1032">
        <f t="shared" si="0"/>
        <v>0</v>
      </c>
      <c r="F10" s="1032">
        <f t="shared" si="0"/>
        <v>0</v>
      </c>
      <c r="G10" s="1032">
        <f t="shared" si="0"/>
        <v>0</v>
      </c>
      <c r="H10" s="1032">
        <f t="shared" si="0"/>
        <v>0</v>
      </c>
      <c r="I10" s="1032">
        <f>SUM(I8:I9)</f>
        <v>0</v>
      </c>
      <c r="J10" s="1032">
        <f>SUM(J8:J9)</f>
        <v>3308.8235294117653</v>
      </c>
      <c r="K10" s="1032">
        <f t="shared" ref="K10:L10" si="1">SUM(K8:K9)</f>
        <v>0</v>
      </c>
      <c r="L10" s="1032">
        <f t="shared" si="1"/>
        <v>0</v>
      </c>
      <c r="M10" s="1032">
        <f>SUM(M8:M9)</f>
        <v>0</v>
      </c>
      <c r="N10" s="1032">
        <f>SUM(N8:N9)</f>
        <v>0</v>
      </c>
      <c r="O10" s="1032">
        <f>SUM(O8:O9)</f>
        <v>0</v>
      </c>
      <c r="P10" s="1032">
        <f>SUM(P8:P9)</f>
        <v>2294.957647058824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0.20013951501645977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4017.8571428571427</v>
      </c>
      <c r="C17" s="1035">
        <f>'SEAP template'!C87</f>
        <v>13795.714285714283</v>
      </c>
      <c r="D17" s="1029">
        <f>'SEAP template'!D87</f>
        <v>16230.252100840336</v>
      </c>
      <c r="E17" s="1029">
        <f>'SEAP template'!E87</f>
        <v>0</v>
      </c>
      <c r="F17" s="1029">
        <f>'SEAP template'!F87</f>
        <v>0</v>
      </c>
      <c r="G17" s="1029">
        <f>'SEAP template'!G87</f>
        <v>0</v>
      </c>
      <c r="H17" s="1029">
        <f>'SEAP template'!H87</f>
        <v>0</v>
      </c>
      <c r="I17" s="1029">
        <f>'SEAP template'!I87</f>
        <v>0</v>
      </c>
      <c r="J17" s="1029">
        <f>'SEAP template'!J87</f>
        <v>4726.8907563025214</v>
      </c>
      <c r="K17" s="1029">
        <f>'SEAP template'!K87</f>
        <v>0</v>
      </c>
      <c r="L17" s="1029">
        <f>'SEAP template'!L87</f>
        <v>0</v>
      </c>
      <c r="M17" s="1029">
        <f>'SEAP template'!M87</f>
        <v>0</v>
      </c>
      <c r="N17" s="1029">
        <f>'SEAP template'!N87</f>
        <v>0</v>
      </c>
      <c r="O17" s="1029">
        <f>'SEAP template'!O87</f>
        <v>0</v>
      </c>
      <c r="P17" s="1029">
        <f>'SEAP template'!Q87</f>
        <v>3278.510924369748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4017.8571428571427</v>
      </c>
      <c r="C20" s="1032">
        <f>SUM(C17:C19)</f>
        <v>13795.714285714283</v>
      </c>
      <c r="D20" s="1032">
        <f t="shared" ref="D20:H20" si="2">SUM(D17:D19)</f>
        <v>16230.252100840336</v>
      </c>
      <c r="E20" s="1032">
        <f t="shared" si="2"/>
        <v>0</v>
      </c>
      <c r="F20" s="1032">
        <f t="shared" si="2"/>
        <v>0</v>
      </c>
      <c r="G20" s="1032">
        <f t="shared" si="2"/>
        <v>0</v>
      </c>
      <c r="H20" s="1032">
        <f t="shared" si="2"/>
        <v>0</v>
      </c>
      <c r="I20" s="1032">
        <f>SUM(I17:I19)</f>
        <v>0</v>
      </c>
      <c r="J20" s="1032">
        <f>SUM(J17:J19)</f>
        <v>4726.8907563025214</v>
      </c>
      <c r="K20" s="1032">
        <f t="shared" ref="K20:L20" si="3">SUM(K17:K19)</f>
        <v>0</v>
      </c>
      <c r="L20" s="1032">
        <f t="shared" si="3"/>
        <v>0</v>
      </c>
      <c r="M20" s="1032">
        <f>SUM(M17:M19)</f>
        <v>0</v>
      </c>
      <c r="N20" s="1032">
        <f>SUM(N17:N19)</f>
        <v>0</v>
      </c>
      <c r="O20" s="1032">
        <f>SUM(O17:O19)</f>
        <v>0</v>
      </c>
      <c r="P20" s="1032">
        <f>SUM(P17:P19)</f>
        <v>3278.510924369748</v>
      </c>
    </row>
    <row r="22" spans="1:16">
      <c r="A22" s="473" t="s">
        <v>946</v>
      </c>
      <c r="B22" s="777" t="s">
        <v>940</v>
      </c>
      <c r="C22" s="777">
        <f ca="1">'EF ele_warmte'!B22</f>
        <v>0.18404568323179146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0.20013951501645977</v>
      </c>
      <c r="C17" s="509">
        <f ca="1">'EF ele_warmte'!B22</f>
        <v>0.18404568323179146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0.20013951501645977</v>
      </c>
      <c r="C17" s="509">
        <f ca="1">'EF ele_warmte'!B22</f>
        <v>0.18404568323179146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0.20013951501645977</v>
      </c>
      <c r="C29" s="510">
        <f ca="1">'EF ele_warmte'!B22</f>
        <v>0.18404568323179146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8810</v>
      </c>
      <c r="C9" s="336">
        <v>9296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3565</v>
      </c>
    </row>
    <row r="15" spans="1:6">
      <c r="A15" s="1277" t="s">
        <v>184</v>
      </c>
      <c r="B15" s="333">
        <v>850</v>
      </c>
    </row>
    <row r="16" spans="1:6">
      <c r="A16" s="1277" t="s">
        <v>6</v>
      </c>
      <c r="B16" s="333">
        <v>1346</v>
      </c>
    </row>
    <row r="17" spans="1:6">
      <c r="A17" s="1277" t="s">
        <v>7</v>
      </c>
      <c r="B17" s="333">
        <v>1906</v>
      </c>
    </row>
    <row r="18" spans="1:6">
      <c r="A18" s="1277" t="s">
        <v>8</v>
      </c>
      <c r="B18" s="333">
        <v>2337</v>
      </c>
    </row>
    <row r="19" spans="1:6">
      <c r="A19" s="1277" t="s">
        <v>9</v>
      </c>
      <c r="B19" s="333">
        <v>2155</v>
      </c>
    </row>
    <row r="20" spans="1:6">
      <c r="A20" s="1277" t="s">
        <v>10</v>
      </c>
      <c r="B20" s="333">
        <v>1714</v>
      </c>
    </row>
    <row r="21" spans="1:6">
      <c r="A21" s="1277" t="s">
        <v>11</v>
      </c>
      <c r="B21" s="333">
        <v>13398</v>
      </c>
    </row>
    <row r="22" spans="1:6">
      <c r="A22" s="1277" t="s">
        <v>12</v>
      </c>
      <c r="B22" s="333">
        <v>49872</v>
      </c>
    </row>
    <row r="23" spans="1:6">
      <c r="A23" s="1277" t="s">
        <v>13</v>
      </c>
      <c r="B23" s="333">
        <v>817</v>
      </c>
    </row>
    <row r="24" spans="1:6">
      <c r="A24" s="1277" t="s">
        <v>14</v>
      </c>
      <c r="B24" s="333">
        <v>36</v>
      </c>
    </row>
    <row r="25" spans="1:6">
      <c r="A25" s="1277" t="s">
        <v>15</v>
      </c>
      <c r="B25" s="333">
        <v>3771</v>
      </c>
    </row>
    <row r="26" spans="1:6">
      <c r="A26" s="1277" t="s">
        <v>16</v>
      </c>
      <c r="B26" s="333">
        <v>365</v>
      </c>
    </row>
    <row r="27" spans="1:6">
      <c r="A27" s="1277" t="s">
        <v>17</v>
      </c>
      <c r="B27" s="333">
        <v>4</v>
      </c>
    </row>
    <row r="28" spans="1:6">
      <c r="A28" s="1277" t="s">
        <v>18</v>
      </c>
      <c r="B28" s="333">
        <v>160762</v>
      </c>
    </row>
    <row r="29" spans="1:6">
      <c r="A29" s="1277" t="s">
        <v>959</v>
      </c>
      <c r="B29" s="333">
        <v>192</v>
      </c>
    </row>
    <row r="30" spans="1:6">
      <c r="A30" s="1273" t="s">
        <v>960</v>
      </c>
      <c r="B30" s="1273">
        <v>67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38417.662782101499</v>
      </c>
    </row>
    <row r="39" spans="1:6">
      <c r="A39" s="1277" t="s">
        <v>30</v>
      </c>
      <c r="B39" s="1277" t="s">
        <v>31</v>
      </c>
      <c r="C39" s="333">
        <v>4641</v>
      </c>
      <c r="D39" s="333">
        <v>77222452.401784599</v>
      </c>
      <c r="E39" s="333">
        <v>8057</v>
      </c>
      <c r="F39" s="333">
        <v>42451528.208978601</v>
      </c>
    </row>
    <row r="40" spans="1:6">
      <c r="A40" s="1277" t="s">
        <v>30</v>
      </c>
      <c r="B40" s="1277" t="s">
        <v>29</v>
      </c>
      <c r="C40" s="333">
        <v>0</v>
      </c>
      <c r="D40" s="333">
        <v>0</v>
      </c>
      <c r="E40" s="333">
        <v>0</v>
      </c>
      <c r="F40" s="333">
        <v>0</v>
      </c>
    </row>
    <row r="41" spans="1:6">
      <c r="A41" s="1277" t="s">
        <v>32</v>
      </c>
      <c r="B41" s="1277" t="s">
        <v>33</v>
      </c>
      <c r="C41" s="333">
        <v>68</v>
      </c>
      <c r="D41" s="333">
        <v>1740988.7087405699</v>
      </c>
      <c r="E41" s="333">
        <v>223</v>
      </c>
      <c r="F41" s="333">
        <v>2458275.2734711999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15</v>
      </c>
      <c r="D44" s="333">
        <v>59627000.651511297</v>
      </c>
      <c r="E44" s="333">
        <v>59</v>
      </c>
      <c r="F44" s="333">
        <v>8364763.1448025098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279783.85933836602</v>
      </c>
      <c r="E47" s="333">
        <v>12</v>
      </c>
      <c r="F47" s="333">
        <v>597745.60892884398</v>
      </c>
    </row>
    <row r="48" spans="1:6">
      <c r="A48" s="1277" t="s">
        <v>32</v>
      </c>
      <c r="B48" s="1277" t="s">
        <v>29</v>
      </c>
      <c r="C48" s="333">
        <v>47</v>
      </c>
      <c r="D48" s="333">
        <v>11516299.1674153</v>
      </c>
      <c r="E48" s="333">
        <v>62</v>
      </c>
      <c r="F48" s="333">
        <v>11677191.0274958</v>
      </c>
    </row>
    <row r="49" spans="1:6">
      <c r="A49" s="1277" t="s">
        <v>32</v>
      </c>
      <c r="B49" s="1277" t="s">
        <v>40</v>
      </c>
      <c r="C49" s="333">
        <v>0</v>
      </c>
      <c r="D49" s="333">
        <v>0</v>
      </c>
      <c r="E49" s="333">
        <v>3</v>
      </c>
      <c r="F49" s="333">
        <v>22759.7674983705</v>
      </c>
    </row>
    <row r="50" spans="1:6">
      <c r="A50" s="1277" t="s">
        <v>32</v>
      </c>
      <c r="B50" s="1277" t="s">
        <v>41</v>
      </c>
      <c r="C50" s="333">
        <v>14</v>
      </c>
      <c r="D50" s="333">
        <v>1486359.54648057</v>
      </c>
      <c r="E50" s="333">
        <v>28</v>
      </c>
      <c r="F50" s="333">
        <v>3611193.2897624602</v>
      </c>
    </row>
    <row r="51" spans="1:6">
      <c r="A51" s="1277" t="s">
        <v>42</v>
      </c>
      <c r="B51" s="1277" t="s">
        <v>43</v>
      </c>
      <c r="C51" s="333">
        <v>7</v>
      </c>
      <c r="D51" s="333">
        <v>21806506.150742099</v>
      </c>
      <c r="E51" s="333">
        <v>158</v>
      </c>
      <c r="F51" s="333">
        <v>5852990.9894020502</v>
      </c>
    </row>
    <row r="52" spans="1:6">
      <c r="A52" s="1277" t="s">
        <v>42</v>
      </c>
      <c r="B52" s="1277" t="s">
        <v>29</v>
      </c>
      <c r="C52" s="333">
        <v>5</v>
      </c>
      <c r="D52" s="333">
        <v>364495.68801548099</v>
      </c>
      <c r="E52" s="333">
        <v>9</v>
      </c>
      <c r="F52" s="333">
        <v>179294.01199642301</v>
      </c>
    </row>
    <row r="53" spans="1:6">
      <c r="A53" s="1277" t="s">
        <v>44</v>
      </c>
      <c r="B53" s="1277" t="s">
        <v>45</v>
      </c>
      <c r="C53" s="333">
        <v>258</v>
      </c>
      <c r="D53" s="333">
        <v>4589406.1627290696</v>
      </c>
      <c r="E53" s="333">
        <v>485</v>
      </c>
      <c r="F53" s="333">
        <v>3332179.3128625001</v>
      </c>
    </row>
    <row r="54" spans="1:6">
      <c r="A54" s="1277" t="s">
        <v>46</v>
      </c>
      <c r="B54" s="1277" t="s">
        <v>47</v>
      </c>
      <c r="C54" s="333">
        <v>0</v>
      </c>
      <c r="D54" s="333">
        <v>0</v>
      </c>
      <c r="E54" s="333">
        <v>2</v>
      </c>
      <c r="F54" s="333">
        <v>1919844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44</v>
      </c>
      <c r="D57" s="333">
        <v>2455256.5149969799</v>
      </c>
      <c r="E57" s="333">
        <v>142</v>
      </c>
      <c r="F57" s="333">
        <v>2869325.7927095299</v>
      </c>
    </row>
    <row r="58" spans="1:6">
      <c r="A58" s="1277" t="s">
        <v>49</v>
      </c>
      <c r="B58" s="1277" t="s">
        <v>51</v>
      </c>
      <c r="C58" s="333">
        <v>14</v>
      </c>
      <c r="D58" s="333">
        <v>579188.24241167505</v>
      </c>
      <c r="E58" s="333">
        <v>23</v>
      </c>
      <c r="F58" s="333">
        <v>264094.73260076001</v>
      </c>
    </row>
    <row r="59" spans="1:6">
      <c r="A59" s="1277" t="s">
        <v>49</v>
      </c>
      <c r="B59" s="1277" t="s">
        <v>52</v>
      </c>
      <c r="C59" s="333">
        <v>73</v>
      </c>
      <c r="D59" s="333">
        <v>3210982.5190967601</v>
      </c>
      <c r="E59" s="333">
        <v>239</v>
      </c>
      <c r="F59" s="333">
        <v>7745803.0368771804</v>
      </c>
    </row>
    <row r="60" spans="1:6">
      <c r="A60" s="1277" t="s">
        <v>49</v>
      </c>
      <c r="B60" s="1277" t="s">
        <v>53</v>
      </c>
      <c r="C60" s="333">
        <v>62</v>
      </c>
      <c r="D60" s="333">
        <v>2875405.5438672099</v>
      </c>
      <c r="E60" s="333">
        <v>76</v>
      </c>
      <c r="F60" s="333">
        <v>1666903.1128108001</v>
      </c>
    </row>
    <row r="61" spans="1:6">
      <c r="A61" s="1277" t="s">
        <v>49</v>
      </c>
      <c r="B61" s="1277" t="s">
        <v>54</v>
      </c>
      <c r="C61" s="333">
        <v>147</v>
      </c>
      <c r="D61" s="333">
        <v>5929869.9982304797</v>
      </c>
      <c r="E61" s="333">
        <v>276</v>
      </c>
      <c r="F61" s="333">
        <v>4124094.8279068801</v>
      </c>
    </row>
    <row r="62" spans="1:6">
      <c r="A62" s="1277" t="s">
        <v>49</v>
      </c>
      <c r="B62" s="1277" t="s">
        <v>55</v>
      </c>
      <c r="C62" s="333">
        <v>6</v>
      </c>
      <c r="D62" s="333">
        <v>776916.14249458595</v>
      </c>
      <c r="E62" s="333">
        <v>17</v>
      </c>
      <c r="F62" s="333">
        <v>401242.99369761598</v>
      </c>
    </row>
    <row r="63" spans="1:6">
      <c r="A63" s="1277" t="s">
        <v>49</v>
      </c>
      <c r="B63" s="1277" t="s">
        <v>29</v>
      </c>
      <c r="C63" s="333">
        <v>128</v>
      </c>
      <c r="D63" s="333">
        <v>12127605.8954749</v>
      </c>
      <c r="E63" s="333">
        <v>157</v>
      </c>
      <c r="F63" s="333">
        <v>5397511.4644145695</v>
      </c>
    </row>
    <row r="64" spans="1:6">
      <c r="A64" s="1277" t="s">
        <v>56</v>
      </c>
      <c r="B64" s="1277" t="s">
        <v>57</v>
      </c>
      <c r="C64" s="333">
        <v>0</v>
      </c>
      <c r="D64" s="333">
        <v>0</v>
      </c>
      <c r="E64" s="333">
        <v>0</v>
      </c>
      <c r="F64" s="333">
        <v>0</v>
      </c>
    </row>
    <row r="65" spans="1:6">
      <c r="A65" s="1277" t="s">
        <v>56</v>
      </c>
      <c r="B65" s="1277" t="s">
        <v>29</v>
      </c>
      <c r="C65" s="333">
        <v>4</v>
      </c>
      <c r="D65" s="333">
        <v>91899.714769705999</v>
      </c>
      <c r="E65" s="333">
        <v>4</v>
      </c>
      <c r="F65" s="333">
        <v>17479.123109744902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9</v>
      </c>
      <c r="D68" s="333">
        <v>439364.31209704903</v>
      </c>
      <c r="E68" s="333">
        <v>21</v>
      </c>
      <c r="F68" s="333">
        <v>774867.70565216895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80083376</v>
      </c>
      <c r="E73" s="333">
        <v>68521338.204332158</v>
      </c>
      <c r="F73" s="333">
        <v>78638525</v>
      </c>
    </row>
    <row r="74" spans="1:6">
      <c r="A74" s="1277" t="s">
        <v>64</v>
      </c>
      <c r="B74" s="1277" t="s">
        <v>774</v>
      </c>
      <c r="C74" s="1288" t="s">
        <v>775</v>
      </c>
      <c r="D74" s="333">
        <v>9119634.7240444105</v>
      </c>
      <c r="E74" s="333">
        <v>7764749.9931042362</v>
      </c>
      <c r="F74" s="333">
        <v>8894635.5804410707</v>
      </c>
    </row>
    <row r="75" spans="1:6">
      <c r="A75" s="1277" t="s">
        <v>65</v>
      </c>
      <c r="B75" s="1277" t="s">
        <v>772</v>
      </c>
      <c r="C75" s="1288" t="s">
        <v>776</v>
      </c>
      <c r="D75" s="333">
        <v>28399249</v>
      </c>
      <c r="E75" s="333">
        <v>22113567.449418936</v>
      </c>
      <c r="F75" s="333">
        <v>27608397</v>
      </c>
    </row>
    <row r="76" spans="1:6">
      <c r="A76" s="1277" t="s">
        <v>65</v>
      </c>
      <c r="B76" s="1277" t="s">
        <v>774</v>
      </c>
      <c r="C76" s="1288" t="s">
        <v>777</v>
      </c>
      <c r="D76" s="333">
        <v>1093821.7240444105</v>
      </c>
      <c r="E76" s="333">
        <v>858866.30253727781</v>
      </c>
      <c r="F76" s="333">
        <v>1084109.5804410707</v>
      </c>
    </row>
    <row r="77" spans="1:6">
      <c r="A77" s="1277" t="s">
        <v>66</v>
      </c>
      <c r="B77" s="1277" t="s">
        <v>772</v>
      </c>
      <c r="C77" s="1288" t="s">
        <v>778</v>
      </c>
      <c r="D77" s="333">
        <v>101904928</v>
      </c>
      <c r="E77" s="333">
        <v>117453937.00274731</v>
      </c>
      <c r="F77" s="333">
        <v>99312803</v>
      </c>
    </row>
    <row r="78" spans="1:6">
      <c r="A78" s="1273" t="s">
        <v>66</v>
      </c>
      <c r="B78" s="1273" t="s">
        <v>774</v>
      </c>
      <c r="C78" s="1273" t="s">
        <v>779</v>
      </c>
      <c r="D78" s="1273">
        <v>15295501</v>
      </c>
      <c r="E78" s="1273">
        <v>16508352.743496638</v>
      </c>
      <c r="F78" s="336">
        <v>15340244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586496.55191117898</v>
      </c>
      <c r="C83" s="333">
        <v>528405.37894514052</v>
      </c>
      <c r="D83" s="333">
        <v>523932.83911785833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2973.3635864381308</v>
      </c>
    </row>
    <row r="91" spans="1:6">
      <c r="A91" s="1277" t="s">
        <v>68</v>
      </c>
      <c r="B91" s="333">
        <v>2751.7780338614266</v>
      </c>
    </row>
    <row r="92" spans="1:6">
      <c r="A92" s="1273" t="s">
        <v>69</v>
      </c>
      <c r="B92" s="336">
        <v>2431.4966470542568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3156</v>
      </c>
    </row>
    <row r="98" spans="1:6">
      <c r="A98" s="1277" t="s">
        <v>72</v>
      </c>
      <c r="B98" s="333">
        <v>0</v>
      </c>
    </row>
    <row r="99" spans="1:6">
      <c r="A99" s="1277" t="s">
        <v>73</v>
      </c>
      <c r="B99" s="333">
        <v>227</v>
      </c>
    </row>
    <row r="100" spans="1:6">
      <c r="A100" s="1277" t="s">
        <v>74</v>
      </c>
      <c r="B100" s="333">
        <v>950</v>
      </c>
    </row>
    <row r="101" spans="1:6">
      <c r="A101" s="1277" t="s">
        <v>75</v>
      </c>
      <c r="B101" s="333">
        <v>226</v>
      </c>
    </row>
    <row r="102" spans="1:6">
      <c r="A102" s="1277" t="s">
        <v>76</v>
      </c>
      <c r="B102" s="333">
        <v>152</v>
      </c>
    </row>
    <row r="103" spans="1:6">
      <c r="A103" s="1277" t="s">
        <v>77</v>
      </c>
      <c r="B103" s="333">
        <v>284</v>
      </c>
    </row>
    <row r="104" spans="1:6">
      <c r="A104" s="1277" t="s">
        <v>78</v>
      </c>
      <c r="B104" s="333">
        <v>3125</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1</v>
      </c>
    </row>
    <row r="131" spans="1:6">
      <c r="A131" s="1277" t="s">
        <v>296</v>
      </c>
      <c r="B131" s="333">
        <v>2</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108502.69837025821</v>
      </c>
      <c r="C3" s="43" t="s">
        <v>170</v>
      </c>
      <c r="D3" s="43"/>
      <c r="E3" s="156"/>
      <c r="F3" s="43"/>
      <c r="G3" s="43"/>
      <c r="H3" s="43"/>
      <c r="I3" s="43"/>
      <c r="J3" s="43"/>
      <c r="K3" s="96"/>
    </row>
    <row r="4" spans="1:11">
      <c r="A4" s="364" t="s">
        <v>171</v>
      </c>
      <c r="B4" s="49">
        <f>IF(ISERROR('SEAP template'!B78+'SEAP template'!C78),0,'SEAP template'!B78+'SEAP template'!C78)</f>
        <v>20626.13826735381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2294.957647058824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0.20013951501645977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3278.510924369748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17813.571428571428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0.18404568323179146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1919.8440000000001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1919.8440000000001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0.20013951501645977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384.23664706726021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42451.528208978598</v>
      </c>
      <c r="C5" s="17">
        <f>IF(ISERROR('Eigen informatie GS &amp; warmtenet'!B57),0,'Eigen informatie GS &amp; warmtenet'!B57)</f>
        <v>0</v>
      </c>
      <c r="D5" s="30">
        <f>(SUM(HH_hh_gas_kWh,HH_rest_gas_kWh)/1000)*0.902</f>
        <v>69654.652066409704</v>
      </c>
      <c r="E5" s="17">
        <f>B46*B57</f>
        <v>7441.6210788019507</v>
      </c>
      <c r="F5" s="17">
        <f>B51*B62</f>
        <v>40781.566331747221</v>
      </c>
      <c r="G5" s="18"/>
      <c r="H5" s="17"/>
      <c r="I5" s="17"/>
      <c r="J5" s="17">
        <f>B50*B61+C50*C61</f>
        <v>3886.9595524463716</v>
      </c>
      <c r="K5" s="17"/>
      <c r="L5" s="17"/>
      <c r="M5" s="17"/>
      <c r="N5" s="17">
        <f>B48*B59+C48*C59</f>
        <v>21436.310309044406</v>
      </c>
      <c r="O5" s="17">
        <f>B69*B70*B71</f>
        <v>101.61666666666667</v>
      </c>
      <c r="P5" s="17">
        <f>B77*B78*B79/1000-B77*B78*B79/1000/B80</f>
        <v>171.6</v>
      </c>
    </row>
    <row r="6" spans="1:16">
      <c r="A6" s="16" t="s">
        <v>632</v>
      </c>
      <c r="B6" s="779">
        <f>kWh_PV_kleiner_dan_10kW</f>
        <v>2751.7780338614266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45203.306242840023</v>
      </c>
      <c r="C8" s="21">
        <f>C5</f>
        <v>0</v>
      </c>
      <c r="D8" s="21">
        <f>D5</f>
        <v>69654.652066409704</v>
      </c>
      <c r="E8" s="21">
        <f>E5</f>
        <v>7441.6210788019507</v>
      </c>
      <c r="F8" s="21">
        <f>F5</f>
        <v>40781.566331747221</v>
      </c>
      <c r="G8" s="21"/>
      <c r="H8" s="21"/>
      <c r="I8" s="21"/>
      <c r="J8" s="21">
        <f>J5</f>
        <v>3886.9595524463716</v>
      </c>
      <c r="K8" s="21"/>
      <c r="L8" s="21">
        <f>L5</f>
        <v>0</v>
      </c>
      <c r="M8" s="21">
        <f>M5</f>
        <v>0</v>
      </c>
      <c r="N8" s="21">
        <f>N5</f>
        <v>21436.310309044406</v>
      </c>
      <c r="O8" s="21">
        <f>O5</f>
        <v>101.61666666666667</v>
      </c>
      <c r="P8" s="21">
        <f>P5</f>
        <v>171.6</v>
      </c>
    </row>
    <row r="9" spans="1:16">
      <c r="B9" s="19"/>
      <c r="C9" s="19"/>
      <c r="D9" s="260"/>
      <c r="E9" s="19"/>
      <c r="F9" s="19"/>
      <c r="G9" s="19"/>
      <c r="H9" s="19"/>
      <c r="I9" s="19"/>
      <c r="J9" s="19"/>
      <c r="K9" s="19"/>
      <c r="L9" s="19"/>
      <c r="M9" s="19"/>
      <c r="N9" s="19"/>
      <c r="O9" s="19"/>
      <c r="P9" s="19"/>
    </row>
    <row r="10" spans="1:16">
      <c r="A10" s="24" t="s">
        <v>214</v>
      </c>
      <c r="B10" s="25">
        <f ca="1">'EF ele_warmte'!B12</f>
        <v>0.20013951501645977</v>
      </c>
      <c r="C10" s="25">
        <f ca="1">'EF ele_warmte'!B22</f>
        <v>0.18404568323179146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9046.9677885825095</v>
      </c>
      <c r="C12" s="23">
        <f ca="1">C10*C8</f>
        <v>0</v>
      </c>
      <c r="D12" s="23">
        <f>D8*D10</f>
        <v>14070.239717414761</v>
      </c>
      <c r="E12" s="23">
        <f>E10*E8</f>
        <v>1689.2479848880428</v>
      </c>
      <c r="F12" s="23">
        <f>F10*F8</f>
        <v>10888.678210576509</v>
      </c>
      <c r="G12" s="23"/>
      <c r="H12" s="23"/>
      <c r="I12" s="23"/>
      <c r="J12" s="23">
        <f>J10*J8</f>
        <v>1375.9836815660155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3156</v>
      </c>
      <c r="C18" s="167" t="s">
        <v>111</v>
      </c>
      <c r="D18" s="229"/>
      <c r="E18" s="15"/>
    </row>
    <row r="19" spans="1:7">
      <c r="A19" s="172" t="s">
        <v>72</v>
      </c>
      <c r="B19" s="37">
        <f>aantalw2001_ander</f>
        <v>0</v>
      </c>
      <c r="C19" s="167" t="s">
        <v>111</v>
      </c>
      <c r="D19" s="230"/>
      <c r="E19" s="15"/>
    </row>
    <row r="20" spans="1:7">
      <c r="A20" s="172" t="s">
        <v>73</v>
      </c>
      <c r="B20" s="37">
        <f>aantalw2001_propaan</f>
        <v>227</v>
      </c>
      <c r="C20" s="168">
        <f>IF(ISERROR(B20/SUM($B$20,$B$21,$B$22)*100),0,B20/SUM($B$20,$B$21,$B$22)*100)</f>
        <v>16.179615110477549</v>
      </c>
      <c r="D20" s="230"/>
      <c r="E20" s="15"/>
    </row>
    <row r="21" spans="1:7">
      <c r="A21" s="172" t="s">
        <v>74</v>
      </c>
      <c r="B21" s="37">
        <f>aantalw2001_elektriciteit</f>
        <v>950</v>
      </c>
      <c r="C21" s="168">
        <f>IF(ISERROR(B21/SUM($B$20,$B$21,$B$22)*100),0,B21/SUM($B$20,$B$21,$B$22)*100)</f>
        <v>67.712045616536003</v>
      </c>
      <c r="D21" s="230"/>
      <c r="E21" s="15"/>
    </row>
    <row r="22" spans="1:7">
      <c r="A22" s="172" t="s">
        <v>75</v>
      </c>
      <c r="B22" s="37">
        <f>aantalw2001_hout</f>
        <v>226</v>
      </c>
      <c r="C22" s="168">
        <f>IF(ISERROR(B22/SUM($B$20,$B$21,$B$22)*100),0,B22/SUM($B$20,$B$21,$B$22)*100)</f>
        <v>16.108339272986459</v>
      </c>
      <c r="D22" s="230"/>
      <c r="E22" s="15"/>
    </row>
    <row r="23" spans="1:7">
      <c r="A23" s="172" t="s">
        <v>76</v>
      </c>
      <c r="B23" s="37">
        <f>aantalw2001_niet_gespec</f>
        <v>152</v>
      </c>
      <c r="C23" s="167" t="s">
        <v>111</v>
      </c>
      <c r="D23" s="229"/>
      <c r="E23" s="15"/>
    </row>
    <row r="24" spans="1:7">
      <c r="A24" s="172" t="s">
        <v>77</v>
      </c>
      <c r="B24" s="37">
        <f>aantalw2001_steenkool</f>
        <v>284</v>
      </c>
      <c r="C24" s="167" t="s">
        <v>111</v>
      </c>
      <c r="D24" s="230"/>
      <c r="E24" s="15"/>
    </row>
    <row r="25" spans="1:7">
      <c r="A25" s="172" t="s">
        <v>78</v>
      </c>
      <c r="B25" s="37">
        <f>aantalw2001_stookolie</f>
        <v>3125</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8810</v>
      </c>
      <c r="C28" s="36"/>
      <c r="D28" s="229"/>
    </row>
    <row r="29" spans="1:7" s="15" customFormat="1">
      <c r="A29" s="231" t="s">
        <v>713</v>
      </c>
      <c r="B29" s="37">
        <f>SUM(HH_hh_gas_aantal,HH_rest_gas_aantal)</f>
        <v>4641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4641</v>
      </c>
      <c r="C32" s="168">
        <f>IF(ISERROR(B32/SUM($B$32,$B$34,$B$35,$B$36,$B$38,$B$39)*100),0,B32/SUM($B$32,$B$34,$B$35,$B$36,$B$38,$B$39)*100)</f>
        <v>52.732644017725264</v>
      </c>
      <c r="D32" s="234"/>
      <c r="G32" s="15"/>
    </row>
    <row r="33" spans="1:7">
      <c r="A33" s="172" t="s">
        <v>72</v>
      </c>
      <c r="B33" s="34" t="s">
        <v>111</v>
      </c>
      <c r="C33" s="168"/>
      <c r="D33" s="234"/>
      <c r="G33" s="15"/>
    </row>
    <row r="34" spans="1:7">
      <c r="A34" s="172" t="s">
        <v>73</v>
      </c>
      <c r="B34" s="33">
        <f>IF((($B$28-$B$32-$B$39-$B$77-$B$38)*C20/100)&lt;0,0,($B$28-$B$32-$B$39-$B$77-$B$38)*C20/100)</f>
        <v>361.77619387027801</v>
      </c>
      <c r="C34" s="168">
        <f>IF(ISERROR(B34/SUM($B$32,$B$34,$B$35,$B$36,$B$38,$B$39)*100),0,B34/SUM($B$32,$B$34,$B$35,$B$36,$B$38,$B$39)*100)</f>
        <v>4.1106259955718443</v>
      </c>
      <c r="D34" s="234"/>
      <c r="G34" s="15"/>
    </row>
    <row r="35" spans="1:7">
      <c r="A35" s="172" t="s">
        <v>74</v>
      </c>
      <c r="B35" s="33">
        <f>IF((($B$28-$B$32-$B$39-$B$77-$B$38)*C21/100)&lt;0,0,($B$28-$B$32-$B$39-$B$77-$B$38)*C21/100)</f>
        <v>1514.0413399857453</v>
      </c>
      <c r="C35" s="168">
        <f>IF(ISERROR(B35/SUM($B$32,$B$34,$B$35,$B$36,$B$38,$B$39)*100),0,B35/SUM($B$32,$B$34,$B$35,$B$36,$B$38,$B$39)*100)</f>
        <v>17.203060333890981</v>
      </c>
      <c r="D35" s="234"/>
      <c r="G35" s="15"/>
    </row>
    <row r="36" spans="1:7">
      <c r="A36" s="172" t="s">
        <v>75</v>
      </c>
      <c r="B36" s="33">
        <f>IF((($B$28-$B$32-$B$39-$B$77-$B$38)*C22/100)&lt;0,0,($B$28-$B$32-$B$39-$B$77-$B$38)*C22/100)</f>
        <v>360.18246614397719</v>
      </c>
      <c r="C36" s="168">
        <f>IF(ISERROR(B36/SUM($B$32,$B$34,$B$35,$B$36,$B$38,$B$39)*100),0,B36/SUM($B$32,$B$34,$B$35,$B$36,$B$38,$B$39)*100)</f>
        <v>4.0925175110098539</v>
      </c>
      <c r="D36" s="234"/>
      <c r="G36" s="15"/>
    </row>
    <row r="37" spans="1:7">
      <c r="A37" s="172" t="s">
        <v>76</v>
      </c>
      <c r="B37" s="34" t="s">
        <v>111</v>
      </c>
      <c r="C37" s="168"/>
      <c r="D37" s="174"/>
      <c r="G37" s="15"/>
    </row>
    <row r="38" spans="1:7">
      <c r="A38" s="172" t="s">
        <v>77</v>
      </c>
      <c r="B38" s="33">
        <f>IF((B24-(B29-B18)*0.1)&lt;0,0,B24-(B29-B18)*0.1)</f>
        <v>135.5</v>
      </c>
      <c r="C38" s="168">
        <f>IF(ISERROR(B38/SUM($B$32,$B$34,$B$35,$B$36,$B$38,$B$39)*100),0,B38/SUM($B$32,$B$34,$B$35,$B$36,$B$38,$B$39)*100)</f>
        <v>1.5395977729803432</v>
      </c>
      <c r="D38" s="235"/>
      <c r="G38" s="15"/>
    </row>
    <row r="39" spans="1:7">
      <c r="A39" s="172" t="s">
        <v>78</v>
      </c>
      <c r="B39" s="33">
        <f>IF((B25-(B29-B18))&lt;0,0,B25-(B29-B18)*0.9)</f>
        <v>1788.5</v>
      </c>
      <c r="C39" s="168">
        <f>IF(ISERROR(B39/SUM($B$32,$B$34,$B$35,$B$36,$B$38,$B$39)*100),0,B39/SUM($B$32,$B$34,$B$35,$B$36,$B$38,$B$39)*100)</f>
        <v>20.321554368821726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4641</v>
      </c>
      <c r="C44" s="34" t="s">
        <v>111</v>
      </c>
      <c r="D44" s="175"/>
    </row>
    <row r="45" spans="1:7">
      <c r="A45" s="172" t="s">
        <v>72</v>
      </c>
      <c r="B45" s="33" t="str">
        <f t="shared" si="0"/>
        <v>-</v>
      </c>
      <c r="C45" s="34" t="s">
        <v>111</v>
      </c>
      <c r="D45" s="175"/>
    </row>
    <row r="46" spans="1:7">
      <c r="A46" s="172" t="s">
        <v>73</v>
      </c>
      <c r="B46" s="33">
        <f t="shared" si="0"/>
        <v>361.77619387027801</v>
      </c>
      <c r="C46" s="34" t="s">
        <v>111</v>
      </c>
      <c r="D46" s="175"/>
    </row>
    <row r="47" spans="1:7">
      <c r="A47" s="172" t="s">
        <v>74</v>
      </c>
      <c r="B47" s="33">
        <f t="shared" si="0"/>
        <v>1514.0413399857453</v>
      </c>
      <c r="C47" s="34" t="s">
        <v>111</v>
      </c>
      <c r="D47" s="175"/>
    </row>
    <row r="48" spans="1:7">
      <c r="A48" s="172" t="s">
        <v>75</v>
      </c>
      <c r="B48" s="33">
        <f t="shared" si="0"/>
        <v>360.18246614397719</v>
      </c>
      <c r="C48" s="33">
        <f>B48*10</f>
        <v>3601.8246614397722</v>
      </c>
      <c r="D48" s="235"/>
    </row>
    <row r="49" spans="1:6">
      <c r="A49" s="172" t="s">
        <v>76</v>
      </c>
      <c r="B49" s="33" t="str">
        <f t="shared" si="0"/>
        <v>-</v>
      </c>
      <c r="C49" s="34" t="s">
        <v>111</v>
      </c>
      <c r="D49" s="235"/>
    </row>
    <row r="50" spans="1:6">
      <c r="A50" s="172" t="s">
        <v>77</v>
      </c>
      <c r="B50" s="33">
        <f t="shared" si="0"/>
        <v>135.5</v>
      </c>
      <c r="C50" s="33">
        <f>B50*2</f>
        <v>271</v>
      </c>
      <c r="D50" s="235"/>
    </row>
    <row r="51" spans="1:6">
      <c r="A51" s="172" t="s">
        <v>78</v>
      </c>
      <c r="B51" s="33">
        <f t="shared" si="0"/>
        <v>1788.5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22468.975961017335</v>
      </c>
      <c r="C5" s="17">
        <f>IF(ISERROR('Eigen informatie GS &amp; warmtenet'!B58),0,'Eigen informatie GS &amp; warmtenet'!B58)</f>
        <v>0</v>
      </c>
      <c r="D5" s="30">
        <f>SUM(D6:D12)</f>
        <v>25215.612820628477</v>
      </c>
      <c r="E5" s="17">
        <f>SUM(E6:E12)</f>
        <v>411.82864030686812</v>
      </c>
      <c r="F5" s="17">
        <f>SUM(F6:F12)</f>
        <v>4291.0947880936637</v>
      </c>
      <c r="G5" s="18"/>
      <c r="H5" s="17"/>
      <c r="I5" s="17"/>
      <c r="J5" s="17">
        <f>SUM(J6:J12)</f>
        <v>0</v>
      </c>
      <c r="K5" s="17"/>
      <c r="L5" s="17"/>
      <c r="M5" s="17"/>
      <c r="N5" s="17">
        <f>SUM(N6:N12)</f>
        <v>853.37148438092754</v>
      </c>
      <c r="O5" s="17">
        <f>B38*B39*B40</f>
        <v>1.5633333333333335</v>
      </c>
      <c r="P5" s="17">
        <f>B46*B47*B48/1000-B46*B47*B48/1000/B49</f>
        <v>38.133333333333333</v>
      </c>
      <c r="R5" s="32"/>
    </row>
    <row r="6" spans="1:18">
      <c r="A6" s="32" t="s">
        <v>54</v>
      </c>
      <c r="B6" s="37">
        <f>B26</f>
        <v>4124.0948279068798</v>
      </c>
      <c r="C6" s="33"/>
      <c r="D6" s="37">
        <f>IF(ISERROR(TER_kantoor_gas_kWh/1000),0,TER_kantoor_gas_kWh/1000)*0.902</f>
        <v>5348.7427384038929</v>
      </c>
      <c r="E6" s="33">
        <f>$C$26*'E Balans VL '!I12/100/3.6*1000000</f>
        <v>144.35954212089348</v>
      </c>
      <c r="F6" s="33">
        <f>$C$26*('E Balans VL '!L12+'E Balans VL '!N12)/100/3.6*1000000</f>
        <v>625.3013193589918</v>
      </c>
      <c r="G6" s="34"/>
      <c r="H6" s="33"/>
      <c r="I6" s="33"/>
      <c r="J6" s="33">
        <f>$C$26*('E Balans VL '!D12+'E Balans VL '!E12)/100/3.6*1000000</f>
        <v>0</v>
      </c>
      <c r="K6" s="33"/>
      <c r="L6" s="33"/>
      <c r="M6" s="33"/>
      <c r="N6" s="33">
        <f>$C$26*'E Balans VL '!Y12/100/3.6*1000000</f>
        <v>31.87796221356362</v>
      </c>
      <c r="O6" s="33"/>
      <c r="P6" s="33"/>
      <c r="R6" s="32"/>
    </row>
    <row r="7" spans="1:18">
      <c r="A7" s="32" t="s">
        <v>53</v>
      </c>
      <c r="B7" s="37">
        <f t="shared" ref="B7:B12" si="0">B27</f>
        <v>1666.9031128108002</v>
      </c>
      <c r="C7" s="33"/>
      <c r="D7" s="37">
        <f>IF(ISERROR(TER_horeca_gas_kWh/1000),0,TER_horeca_gas_kWh/1000)*0.902</f>
        <v>2593.6158005682232</v>
      </c>
      <c r="E7" s="33">
        <f>$C$27*'E Balans VL '!I9/100/3.6*1000000</f>
        <v>94.035499975980201</v>
      </c>
      <c r="F7" s="33">
        <f>$C$27*('E Balans VL '!L9+'E Balans VL '!N9)/100/3.6*1000000</f>
        <v>290.3837470119081</v>
      </c>
      <c r="G7" s="34"/>
      <c r="H7" s="33"/>
      <c r="I7" s="33"/>
      <c r="J7" s="33">
        <f>$C$27*('E Balans VL '!D9+'E Balans VL '!E9)/100/3.6*1000000</f>
        <v>0</v>
      </c>
      <c r="K7" s="33"/>
      <c r="L7" s="33"/>
      <c r="M7" s="33"/>
      <c r="N7" s="33">
        <f>$C$27*'E Balans VL '!Y9/100/3.6*1000000</f>
        <v>0</v>
      </c>
      <c r="O7" s="33"/>
      <c r="P7" s="33"/>
      <c r="R7" s="32"/>
    </row>
    <row r="8" spans="1:18">
      <c r="A8" s="6" t="s">
        <v>52</v>
      </c>
      <c r="B8" s="37">
        <f t="shared" si="0"/>
        <v>7745.8030368771806</v>
      </c>
      <c r="C8" s="33"/>
      <c r="D8" s="37">
        <f>IF(ISERROR(TER_handel_gas_kWh/1000),0,TER_handel_gas_kWh/1000)*0.902</f>
        <v>2896.3062322252777</v>
      </c>
      <c r="E8" s="33">
        <f>$C$28*'E Balans VL '!I13/100/3.6*1000000</f>
        <v>39.766165829152506</v>
      </c>
      <c r="F8" s="33">
        <f>$C$28*('E Balans VL '!L13+'E Balans VL '!N13)/100/3.6*1000000</f>
        <v>1194.283143343346</v>
      </c>
      <c r="G8" s="34"/>
      <c r="H8" s="33"/>
      <c r="I8" s="33"/>
      <c r="J8" s="33">
        <f>$C$28*('E Balans VL '!D13+'E Balans VL '!E13)/100/3.6*1000000</f>
        <v>0</v>
      </c>
      <c r="K8" s="33"/>
      <c r="L8" s="33"/>
      <c r="M8" s="33"/>
      <c r="N8" s="33">
        <f>$C$28*'E Balans VL '!Y13/100/3.6*1000000</f>
        <v>3.6228066306003419</v>
      </c>
      <c r="O8" s="33"/>
      <c r="P8" s="33"/>
      <c r="R8" s="32"/>
    </row>
    <row r="9" spans="1:18">
      <c r="A9" s="32" t="s">
        <v>51</v>
      </c>
      <c r="B9" s="37">
        <f t="shared" si="0"/>
        <v>264.09473260075998</v>
      </c>
      <c r="C9" s="33"/>
      <c r="D9" s="37">
        <f>IF(ISERROR(TER_gezond_gas_kWh/1000),0,TER_gezond_gas_kWh/1000)*0.902</f>
        <v>522.4277946553309</v>
      </c>
      <c r="E9" s="33">
        <f>$C$29*'E Balans VL '!I10/100/3.6*1000000</f>
        <v>0.10946538584773743</v>
      </c>
      <c r="F9" s="33">
        <f>$C$29*('E Balans VL '!L10+'E Balans VL '!N10)/100/3.6*1000000</f>
        <v>65.042745015860973</v>
      </c>
      <c r="G9" s="34"/>
      <c r="H9" s="33"/>
      <c r="I9" s="33"/>
      <c r="J9" s="33">
        <f>$C$29*('E Balans VL '!D10+'E Balans VL '!E10)/100/3.6*1000000</f>
        <v>0</v>
      </c>
      <c r="K9" s="33"/>
      <c r="L9" s="33"/>
      <c r="M9" s="33"/>
      <c r="N9" s="33">
        <f>$C$29*'E Balans VL '!Y10/100/3.6*1000000</f>
        <v>2.282432157176717</v>
      </c>
      <c r="O9" s="33"/>
      <c r="P9" s="33"/>
      <c r="R9" s="32"/>
    </row>
    <row r="10" spans="1:18">
      <c r="A10" s="32" t="s">
        <v>50</v>
      </c>
      <c r="B10" s="37">
        <f t="shared" si="0"/>
        <v>2869.3257927095297</v>
      </c>
      <c r="C10" s="33"/>
      <c r="D10" s="37">
        <f>IF(ISERROR(TER_ander_gas_kWh/1000),0,TER_ander_gas_kWh/1000)*0.902</f>
        <v>2214.641376527276</v>
      </c>
      <c r="E10" s="33">
        <f>$C$30*'E Balans VL '!I14/100/3.6*1000000</f>
        <v>17.491480826364473</v>
      </c>
      <c r="F10" s="33">
        <f>$C$30*('E Balans VL '!L14+'E Balans VL '!N14)/100/3.6*1000000</f>
        <v>760.69757295206216</v>
      </c>
      <c r="G10" s="34"/>
      <c r="H10" s="33"/>
      <c r="I10" s="33"/>
      <c r="J10" s="33">
        <f>$C$30*('E Balans VL '!D14+'E Balans VL '!E14)/100/3.6*1000000</f>
        <v>0</v>
      </c>
      <c r="K10" s="33"/>
      <c r="L10" s="33"/>
      <c r="M10" s="33"/>
      <c r="N10" s="33">
        <f>$C$30*'E Balans VL '!Y14/100/3.6*1000000</f>
        <v>661.31759365274297</v>
      </c>
      <c r="O10" s="33"/>
      <c r="P10" s="33"/>
      <c r="R10" s="32"/>
    </row>
    <row r="11" spans="1:18">
      <c r="A11" s="32" t="s">
        <v>55</v>
      </c>
      <c r="B11" s="37">
        <f t="shared" si="0"/>
        <v>401.24299369761599</v>
      </c>
      <c r="C11" s="33"/>
      <c r="D11" s="37">
        <f>IF(ISERROR(TER_onderwijs_gas_kWh/1000),0,TER_onderwijs_gas_kWh/1000)*0.902</f>
        <v>700.77836053011663</v>
      </c>
      <c r="E11" s="33">
        <f>$C$31*'E Balans VL '!I11/100/3.6*1000000</f>
        <v>0.30576805414098529</v>
      </c>
      <c r="F11" s="33">
        <f>$C$31*('E Balans VL '!L11+'E Balans VL '!N11)/100/3.6*1000000</f>
        <v>290.36141927056542</v>
      </c>
      <c r="G11" s="34"/>
      <c r="H11" s="33"/>
      <c r="I11" s="33"/>
      <c r="J11" s="33">
        <f>$C$31*('E Balans VL '!D11+'E Balans VL '!E11)/100/3.6*1000000</f>
        <v>0</v>
      </c>
      <c r="K11" s="33"/>
      <c r="L11" s="33"/>
      <c r="M11" s="33"/>
      <c r="N11" s="33">
        <f>$C$31*'E Balans VL '!Y11/100/3.6*1000000</f>
        <v>1.1825589977549666</v>
      </c>
      <c r="O11" s="33"/>
      <c r="P11" s="33"/>
      <c r="R11" s="32"/>
    </row>
    <row r="12" spans="1:18">
      <c r="A12" s="32" t="s">
        <v>260</v>
      </c>
      <c r="B12" s="37">
        <f t="shared" si="0"/>
        <v>5397.5114644145697</v>
      </c>
      <c r="C12" s="33"/>
      <c r="D12" s="37">
        <f>IF(ISERROR(TER_rest_gas_kWh/1000),0,TER_rest_gas_kWh/1000)*0.902</f>
        <v>10939.10051771836</v>
      </c>
      <c r="E12" s="33">
        <f>$C$32*'E Balans VL '!I8/100/3.6*1000000</f>
        <v>115.76071811448881</v>
      </c>
      <c r="F12" s="33">
        <f>$C$32*('E Balans VL '!L8+'E Balans VL '!N8)/100/3.6*1000000</f>
        <v>1065.0248411409289</v>
      </c>
      <c r="G12" s="34"/>
      <c r="H12" s="33"/>
      <c r="I12" s="33"/>
      <c r="J12" s="33">
        <f>$C$32*('E Balans VL '!D8+'E Balans VL '!E8)/100/3.6*1000000</f>
        <v>0</v>
      </c>
      <c r="K12" s="33"/>
      <c r="L12" s="33"/>
      <c r="M12" s="33"/>
      <c r="N12" s="33">
        <f>$C$32*'E Balans VL '!Y8/100/3.6*1000000</f>
        <v>153.08813072908893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22468.975961017335</v>
      </c>
      <c r="C16" s="21">
        <f ca="1">C5+C13+C14</f>
        <v>0</v>
      </c>
      <c r="D16" s="21">
        <f t="shared" ref="D16:N16" ca="1" si="1">MAX((D5+D13+D14),0)</f>
        <v>25215.612820628477</v>
      </c>
      <c r="E16" s="21">
        <f t="shared" si="1"/>
        <v>411.82864030686812</v>
      </c>
      <c r="F16" s="21">
        <f t="shared" ca="1" si="1"/>
        <v>4291.0947880936637</v>
      </c>
      <c r="G16" s="21">
        <f t="shared" si="1"/>
        <v>0</v>
      </c>
      <c r="H16" s="21">
        <f t="shared" si="1"/>
        <v>0</v>
      </c>
      <c r="I16" s="21">
        <f t="shared" si="1"/>
        <v>0</v>
      </c>
      <c r="J16" s="21">
        <f t="shared" si="1"/>
        <v>0</v>
      </c>
      <c r="K16" s="21">
        <f t="shared" si="1"/>
        <v>0</v>
      </c>
      <c r="L16" s="21">
        <f t="shared" ca="1" si="1"/>
        <v>0</v>
      </c>
      <c r="M16" s="21">
        <f t="shared" si="1"/>
        <v>0</v>
      </c>
      <c r="N16" s="21">
        <f t="shared" ca="1" si="1"/>
        <v>853.37148438092754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0.20013951501645977</v>
      </c>
      <c r="C18" s="25">
        <f ca="1">'EF ele_warmte'!B22</f>
        <v>0.18404568323179146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4496.9299517545023</v>
      </c>
      <c r="C20" s="23">
        <f t="shared" ref="C20:P20" ca="1" si="2">C16*C18</f>
        <v>0</v>
      </c>
      <c r="D20" s="23">
        <f t="shared" ca="1" si="2"/>
        <v>5093.5537897669528</v>
      </c>
      <c r="E20" s="23">
        <f t="shared" si="2"/>
        <v>93.485101349659061</v>
      </c>
      <c r="F20" s="23">
        <f t="shared" ca="1" si="2"/>
        <v>1145.7223084210084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4124.0948279068798</v>
      </c>
      <c r="C26" s="39">
        <f>IF(ISERROR(B26*3.6/1000000/'E Balans VL '!Z12*100),0,B26*3.6/1000000/'E Balans VL '!Z12*100)</f>
        <v>8.678473635683856E-2</v>
      </c>
      <c r="D26" s="238" t="s">
        <v>719</v>
      </c>
      <c r="F26" s="6"/>
    </row>
    <row r="27" spans="1:18">
      <c r="A27" s="232" t="s">
        <v>53</v>
      </c>
      <c r="B27" s="33">
        <f>IF(ISERROR(TER_horeca_ele_kWh/1000),0,TER_horeca_ele_kWh/1000)</f>
        <v>1666.9031128108002</v>
      </c>
      <c r="C27" s="39">
        <f>IF(ISERROR(B27*3.6/1000000/'E Balans VL '!Z9*100),0,B27*3.6/1000000/'E Balans VL '!Z9*100)</f>
        <v>0.14113200260731981</v>
      </c>
      <c r="D27" s="238" t="s">
        <v>719</v>
      </c>
      <c r="F27" s="6"/>
    </row>
    <row r="28" spans="1:18">
      <c r="A28" s="172" t="s">
        <v>52</v>
      </c>
      <c r="B28" s="33">
        <f>IF(ISERROR(TER_handel_ele_kWh/1000),0,TER_handel_ele_kWh/1000)</f>
        <v>7745.8030368771806</v>
      </c>
      <c r="C28" s="39">
        <f>IF(ISERROR(B28*3.6/1000000/'E Balans VL '!Z13*100),0,B28*3.6/1000000/'E Balans VL '!Z13*100)</f>
        <v>0.21444148599369259</v>
      </c>
      <c r="D28" s="238" t="s">
        <v>719</v>
      </c>
      <c r="F28" s="6"/>
    </row>
    <row r="29" spans="1:18">
      <c r="A29" s="232" t="s">
        <v>51</v>
      </c>
      <c r="B29" s="33">
        <f>IF(ISERROR(TER_gezond_ele_kWh/1000),0,TER_gezond_ele_kWh/1000)</f>
        <v>264.09473260075998</v>
      </c>
      <c r="C29" s="39">
        <f>IF(ISERROR(B29*3.6/1000000/'E Balans VL '!Z10*100),0,B29*3.6/1000000/'E Balans VL '!Z10*100)</f>
        <v>3.4329387406632862E-2</v>
      </c>
      <c r="D29" s="238" t="s">
        <v>719</v>
      </c>
      <c r="F29" s="6"/>
    </row>
    <row r="30" spans="1:18">
      <c r="A30" s="232" t="s">
        <v>50</v>
      </c>
      <c r="B30" s="33">
        <f>IF(ISERROR(TER_ander_ele_kWh/1000),0,TER_ander_ele_kWh/1000)</f>
        <v>2869.3257927095297</v>
      </c>
      <c r="C30" s="39">
        <f>IF(ISERROR(B30*3.6/1000000/'E Balans VL '!Z14*100),0,B30*3.6/1000000/'E Balans VL '!Z14*100)</f>
        <v>0.22239906266264017</v>
      </c>
      <c r="D30" s="238" t="s">
        <v>719</v>
      </c>
      <c r="F30" s="6"/>
    </row>
    <row r="31" spans="1:18">
      <c r="A31" s="232" t="s">
        <v>55</v>
      </c>
      <c r="B31" s="33">
        <f>IF(ISERROR(TER_onderwijs_ele_kWh/1000),0,TER_onderwijs_ele_kWh/1000)</f>
        <v>401.24299369761599</v>
      </c>
      <c r="C31" s="39">
        <f>IF(ISERROR(B31*3.6/1000000/'E Balans VL '!Z11*100),0,B31*3.6/1000000/'E Balans VL '!Z11*100)</f>
        <v>7.6764621730280216E-2</v>
      </c>
      <c r="D31" s="238" t="s">
        <v>719</v>
      </c>
    </row>
    <row r="32" spans="1:18">
      <c r="A32" s="232" t="s">
        <v>260</v>
      </c>
      <c r="B32" s="33">
        <f>IF(ISERROR(TER_rest_ele_kWh/1000),0,TER_rest_ele_kWh/1000)</f>
        <v>5397.5114644145697</v>
      </c>
      <c r="C32" s="39">
        <f>IF(ISERROR(B32*3.6/1000000/'E Balans VL '!Z8*100),0,B32*3.6/1000000/'E Balans VL '!Z8*100)</f>
        <v>4.4506626857154438E-2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26731.928111959183</v>
      </c>
      <c r="C5" s="17">
        <f>IF(ISERROR('Eigen informatie GS &amp; warmtenet'!B59),0,'Eigen informatie GS &amp; warmtenet'!B59)</f>
        <v>0</v>
      </c>
      <c r="D5" s="30">
        <f>SUM(D6:D15)</f>
        <v>67334.689604004467</v>
      </c>
      <c r="E5" s="17">
        <f>SUM(E6:E15)</f>
        <v>256.84098727333503</v>
      </c>
      <c r="F5" s="17">
        <f>SUM(F6:F15)</f>
        <v>5884.5131260501475</v>
      </c>
      <c r="G5" s="18"/>
      <c r="H5" s="17"/>
      <c r="I5" s="17"/>
      <c r="J5" s="17">
        <f>SUM(J6:J15)</f>
        <v>266.30470949080097</v>
      </c>
      <c r="K5" s="17"/>
      <c r="L5" s="17"/>
      <c r="M5" s="17"/>
      <c r="N5" s="17">
        <f>SUM(N6:N15)</f>
        <v>476.68079608851497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8364.7631448025095</v>
      </c>
      <c r="C8" s="33"/>
      <c r="D8" s="37">
        <f>IF( ISERROR(IND_metaal_Gas_kWH/1000),0,IND_metaal_Gas_kWH/1000)*0.902</f>
        <v>53783.554587663195</v>
      </c>
      <c r="E8" s="33">
        <f>C30*'E Balans VL '!I18/100/3.6*1000000</f>
        <v>58.777345017256287</v>
      </c>
      <c r="F8" s="33">
        <f>C30*'E Balans VL '!L18/100/3.6*1000000+C30*'E Balans VL '!N18/100/3.6*1000000</f>
        <v>918.40205461795563</v>
      </c>
      <c r="G8" s="34"/>
      <c r="H8" s="33"/>
      <c r="I8" s="33"/>
      <c r="J8" s="40">
        <f>C30*'E Balans VL '!D18/100/3.6*1000000+C30*'E Balans VL '!E18/100/3.6*1000000</f>
        <v>172.58309301893624</v>
      </c>
      <c r="K8" s="33"/>
      <c r="L8" s="33"/>
      <c r="M8" s="33"/>
      <c r="N8" s="33">
        <f>C30*'E Balans VL '!Y18/100/3.6*1000000</f>
        <v>31.351734696315319</v>
      </c>
      <c r="O8" s="33"/>
      <c r="P8" s="33"/>
      <c r="R8" s="32"/>
    </row>
    <row r="9" spans="1:18">
      <c r="A9" s="6" t="s">
        <v>33</v>
      </c>
      <c r="B9" s="37">
        <f t="shared" si="0"/>
        <v>2458.2752734711999</v>
      </c>
      <c r="C9" s="33"/>
      <c r="D9" s="37">
        <f>IF( ISERROR(IND_andere_gas_kWh/1000),0,IND_andere_gas_kWh/1000)*0.902</f>
        <v>1570.371815283994</v>
      </c>
      <c r="E9" s="33">
        <f>C31*'E Balans VL '!I19/100/3.6*1000000</f>
        <v>41.289744701310113</v>
      </c>
      <c r="F9" s="33">
        <f>C31*'E Balans VL '!L19/100/3.6*1000000+C31*'E Balans VL '!N19/100/3.6*1000000</f>
        <v>1921.7395958946313</v>
      </c>
      <c r="G9" s="34"/>
      <c r="H9" s="33"/>
      <c r="I9" s="33"/>
      <c r="J9" s="40">
        <f>C31*'E Balans VL '!D19/100/3.6*1000000+C31*'E Balans VL '!E19/100/3.6*1000000</f>
        <v>0.2217147295250394</v>
      </c>
      <c r="K9" s="33"/>
      <c r="L9" s="33"/>
      <c r="M9" s="33"/>
      <c r="N9" s="33">
        <f>C31*'E Balans VL '!Y19/100/3.6*1000000</f>
        <v>182.19763731882816</v>
      </c>
      <c r="O9" s="33"/>
      <c r="P9" s="33"/>
      <c r="R9" s="32"/>
    </row>
    <row r="10" spans="1:18">
      <c r="A10" s="6" t="s">
        <v>41</v>
      </c>
      <c r="B10" s="37">
        <f t="shared" si="0"/>
        <v>3611.1932897624602</v>
      </c>
      <c r="C10" s="33"/>
      <c r="D10" s="37">
        <f>IF( ISERROR(IND_voed_gas_kWh/1000),0,IND_voed_gas_kWh/1000)*0.902</f>
        <v>1340.6963109254743</v>
      </c>
      <c r="E10" s="33">
        <f>C32*'E Balans VL '!I20/100/3.6*1000000</f>
        <v>32.947026944493274</v>
      </c>
      <c r="F10" s="33">
        <f>C32*'E Balans VL '!L20/100/3.6*1000000+C32*'E Balans VL '!N20/100/3.6*1000000</f>
        <v>582.59842915463582</v>
      </c>
      <c r="G10" s="34"/>
      <c r="H10" s="33"/>
      <c r="I10" s="33"/>
      <c r="J10" s="40">
        <f>C32*'E Balans VL '!D20/100/3.6*1000000+C32*'E Balans VL '!E20/100/3.6*1000000</f>
        <v>14.873261580167075</v>
      </c>
      <c r="K10" s="33"/>
      <c r="L10" s="33"/>
      <c r="M10" s="33"/>
      <c r="N10" s="33">
        <f>C32*'E Balans VL '!Y20/100/3.6*1000000</f>
        <v>52.828910323397523</v>
      </c>
      <c r="O10" s="33"/>
      <c r="P10" s="33"/>
      <c r="R10" s="32"/>
    </row>
    <row r="11" spans="1:18">
      <c r="A11" s="6" t="s">
        <v>40</v>
      </c>
      <c r="B11" s="37">
        <f t="shared" si="0"/>
        <v>22.759767498370501</v>
      </c>
      <c r="C11" s="33"/>
      <c r="D11" s="37">
        <f>IF( ISERROR(IND_textiel_gas_kWh/1000),0,IND_textiel_gas_kWh/1000)*0.902</f>
        <v>0</v>
      </c>
      <c r="E11" s="33">
        <f>C33*'E Balans VL '!I21/100/3.6*1000000</f>
        <v>5.1910807907414348E-2</v>
      </c>
      <c r="F11" s="33">
        <f>C33*'E Balans VL '!L21/100/3.6*1000000+C33*'E Balans VL '!N21/100/3.6*1000000</f>
        <v>0.48651113986692252</v>
      </c>
      <c r="G11" s="34"/>
      <c r="H11" s="33"/>
      <c r="I11" s="33"/>
      <c r="J11" s="40">
        <f>C33*'E Balans VL '!D21/100/3.6*1000000+C33*'E Balans VL '!E21/100/3.6*1000000</f>
        <v>0</v>
      </c>
      <c r="K11" s="33"/>
      <c r="L11" s="33"/>
      <c r="M11" s="33"/>
      <c r="N11" s="33">
        <f>C33*'E Balans VL '!Y21/100/3.6*1000000</f>
        <v>0.16145472012354389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597.74560892884404</v>
      </c>
      <c r="C13" s="33"/>
      <c r="D13" s="37">
        <f>IF( ISERROR(IND_papier_gas_kWh/1000),0,IND_papier_gas_kWh/1000)*0.902</f>
        <v>252.36504112320617</v>
      </c>
      <c r="E13" s="33">
        <f>C35*'E Balans VL '!I23/100/3.6*1000000</f>
        <v>18.391072409636692</v>
      </c>
      <c r="F13" s="33">
        <f>C35*'E Balans VL '!L23/100/3.6*1000000+C35*'E Balans VL '!N23/100/3.6*1000000</f>
        <v>126.92228275039606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11677.191027495799</v>
      </c>
      <c r="C15" s="33"/>
      <c r="D15" s="37">
        <f>IF( ISERROR(IND_rest_gas_kWh/1000),0,IND_rest_gas_kWh/1000)*0.902</f>
        <v>10387.701849008601</v>
      </c>
      <c r="E15" s="33">
        <f>C37*'E Balans VL '!I15/100/3.6*1000000</f>
        <v>105.38388739273128</v>
      </c>
      <c r="F15" s="33">
        <f>C37*'E Balans VL '!L15/100/3.6*1000000+C37*'E Balans VL '!N15/100/3.6*1000000</f>
        <v>2334.3642524926618</v>
      </c>
      <c r="G15" s="34"/>
      <c r="H15" s="33"/>
      <c r="I15" s="33"/>
      <c r="J15" s="40">
        <f>C37*'E Balans VL '!D15/100/3.6*1000000+C37*'E Balans VL '!E15/100/3.6*1000000</f>
        <v>78.626640162172578</v>
      </c>
      <c r="K15" s="33"/>
      <c r="L15" s="33"/>
      <c r="M15" s="33"/>
      <c r="N15" s="33">
        <f>C37*'E Balans VL '!Y15/100/3.6*1000000</f>
        <v>210.14105902985045</v>
      </c>
      <c r="O15" s="33"/>
      <c r="P15" s="33"/>
      <c r="R15" s="32"/>
    </row>
    <row r="16" spans="1:18">
      <c r="A16" s="16" t="s">
        <v>496</v>
      </c>
      <c r="B16" s="248">
        <f>'lokale energieproductie'!N90+'lokale energieproductie'!N59</f>
        <v>2812.5</v>
      </c>
      <c r="C16" s="248">
        <f>'lokale energieproductie'!O90+'lokale energieproductie'!O59</f>
        <v>4017.8571428571431</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-8035.7142857142862</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29544.428111959183</v>
      </c>
      <c r="C18" s="21">
        <f>C5+C16</f>
        <v>4017.8571428571431</v>
      </c>
      <c r="D18" s="21">
        <f>MAX((D5+D16),0)</f>
        <v>67334.689604004467</v>
      </c>
      <c r="E18" s="21">
        <f>MAX((E5+E16),0)</f>
        <v>256.84098727333503</v>
      </c>
      <c r="F18" s="21">
        <f>MAX((F5+F16),0)</f>
        <v>5884.5131260501475</v>
      </c>
      <c r="G18" s="21"/>
      <c r="H18" s="21"/>
      <c r="I18" s="21"/>
      <c r="J18" s="21">
        <f>MAX((J5+J16),0)</f>
        <v>266.30470949080097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0.20013951501645977</v>
      </c>
      <c r="C20" s="25">
        <f ca="1">'EF ele_warmte'!B22</f>
        <v>0.18404568323179146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5913.0075137661706</v>
      </c>
      <c r="C22" s="23">
        <f ca="1">C18*C20</f>
        <v>739.46926298487642</v>
      </c>
      <c r="D22" s="23">
        <f>D18*D20</f>
        <v>13601.607300008904</v>
      </c>
      <c r="E22" s="23">
        <f>E18*E20</f>
        <v>58.302904111047056</v>
      </c>
      <c r="F22" s="23">
        <f>F18*F20</f>
        <v>1571.1650046553896</v>
      </c>
      <c r="G22" s="23"/>
      <c r="H22" s="23"/>
      <c r="I22" s="23"/>
      <c r="J22" s="23">
        <f>J18*J20</f>
        <v>94.271867159743536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8364.7631448025095</v>
      </c>
      <c r="C30" s="39">
        <f>IF(ISERROR(B30*3.6/1000000/'E Balans VL '!Z18*100),0,B30*3.6/1000000/'E Balans VL '!Z18*100)</f>
        <v>0.55684739050191667</v>
      </c>
      <c r="D30" s="238" t="s">
        <v>719</v>
      </c>
    </row>
    <row r="31" spans="1:18">
      <c r="A31" s="6" t="s">
        <v>33</v>
      </c>
      <c r="B31" s="37">
        <f>IF( ISERROR(IND_ander_ele_kWh/1000),0,IND_ander_ele_kWh/1000)</f>
        <v>2458.2752734711999</v>
      </c>
      <c r="C31" s="39">
        <f>IF(ISERROR(B31*3.6/1000000/'E Balans VL '!Z19*100),0,B31*3.6/1000000/'E Balans VL '!Z19*100)</f>
        <v>0.10896560085872245</v>
      </c>
      <c r="D31" s="238" t="s">
        <v>719</v>
      </c>
    </row>
    <row r="32" spans="1:18">
      <c r="A32" s="172" t="s">
        <v>41</v>
      </c>
      <c r="B32" s="37">
        <f>IF( ISERROR(IND_voed_ele_kWh/1000),0,IND_voed_ele_kWh/1000)</f>
        <v>3611.1932897624602</v>
      </c>
      <c r="C32" s="39">
        <f>IF(ISERROR(B32*3.6/1000000/'E Balans VL '!Z20*100),0,B32*3.6/1000000/'E Balans VL '!Z20*100)</f>
        <v>0.12062421505087552</v>
      </c>
      <c r="D32" s="238" t="s">
        <v>719</v>
      </c>
    </row>
    <row r="33" spans="1:5">
      <c r="A33" s="172" t="s">
        <v>40</v>
      </c>
      <c r="B33" s="37">
        <f>IF( ISERROR(IND_textiel_ele_kWh/1000),0,IND_textiel_ele_kWh/1000)</f>
        <v>22.759767498370501</v>
      </c>
      <c r="C33" s="39">
        <f>IF(ISERROR(B33*3.6/1000000/'E Balans VL '!Z21*100),0,B33*3.6/1000000/'E Balans VL '!Z21*100)</f>
        <v>2.9963758760942266E-3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597.74560892884404</v>
      </c>
      <c r="C35" s="39">
        <f>IF(ISERROR(B35*3.6/1000000/'E Balans VL '!Z22*100),0,B35*3.6/1000000/'E Balans VL '!Z22*100)</f>
        <v>0.11625495507437225</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11677.191027495799</v>
      </c>
      <c r="C37" s="39">
        <f>IF(ISERROR(B37*3.6/1000000/'E Balans VL '!Z15*100),0,B37*3.6/1000000/'E Balans VL '!Z15*100)</f>
        <v>8.6859277473105928E-2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6032.2850013984735</v>
      </c>
      <c r="C5" s="17">
        <f>'Eigen informatie GS &amp; warmtenet'!B60</f>
        <v>0</v>
      </c>
      <c r="D5" s="30">
        <f>IF(ISERROR(SUM(LB_lb_gas_kWh,LB_rest_gas_kWh)/1000),0,SUM(LB_lb_gas_kWh,LB_rest_gas_kWh)/1000)*0.902</f>
        <v>19998.243658559335</v>
      </c>
      <c r="E5" s="17">
        <f>B17*'E Balans VL '!I25/3.6*1000000/100</f>
        <v>63.171394471091837</v>
      </c>
      <c r="F5" s="17">
        <f>B17*('E Balans VL '!L25/3.6*1000000+'E Balans VL '!N25/3.6*1000000)/100</f>
        <v>25822.763369132579</v>
      </c>
      <c r="G5" s="18"/>
      <c r="H5" s="17"/>
      <c r="I5" s="17"/>
      <c r="J5" s="17">
        <f>('E Balans VL '!D25+'E Balans VL '!E25)/3.6*1000000*landbouw!B17/100</f>
        <v>538.73711891773792</v>
      </c>
      <c r="K5" s="17"/>
      <c r="L5" s="17">
        <f>L6*(-1)</f>
        <v>0</v>
      </c>
      <c r="M5" s="17"/>
      <c r="N5" s="17">
        <f>N6*(-1)</f>
        <v>0</v>
      </c>
      <c r="O5" s="17"/>
      <c r="P5" s="17"/>
      <c r="R5" s="32"/>
    </row>
    <row r="6" spans="1:18">
      <c r="A6" s="16" t="s">
        <v>496</v>
      </c>
      <c r="B6" s="17" t="s">
        <v>211</v>
      </c>
      <c r="C6" s="17">
        <f>'lokale energieproductie'!O92+'lokale energieproductie'!O61</f>
        <v>13795.714285714286</v>
      </c>
      <c r="D6" s="311">
        <f>('lokale energieproductie'!P61+'lokale energieproductie'!P92)*(-1)</f>
        <v>-27591.428571428572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6032.2850013984735</v>
      </c>
      <c r="C8" s="21">
        <f>C5+C6</f>
        <v>13795.714285714286</v>
      </c>
      <c r="D8" s="21">
        <f>MAX((D5+D6),0)</f>
        <v>0</v>
      </c>
      <c r="E8" s="21">
        <f>MAX((E5+E6),0)</f>
        <v>63.171394471091837</v>
      </c>
      <c r="F8" s="21">
        <f>MAX((F5+F6),0)</f>
        <v>25822.763369132579</v>
      </c>
      <c r="G8" s="21"/>
      <c r="H8" s="21"/>
      <c r="I8" s="21"/>
      <c r="J8" s="21">
        <f>MAX((J5+J6),0)</f>
        <v>538.73711891773792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0.20013951501645977</v>
      </c>
      <c r="C10" s="31">
        <f ca="1">'EF ele_warmte'!B22</f>
        <v>0.18404568323179146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1207.2985946209549</v>
      </c>
      <c r="C12" s="23">
        <f ca="1">C8*C10</f>
        <v>2539.0416613848715</v>
      </c>
      <c r="D12" s="23">
        <f>D8*D10</f>
        <v>0</v>
      </c>
      <c r="E12" s="23">
        <f>E8*E10</f>
        <v>14.339906544937847</v>
      </c>
      <c r="F12" s="23">
        <f>F8*F10</f>
        <v>6894.6778195583993</v>
      </c>
      <c r="G12" s="23"/>
      <c r="H12" s="23"/>
      <c r="I12" s="23"/>
      <c r="J12" s="23">
        <f>J8*J10</f>
        <v>190.71294009687921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0.92848510633453574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751.04104445402731</v>
      </c>
      <c r="C26" s="248">
        <f>B26*'GWP N2O_CH4'!B5</f>
        <v>15771.861933534574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403.38879693247219</v>
      </c>
      <c r="C27" s="248">
        <f>B27*'GWP N2O_CH4'!B5</f>
        <v>8471.1647355819168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11.783505430355628</v>
      </c>
      <c r="C28" s="248">
        <f>B28*'GWP N2O_CH4'!B4</f>
        <v>3652.8866834102446</v>
      </c>
      <c r="D28" s="50"/>
    </row>
    <row r="29" spans="1:4">
      <c r="A29" s="41" t="s">
        <v>277</v>
      </c>
      <c r="B29" s="248">
        <f>B34*'ha_N2O bodem landbouw'!B4</f>
        <v>32.074527334108495</v>
      </c>
      <c r="C29" s="248">
        <f>B29*'GWP N2O_CH4'!B4</f>
        <v>9943.1034735736339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5.3007368990763484E-3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6.0470646504753807E-6</v>
      </c>
      <c r="C5" s="446" t="s">
        <v>211</v>
      </c>
      <c r="D5" s="431">
        <f>SUM(D6:D11)</f>
        <v>2.9317710755046392E-5</v>
      </c>
      <c r="E5" s="431">
        <f>SUM(E6:E11)</f>
        <v>3.3361475637618669E-3</v>
      </c>
      <c r="F5" s="444" t="s">
        <v>211</v>
      </c>
      <c r="G5" s="431">
        <f>SUM(G6:G11)</f>
        <v>0.62712090520857378</v>
      </c>
      <c r="H5" s="431">
        <f>SUM(H6:H11)</f>
        <v>0.10033162026402694</v>
      </c>
      <c r="I5" s="446" t="s">
        <v>211</v>
      </c>
      <c r="J5" s="446" t="s">
        <v>211</v>
      </c>
      <c r="K5" s="446" t="s">
        <v>211</v>
      </c>
      <c r="L5" s="446" t="s">
        <v>211</v>
      </c>
      <c r="M5" s="431">
        <f>SUM(M6:M11)</f>
        <v>3.1722370969287796E-2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2.3017965901258829E-6</v>
      </c>
      <c r="C6" s="432"/>
      <c r="D6" s="432">
        <f>vkm_2011_GW_PW*SUMIFS(TableVerdeelsleutelVkm[CNG],TableVerdeelsleutelVkm[Voertuigtype],"Lichte voertuigen")*SUMIFS(TableECFTransport[EnergieConsumptieFactor (PJ per km)],TableECFTransport[Index],CONCATENATE($A6,"_CNG_CNG"))</f>
        <v>9.9227775394924599E-6</v>
      </c>
      <c r="E6" s="434">
        <f>vkm_2011_GW_PW*SUMIFS(TableVerdeelsleutelVkm[LPG],TableVerdeelsleutelVkm[Voertuigtype],"Lichte voertuigen")*SUMIFS(TableECFTransport[EnergieConsumptieFactor (PJ per km)],TableECFTransport[Index],CONCATENATE($A6,"_LPG_LPG"))</f>
        <v>1.0324041180990674E-3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0.12698854076341309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3.3433451196927505E-2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7.0304607802048726E-3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8.5284218067459269E-2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2.9242776536720863E-5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3.6841184255997275E-3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8.1626546950687862E-7</v>
      </c>
      <c r="C8" s="432"/>
      <c r="D8" s="434">
        <f>vkm_2011_NGW_PW*SUMIFS(TableVerdeelsleutelVkm[CNG],TableVerdeelsleutelVkm[Voertuigtype],"Lichte voertuigen")*SUMIFS(TableECFTransport[EnergieConsumptieFactor (PJ per km)],TableECFTransport[Index],CONCATENATE($A8,"_CNG_CNG"))</f>
        <v>6.3128587563031853E-6</v>
      </c>
      <c r="E8" s="434">
        <f>vkm_2011_NGW_PW*SUMIFS(TableVerdeelsleutelVkm[LPG],TableVerdeelsleutelVkm[Voertuigtype],"Lichte voertuigen")*SUMIFS(TableECFTransport[EnergieConsumptieFactor (PJ per km)],TableECFTransport[Index],CONCATENATE($A8,"_LPG_LPG"))</f>
        <v>5.9972009728964822E-4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6.9966526971547482E-2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2.0303971326107353E-2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3.9606820323628052E-3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1.4213679867665831E-2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4.2338818238721763E-6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6.1397473830225873E-4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2.9290025908426192E-6</v>
      </c>
      <c r="C10" s="432"/>
      <c r="D10" s="434">
        <f>vkm_2011_SW_PW*SUMIFS(TableVerdeelsleutelVkm[CNG],TableVerdeelsleutelVkm[Voertuigtype],"Lichte voertuigen")*SUMIFS(TableECFTransport[EnergieConsumptieFactor (PJ per km)],TableECFTransport[Index],CONCATENATE($A10,"_CNG_CNG"))</f>
        <v>1.3082074459250747E-5</v>
      </c>
      <c r="E10" s="434">
        <f>vkm_2011_SW_PW*SUMIFS(TableVerdeelsleutelVkm[LPG],TableVerdeelsleutelVkm[Voertuigtype],"Lichte voertuigen")*SUMIFS(TableECFTransport[EnergieConsumptieFactor (PJ per km)],TableECFTransport[Index],CONCATENATE($A10,"_LPG_LPG"))</f>
        <v>1.7040233483731513E-3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0.19269334661528636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4.6510243686766616E-2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1.04727445379887E-2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0.1379745929232018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5.0477395864882031E-5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5.9603904548294279E-3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1.6797401806876058</v>
      </c>
      <c r="C14" s="21"/>
      <c r="D14" s="21">
        <f t="shared" ref="D14:M14" si="0">((D5)*10^9/3600)+D12</f>
        <v>8.1438085430684417</v>
      </c>
      <c r="E14" s="21">
        <f t="shared" si="0"/>
        <v>926.70765660051848</v>
      </c>
      <c r="F14" s="21"/>
      <c r="G14" s="21">
        <f t="shared" si="0"/>
        <v>174200.25144682606</v>
      </c>
      <c r="H14" s="21">
        <f t="shared" si="0"/>
        <v>27869.894517785262</v>
      </c>
      <c r="I14" s="21"/>
      <c r="J14" s="21"/>
      <c r="K14" s="21"/>
      <c r="L14" s="21"/>
      <c r="M14" s="21">
        <f t="shared" si="0"/>
        <v>8811.7697136910538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0.20013951501645977</v>
      </c>
      <c r="C16" s="56">
        <f ca="1">'EF ele_warmte'!B22</f>
        <v>0.18404568323179146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0.33618238511647791</v>
      </c>
      <c r="C18" s="23"/>
      <c r="D18" s="23">
        <f t="shared" ref="D18:M18" si="1">D14*D16</f>
        <v>1.6450493256998253</v>
      </c>
      <c r="E18" s="23">
        <f t="shared" si="1"/>
        <v>210.36263804831771</v>
      </c>
      <c r="F18" s="23"/>
      <c r="G18" s="23">
        <f t="shared" si="1"/>
        <v>46511.467136302563</v>
      </c>
      <c r="H18" s="23">
        <f t="shared" si="1"/>
        <v>6939.6037349285298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7.7009254462437398E-3</v>
      </c>
      <c r="H50" s="322">
        <f t="shared" si="2"/>
        <v>0</v>
      </c>
      <c r="I50" s="322">
        <f t="shared" si="2"/>
        <v>0</v>
      </c>
      <c r="J50" s="322">
        <f t="shared" si="2"/>
        <v>0</v>
      </c>
      <c r="K50" s="322">
        <f t="shared" si="2"/>
        <v>0</v>
      </c>
      <c r="L50" s="322">
        <f t="shared" si="2"/>
        <v>0</v>
      </c>
      <c r="M50" s="322">
        <f t="shared" si="2"/>
        <v>3.2825699528322679E-4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7.7009254462437398E-3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3.2825699528322679E-4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2139.1459572899275</v>
      </c>
      <c r="H54" s="21">
        <f t="shared" si="3"/>
        <v>0</v>
      </c>
      <c r="I54" s="21">
        <f t="shared" si="3"/>
        <v>0</v>
      </c>
      <c r="J54" s="21">
        <f t="shared" si="3"/>
        <v>0</v>
      </c>
      <c r="K54" s="21">
        <f t="shared" si="3"/>
        <v>0</v>
      </c>
      <c r="L54" s="21">
        <f t="shared" si="3"/>
        <v>0</v>
      </c>
      <c r="M54" s="21">
        <f t="shared" si="3"/>
        <v>91.18249868978522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0.20013951501645977</v>
      </c>
      <c r="C56" s="56">
        <f ca="1">'EF ele_warmte'!B22</f>
        <v>0.18404568323179146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571.15197059641071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2973.3635864381308</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5183.2746809156833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12469.5</v>
      </c>
      <c r="C8" s="557">
        <f>B101</f>
        <v>11361.176470588236</v>
      </c>
      <c r="D8" s="985"/>
      <c r="E8" s="985">
        <f>E101</f>
        <v>0</v>
      </c>
      <c r="F8" s="986"/>
      <c r="G8" s="558"/>
      <c r="H8" s="985">
        <f>I101</f>
        <v>0</v>
      </c>
      <c r="I8" s="985">
        <f>G101+F101</f>
        <v>0</v>
      </c>
      <c r="J8" s="985">
        <f>H101+D101+C101</f>
        <v>3308.8235294117653</v>
      </c>
      <c r="K8" s="985"/>
      <c r="L8" s="985"/>
      <c r="M8" s="985"/>
      <c r="N8" s="559"/>
      <c r="O8" s="560">
        <f>C8*$C$12+D8*$D$12+E8*$E$12+F8*$F$12+G8*$G$12+H8*$H$12+I8*$I$12+J8*$J$12</f>
        <v>2294.957647058824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20626.138267353814</v>
      </c>
      <c r="C10" s="569">
        <f t="shared" ref="C10:L10" si="0">SUM(C8:C9)</f>
        <v>11361.176470588236</v>
      </c>
      <c r="D10" s="569">
        <f t="shared" si="0"/>
        <v>0</v>
      </c>
      <c r="E10" s="569">
        <f t="shared" si="0"/>
        <v>0</v>
      </c>
      <c r="F10" s="569">
        <f t="shared" si="0"/>
        <v>0</v>
      </c>
      <c r="G10" s="569">
        <f t="shared" si="0"/>
        <v>0</v>
      </c>
      <c r="H10" s="569">
        <f t="shared" si="0"/>
        <v>0</v>
      </c>
      <c r="I10" s="569">
        <f t="shared" si="0"/>
        <v>0</v>
      </c>
      <c r="J10" s="569">
        <f t="shared" si="0"/>
        <v>3308.8235294117653</v>
      </c>
      <c r="K10" s="569">
        <f t="shared" si="0"/>
        <v>0</v>
      </c>
      <c r="L10" s="569">
        <f t="shared" si="0"/>
        <v>0</v>
      </c>
      <c r="M10" s="980"/>
      <c r="N10" s="980"/>
      <c r="O10" s="570">
        <f>SUM(O4:O9)</f>
        <v>2294.957647058824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17813.571428571428</v>
      </c>
      <c r="C17" s="581">
        <f>B102</f>
        <v>16230.252100840336</v>
      </c>
      <c r="D17" s="582"/>
      <c r="E17" s="582">
        <f>E102</f>
        <v>0</v>
      </c>
      <c r="F17" s="583"/>
      <c r="G17" s="584"/>
      <c r="H17" s="581">
        <f>I102</f>
        <v>0</v>
      </c>
      <c r="I17" s="582">
        <f>G102+F102</f>
        <v>0</v>
      </c>
      <c r="J17" s="582">
        <f>H102+D102+C102</f>
        <v>4726.8907563025214</v>
      </c>
      <c r="K17" s="582"/>
      <c r="L17" s="582"/>
      <c r="M17" s="582"/>
      <c r="N17" s="981"/>
      <c r="O17" s="585">
        <f>C17*$C$22+E17*$E$22+H17*$H$22+I17*$I$22+J17*$J$22+D17*$D$22+F17*$F$22+G17*$G$22+K17*$K$22+L17*$L$22</f>
        <v>3278.510924369748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17813.571428571428</v>
      </c>
      <c r="C20" s="568">
        <f>SUM(C17:C19)</f>
        <v>16230.252100840336</v>
      </c>
      <c r="D20" s="568">
        <f t="shared" ref="D20:L20" si="1">SUM(D17:D19)</f>
        <v>0</v>
      </c>
      <c r="E20" s="568">
        <f t="shared" si="1"/>
        <v>0</v>
      </c>
      <c r="F20" s="568">
        <f t="shared" si="1"/>
        <v>0</v>
      </c>
      <c r="G20" s="568">
        <f t="shared" si="1"/>
        <v>0</v>
      </c>
      <c r="H20" s="568">
        <f t="shared" si="1"/>
        <v>0</v>
      </c>
      <c r="I20" s="568">
        <f t="shared" si="1"/>
        <v>0</v>
      </c>
      <c r="J20" s="568">
        <f t="shared" si="1"/>
        <v>4726.8907563025214</v>
      </c>
      <c r="K20" s="568">
        <f t="shared" si="1"/>
        <v>0</v>
      </c>
      <c r="L20" s="568">
        <f t="shared" si="1"/>
        <v>0</v>
      </c>
      <c r="M20" s="568"/>
      <c r="N20" s="568"/>
      <c r="O20" s="589">
        <f>SUM(O17:O19)</f>
        <v>3278.510924369748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31040</v>
      </c>
      <c r="C28" s="788">
        <v>8210</v>
      </c>
      <c r="D28" s="641" t="s">
        <v>965</v>
      </c>
      <c r="E28" s="640" t="s">
        <v>966</v>
      </c>
      <c r="F28" s="640" t="s">
        <v>967</v>
      </c>
      <c r="G28" s="640" t="s">
        <v>968</v>
      </c>
      <c r="H28" s="640" t="s">
        <v>969</v>
      </c>
      <c r="I28" s="640" t="s">
        <v>966</v>
      </c>
      <c r="J28" s="787">
        <v>39828</v>
      </c>
      <c r="K28" s="787">
        <v>39814</v>
      </c>
      <c r="L28" s="640" t="s">
        <v>970</v>
      </c>
      <c r="M28" s="640">
        <v>625</v>
      </c>
      <c r="N28" s="640">
        <v>2812.5</v>
      </c>
      <c r="O28" s="640">
        <v>4017.8571428571431</v>
      </c>
      <c r="P28" s="640">
        <v>0</v>
      </c>
      <c r="Q28" s="640">
        <v>8035.7142857142862</v>
      </c>
      <c r="R28" s="640">
        <v>0</v>
      </c>
      <c r="S28" s="640">
        <v>0</v>
      </c>
      <c r="T28" s="640">
        <v>0</v>
      </c>
      <c r="U28" s="640">
        <v>0</v>
      </c>
      <c r="V28" s="640">
        <v>0</v>
      </c>
      <c r="W28" s="640">
        <v>0</v>
      </c>
      <c r="X28" s="640">
        <v>500</v>
      </c>
      <c r="Y28" s="640" t="s">
        <v>41</v>
      </c>
      <c r="Z28" s="642" t="s">
        <v>391</v>
      </c>
    </row>
    <row r="29" spans="1:26" s="594" customFormat="1" ht="25.5">
      <c r="A29" s="593"/>
      <c r="B29" s="788">
        <v>31040</v>
      </c>
      <c r="C29" s="788">
        <v>8210</v>
      </c>
      <c r="D29" s="641" t="s">
        <v>971</v>
      </c>
      <c r="E29" s="640" t="s">
        <v>972</v>
      </c>
      <c r="F29" s="640" t="s">
        <v>973</v>
      </c>
      <c r="G29" s="640" t="s">
        <v>968</v>
      </c>
      <c r="H29" s="640" t="s">
        <v>969</v>
      </c>
      <c r="I29" s="640" t="s">
        <v>972</v>
      </c>
      <c r="J29" s="787">
        <v>41039</v>
      </c>
      <c r="K29" s="787">
        <v>38899</v>
      </c>
      <c r="L29" s="640" t="s">
        <v>970</v>
      </c>
      <c r="M29" s="640">
        <v>1156</v>
      </c>
      <c r="N29" s="640">
        <v>5202</v>
      </c>
      <c r="O29" s="640">
        <v>7431.4285714285716</v>
      </c>
      <c r="P29" s="640">
        <v>14862.857142857143</v>
      </c>
      <c r="Q29" s="640">
        <v>0</v>
      </c>
      <c r="R29" s="640">
        <v>0</v>
      </c>
      <c r="S29" s="640">
        <v>0</v>
      </c>
      <c r="T29" s="640">
        <v>0</v>
      </c>
      <c r="U29" s="640">
        <v>0</v>
      </c>
      <c r="V29" s="640">
        <v>0</v>
      </c>
      <c r="W29" s="640">
        <v>0</v>
      </c>
      <c r="X29" s="640">
        <v>10</v>
      </c>
      <c r="Y29" s="640" t="s">
        <v>112</v>
      </c>
      <c r="Z29" s="642" t="s">
        <v>112</v>
      </c>
    </row>
    <row r="30" spans="1:26" s="594" customFormat="1" ht="25.5">
      <c r="A30" s="593"/>
      <c r="B30" s="788">
        <v>31040</v>
      </c>
      <c r="C30" s="788">
        <v>8210</v>
      </c>
      <c r="D30" s="641" t="s">
        <v>974</v>
      </c>
      <c r="E30" s="640" t="s">
        <v>975</v>
      </c>
      <c r="F30" s="640" t="s">
        <v>976</v>
      </c>
      <c r="G30" s="640" t="s">
        <v>968</v>
      </c>
      <c r="H30" s="640" t="s">
        <v>969</v>
      </c>
      <c r="I30" s="640" t="s">
        <v>975</v>
      </c>
      <c r="J30" s="787">
        <v>40626</v>
      </c>
      <c r="K30" s="787">
        <v>40641</v>
      </c>
      <c r="L30" s="640" t="s">
        <v>970</v>
      </c>
      <c r="M30" s="640">
        <v>1485</v>
      </c>
      <c r="N30" s="640">
        <v>4455</v>
      </c>
      <c r="O30" s="640">
        <v>6364.2857142857147</v>
      </c>
      <c r="P30" s="640">
        <v>12728.571428571429</v>
      </c>
      <c r="Q30" s="640">
        <v>0</v>
      </c>
      <c r="R30" s="640">
        <v>0</v>
      </c>
      <c r="S30" s="640">
        <v>0</v>
      </c>
      <c r="T30" s="640">
        <v>0</v>
      </c>
      <c r="U30" s="640">
        <v>0</v>
      </c>
      <c r="V30" s="640">
        <v>0</v>
      </c>
      <c r="W30" s="640">
        <v>0</v>
      </c>
      <c r="X30" s="640">
        <v>10</v>
      </c>
      <c r="Y30" s="640" t="s">
        <v>112</v>
      </c>
      <c r="Z30" s="642" t="s">
        <v>112</v>
      </c>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3266</v>
      </c>
      <c r="N58" s="598">
        <f>SUM(N28:N57)</f>
        <v>12469.5</v>
      </c>
      <c r="O58" s="598">
        <f t="shared" ref="O58:W58" si="2">SUM(O28:O57)</f>
        <v>17813.571428571428</v>
      </c>
      <c r="P58" s="598">
        <f t="shared" si="2"/>
        <v>27591.428571428572</v>
      </c>
      <c r="Q58" s="598">
        <f t="shared" si="2"/>
        <v>8035.7142857142862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625</v>
      </c>
      <c r="N59" s="598">
        <f t="shared" si="3"/>
        <v>2812.5</v>
      </c>
      <c r="O59" s="598">
        <f t="shared" si="3"/>
        <v>4017.8571428571431</v>
      </c>
      <c r="P59" s="598">
        <f t="shared" si="3"/>
        <v>0</v>
      </c>
      <c r="Q59" s="598">
        <f t="shared" si="3"/>
        <v>8035.7142857142862</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2641</v>
      </c>
      <c r="N61" s="603">
        <f t="shared" si="4"/>
        <v>9657</v>
      </c>
      <c r="O61" s="603">
        <f t="shared" si="4"/>
        <v>13795.714285714286</v>
      </c>
      <c r="P61" s="603">
        <f t="shared" si="4"/>
        <v>27591.428571428572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11361.176470588236</v>
      </c>
      <c r="C101" s="632">
        <f t="shared" si="9"/>
        <v>3308.8235294117653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16230.252100840336</v>
      </c>
      <c r="C102" s="635">
        <f t="shared" si="10"/>
        <v>4726.8907563025214</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2019-08-12T09:20:52Z</dcterms:modified>
</cp:coreProperties>
</file>