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B17"/>
  <c r="B20" s="1"/>
  <c r="C98"/>
  <c r="B101" s="1"/>
  <c r="C8" s="1"/>
  <c r="D76" i="14" s="1"/>
  <c r="O18" i="18"/>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D10" s="1"/>
  <c r="E90" i="14"/>
  <c r="E18" i="55"/>
  <c r="E20" s="1"/>
  <c r="L78" i="14"/>
  <c r="L8" i="55"/>
  <c r="G78" i="14"/>
  <c r="G9" i="55"/>
  <c r="C77" i="14"/>
  <c r="C9" i="55" s="1"/>
  <c r="F9"/>
  <c r="N78" i="14"/>
  <c r="N9" i="55"/>
  <c r="N10" s="1"/>
  <c r="R25" i="14"/>
  <c r="P22"/>
  <c r="M76"/>
  <c r="M8" i="55" s="1"/>
  <c r="M10" s="1"/>
  <c r="O20"/>
  <c r="H90" i="14"/>
  <c r="K22"/>
  <c r="D22"/>
  <c r="L22"/>
  <c r="G10" i="55"/>
  <c r="L20"/>
  <c r="P31" i="48"/>
  <c r="C101" i="18"/>
  <c r="G20" i="55"/>
  <c r="M87" i="14"/>
  <c r="P32" i="48"/>
  <c r="G101" i="18"/>
  <c r="I8" s="1"/>
  <c r="F76" i="14"/>
  <c r="L10" i="55"/>
  <c r="K20"/>
  <c r="F101" i="18"/>
  <c r="O78" i="14"/>
  <c r="O9" i="55"/>
  <c r="F90" i="14"/>
  <c r="F18" i="55"/>
  <c r="F20" s="1"/>
  <c r="N90" i="14"/>
  <c r="N18" i="55"/>
  <c r="N20" s="1"/>
  <c r="L90" i="14"/>
  <c r="Q22"/>
  <c r="R9"/>
  <c r="O10" i="55"/>
  <c r="H20"/>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M90"/>
  <c r="M17" i="55"/>
  <c r="M20" s="1"/>
  <c r="Q78" i="14"/>
  <c r="B9" i="6" s="1"/>
  <c r="P9" i="55"/>
  <c r="P10" s="1"/>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E30"/>
  <c r="E24"/>
  <c r="E32"/>
  <c r="E29"/>
  <c r="E31"/>
  <c r="E28"/>
  <c r="M24"/>
  <c r="M32"/>
  <c r="M26"/>
  <c r="M30"/>
  <c r="M22"/>
  <c r="M29"/>
  <c r="M25"/>
  <c r="K5"/>
  <c r="L10" i="14"/>
  <c r="L16" s="1"/>
  <c r="L27" s="1"/>
  <c r="D30" i="48"/>
  <c r="D24"/>
  <c r="D32"/>
  <c r="D28"/>
  <c r="D29"/>
  <c r="D31"/>
  <c r="L30"/>
  <c r="L28"/>
  <c r="L22"/>
  <c r="L24"/>
  <c r="L32"/>
  <c r="L29"/>
  <c r="L27"/>
  <c r="L31"/>
  <c r="P5"/>
  <c r="P23" s="1"/>
  <c r="Q10" i="14"/>
  <c r="N10"/>
  <c r="N16" s="1"/>
  <c r="M5" i="48"/>
  <c r="K30"/>
  <c r="K32"/>
  <c r="K29"/>
  <c r="K28"/>
  <c r="K31"/>
  <c r="K24"/>
  <c r="K25"/>
  <c r="K22"/>
  <c r="K26"/>
  <c r="K27"/>
  <c r="B10"/>
  <c r="C19" i="14"/>
  <c r="J32" i="48"/>
  <c r="J31"/>
  <c r="J24"/>
  <c r="J30"/>
  <c r="J28"/>
  <c r="J29"/>
  <c r="J27"/>
  <c r="O4"/>
  <c r="P11" i="14"/>
  <c r="D4" i="48"/>
  <c r="D22" s="1"/>
  <c r="E11" i="14"/>
  <c r="H30" i="48"/>
  <c r="H32"/>
  <c r="H24"/>
  <c r="H29"/>
  <c r="H25"/>
  <c r="H28"/>
  <c r="H22"/>
  <c r="H26"/>
  <c r="H23"/>
  <c r="B8" i="9"/>
  <c r="B6" i="48" s="1"/>
  <c r="Q6" s="1"/>
  <c r="C18" i="16"/>
  <c r="F32" i="48"/>
  <c r="F29"/>
  <c r="F24"/>
  <c r="F31"/>
  <c r="F27"/>
  <c r="F30"/>
  <c r="F28"/>
  <c r="N32"/>
  <c r="N31"/>
  <c r="N30"/>
  <c r="N29"/>
  <c r="N28"/>
  <c r="N24"/>
  <c r="N27"/>
  <c r="J10" i="14"/>
  <c r="J16" s="1"/>
  <c r="J27" s="1"/>
  <c r="I5" i="48"/>
  <c r="Q11" i="14"/>
  <c r="P4" i="48"/>
  <c r="I28"/>
  <c r="I27"/>
  <c r="I24"/>
  <c r="I32"/>
  <c r="I30"/>
  <c r="I31"/>
  <c r="I25"/>
  <c r="I26"/>
  <c r="I29"/>
  <c r="I22"/>
  <c r="H12" i="22"/>
  <c r="I18" i="14"/>
  <c r="H13" i="48"/>
  <c r="H31" s="1"/>
  <c r="C4"/>
  <c r="D11" i="14"/>
  <c r="G30" i="48"/>
  <c r="G32"/>
  <c r="G25"/>
  <c r="G29"/>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P10" i="14"/>
  <c r="O5" i="48"/>
  <c r="O23" s="1"/>
  <c r="N18" i="14"/>
  <c r="M13" i="48"/>
  <c r="M31" s="1"/>
  <c r="G12" i="22"/>
  <c r="G13" i="48"/>
  <c r="H18" i="14"/>
  <c r="R18" s="1"/>
  <c r="M23" i="48"/>
  <c r="L46" i="14"/>
  <c r="L61" s="1"/>
  <c r="L63" s="1"/>
  <c r="G11"/>
  <c r="F4" i="48"/>
  <c r="F22" s="1"/>
  <c r="P22" i="16"/>
  <c r="Q43" i="14" s="1"/>
  <c r="Q13"/>
  <c r="Q16" s="1"/>
  <c r="Q27" s="1"/>
  <c r="P8" i="48"/>
  <c r="P26" s="1"/>
  <c r="I33"/>
  <c r="J63" i="14"/>
  <c r="P22" i="48"/>
  <c r="O22"/>
  <c r="H9"/>
  <c r="I20" i="14"/>
  <c r="I22" s="1"/>
  <c r="I27" s="1"/>
  <c r="I23" i="48"/>
  <c r="I15"/>
  <c r="D16" i="15"/>
  <c r="D5" i="48" s="1"/>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H27"/>
  <c r="H33" s="1"/>
  <c r="H15"/>
  <c r="E20" i="14"/>
  <c r="E22" s="1"/>
  <c r="D9" i="48"/>
  <c r="D27" s="1"/>
  <c r="P13" i="14"/>
  <c r="P16" s="1"/>
  <c r="P27" s="1"/>
  <c r="O8" i="48"/>
  <c r="O26" s="1"/>
  <c r="N4"/>
  <c r="N22" s="1"/>
  <c r="O11" i="14"/>
  <c r="J4" i="48"/>
  <c r="J22" s="1"/>
  <c r="K11" i="14"/>
  <c r="G31" i="48"/>
  <c r="Q13"/>
  <c r="O33"/>
  <c r="P46" i="14"/>
  <c r="P61" s="1"/>
  <c r="Q46"/>
  <c r="Q61" s="1"/>
  <c r="Q63" s="1"/>
  <c r="E10"/>
  <c r="D20" i="15"/>
  <c r="E40" i="14" s="1"/>
  <c r="P15" i="48"/>
  <c r="P33"/>
  <c r="G14" i="22"/>
  <c r="O15" i="48"/>
  <c r="M10"/>
  <c r="M28" s="1"/>
  <c r="N19" i="14"/>
  <c r="E12" i="13"/>
  <c r="F41" i="14" s="1"/>
  <c r="E4" i="48"/>
  <c r="F11" i="14"/>
  <c r="R11" s="1"/>
  <c r="H19"/>
  <c r="R19" s="1"/>
  <c r="G10"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2" l="1"/>
  <c r="N52"/>
  <c r="N61" s="1"/>
  <c r="R20"/>
  <c r="C22"/>
  <c r="G9" i="48"/>
  <c r="Q9" s="1"/>
  <c r="H20" i="14"/>
  <c r="H22" s="1"/>
  <c r="H27" s="1"/>
  <c r="H63" s="1"/>
  <c r="G28" i="48"/>
  <c r="Q10"/>
  <c r="B15"/>
  <c r="E22"/>
  <c r="Q4"/>
  <c r="M18" i="22"/>
  <c r="N50" i="14" s="1"/>
  <c r="N20"/>
  <c r="N22" s="1"/>
  <c r="N27" s="1"/>
  <c r="M9" i="48"/>
  <c r="P63" i="14"/>
  <c r="D15" i="48"/>
  <c r="J5"/>
  <c r="K10" i="14"/>
  <c r="E20" i="15"/>
  <c r="F40" i="14" s="1"/>
  <c r="E5" i="48"/>
  <c r="F10" i="14"/>
  <c r="L15" i="48"/>
  <c r="Q7"/>
  <c r="R24" i="14"/>
  <c r="R26" s="1"/>
  <c r="J18" i="16"/>
  <c r="N18"/>
  <c r="E18"/>
  <c r="F18"/>
  <c r="F22" s="1"/>
  <c r="G43" i="14" s="1"/>
  <c r="M27" i="48" l="1"/>
  <c r="M33" s="1"/>
  <c r="M15"/>
  <c r="N63" i="14"/>
  <c r="G27" i="48"/>
  <c r="G33" s="1"/>
  <c r="G15"/>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<sst xmlns="http://schemas.openxmlformats.org/spreadsheetml/2006/main" count="2496" uniqueCount="965">
  <si>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</si>
  <si>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</si>
  <si>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</si>
  <si>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</si>
  <si>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</si>
  <si>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</si>
  <si>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</si>
  <si>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</si>
  <si>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</si>
  <si>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</si>
  <si>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</si>
  <si>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</si>
  <si>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</si>
  <si>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</si>
  <si>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</si>
  <si>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</si>
  <si>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</si>
  <si>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</si>
  <si>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</si>
  <si>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</si>
  <si>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</si>
  <si>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</si>
  <si>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</si>
  <si>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</si>
  <si>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</si>
  <si>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</si>
  <si>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</si>
  <si>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</si>
  <si>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</si>
  <si>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</si>
  <si>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</si>
  <si>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</si>
  <si>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</si>
  <si>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</si>
  <si>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</si>
  <si>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</si>
  <si>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</si>
  <si>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</si>
  <si>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</si>
  <si>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</si>
  <si>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</si>
  <si>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</si>
  <si>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</si>
  <si>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</si>
  <si>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</si>
  <si>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</si>
  <si>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</si>
  <si>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</si>
  <si>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</si>
  <si>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</si>
  <si>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</si>
  <si>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</si>
  <si>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</si>
  <si>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</si>
  <si>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</si>
  <si>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</si>
  <si>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</si>
  <si>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</si>
  <si>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</si>
  <si>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</si>
  <si>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</si>
  <si>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</si>
  <si>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</si>
  <si>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</si>
  <si>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</si>
  <si>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</si>
  <si>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</si>
  <si>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</si>
  <si>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</si>
  <si>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</si>
  <si>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</si>
  <si>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</si>
  <si>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</si>
  <si>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</si>
  <si>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</si>
  <si>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</si>
  <si>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</si>
  <si>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</si>
  <si>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</si>
  <si>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</si>
  <si>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</si>
  <si>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</si>
  <si>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</si>
  <si>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</si>
  <si>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</si>
  <si>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</si>
  <si>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</si>
  <si>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</si>
  <si>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</si>
  <si>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</si>
  <si>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</si>
  <si>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</si>
  <si>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</si>
  <si>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</si>
  <si>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</si>
  <si>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</si>
  <si>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</si>
  <si>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</si>
  <si>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</si>
  <si>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</si>
  <si>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</si>
  <si>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</si>
  <si>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</si>
  <si>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</si>
  <si>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</si>
  <si>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</si>
  <si>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</si>
  <si>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</si>
  <si>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</si>
  <si>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</si>
  <si>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</si>
  <si>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</si>
  <si>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</si>
  <si>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</si>
  <si>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</si>
  <si>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</si>
  <si>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</si>
  <si>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</si>
  <si>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</si>
  <si>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</si>
  <si>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</si>
  <si>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</si>
  <si>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</si>
  <si>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</si>
  <si>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</si>
  <si>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</si>
  <si>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</si>
  <si>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</si>
  <si>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</si>
  <si>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</si>
  <si>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</si>
  <si>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</si>
  <si>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</si>
  <si>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</si>
  <si>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</si>
  <si>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</si>
  <si>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</si>
  <si>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</si>
  <si>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</si>
  <si>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</si>
  <si>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</si>
  <si>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</si>
  <si>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</si>
  <si>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</si>
  <si>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</si>
  <si>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</si>
  <si>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</si>
  <si>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</si>
  <si>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</si>
  <si>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</si>
  <si>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</si>
  <si>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</si>
  <si>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</si>
  <si>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</si>
  <si>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</si>
  <si>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</si>
  <si>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</si>
  <si>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</si>
  <si>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</si>
  <si>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</si>
  <si>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</si>
  <si>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</si>
  <si>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</si>
  <si>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</si>
  <si>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</si>
  <si>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</si>
  <si>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</si>
  <si>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</si>
  <si>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</si>
  <si>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</si>
  <si>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</si>
  <si>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</si>
  <si>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</si>
  <si>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</si>
  <si>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</si>
  <si>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</si>
  <si>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</si>
  <si>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</si>
  <si>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</si>
  <si>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</si>
  <si>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</si>
  <si>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</si>
  <si>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</si>
  <si>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</si>
  <si>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</si>
  <si>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</si>
  <si>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</si>
  <si>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</si>
  <si>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</si>
  <si>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</si>
  <si>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</si>
  <si>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</si>
  <si>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</si>
  <si>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</si>
  <si>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</si>
  <si>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</si>
  <si>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</si>
  <si>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</si>
  <si>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</si>
  <si>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</si>
  <si>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</si>
  <si>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</si>
  <si>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</si>
  <si>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</si>
  <si>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</si>
  <si>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</si>
  <si>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</si>
  <si>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</si>
  <si>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</si>
  <si>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</si>
  <si>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</si>
  <si>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</si>
  <si>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</si>
  <si>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</si>
  <si>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</si>
  <si>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</si>
  <si>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</si>
  <si>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</si>
  <si>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</si>
  <si>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</si>
  <si>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</si>
  <si>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</si>
  <si>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</si>
  <si>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</si>
  <si>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</si>
  <si>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</si>
  <si>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</si>
  <si>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</si>
  <si>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</si>
  <si>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</si>
  <si>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</si>
  <si>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</si>
  <si>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</si>
  <si>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</si>
  <si>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</si>
  <si>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</si>
  <si>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</si>
  <si>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</si>
  <si>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</si>
  <si>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</si>
  <si>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</si>
  <si>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</si>
  <si>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</si>
  <si>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</si>
  <si>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</si>
  <si>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</si>
  <si>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</si>
  <si>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</si>
  <si>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</si>
  <si>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</si>
  <si>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</si>
  <si>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</si>
  <si>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</si>
  <si>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</si>
  <si>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</si>
  <si>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</si>
  <si>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</si>
  <si>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</si>
  <si>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</si>
  <si>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</si>
  <si>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</si>
  <si>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</si>
  <si>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</si>
  <si>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</si>
  <si>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</si>
  <si>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</si>
  <si>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</si>
  <si>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</si>
  <si>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</si>
  <si>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</si>
  <si>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</si>
  <si>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</si>
  <si>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</si>
  <si>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</si>
  <si>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</si>
  <si>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</si>
  <si>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</si>
  <si>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</si>
  <si>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</si>
  <si>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</si>
  <si>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</si>
  <si>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</si>
  <si>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</si>
  <si>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</si>
  <si>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</si>
  <si>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</si>
  <si>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</si>
  <si>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</si>
  <si>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</si>
  <si>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</si>
  <si>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</si>
  <si>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</si>
  <si>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</si>
  <si>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</si>
  <si>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</si>
  <si>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</si>
  <si>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</si>
  <si>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</si>
  <si>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</si>
  <si>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</si>
  <si>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</si>
  <si>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</si>
  <si>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</si>
  <si>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</si>
  <si>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</si>
  <si>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</si>
  <si>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</si>
  <si>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</si>
  <si>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</si>
  <si>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</si>
  <si>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</si>
  <si>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</si>
  <si>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</si>
  <si>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</si>
  <si>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</si>
  <si>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</si>
  <si>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</si>
  <si>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</si>
  <si>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</si>
  <si>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</si>
  <si>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</si>
  <si>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</si>
  <si>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</si>
  <si>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</si>
  <si>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</si>
  <si>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</si>
  <si>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</si>
  <si>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</si>
  <si>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</si>
  <si>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</si>
  <si>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</si>
  <si>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</si>
  <si>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</si>
  <si>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</si>
  <si>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</si>
  <si>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</si>
  <si>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</si>
  <si>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</si>
  <si>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</si>
  <si>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</si>
  <si>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</si>
  <si>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</si>
  <si>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</si>
  <si>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</si>
  <si>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</si>
  <si>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</si>
  <si>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</si>
  <si>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</si>
  <si>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</si>
  <si>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</si>
  <si>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</si>
  <si>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</si>
  <si>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</si>
  <si>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</si>
  <si>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</si>
  <si>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</si>
  <si>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</si>
  <si>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</si>
  <si>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</si>
  <si>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</si>
  <si>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</si>
  <si>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</si>
  <si>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</si>
  <si>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</si>
  <si>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</si>
  <si>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</si>
  <si>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</si>
  <si>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</si>
  <si>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</si>
  <si>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</si>
  <si>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</si>
  <si>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</si>
  <si>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</si>
  <si>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</si>
  <si>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</si>
  <si>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</si>
  <si>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</si>
  <si>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</si>
  <si>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</si>
  <si>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</si>
  <si>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</si>
  <si>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</si>
  <si>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</si>
  <si>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</si>
  <si>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</si>
  <si>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</si>
  <si>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</si>
  <si>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</si>
  <si>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</si>
  <si>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</si>
  <si>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</si>
  <si>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</si>
  <si>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</si>
  <si>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</si>
  <si>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</si>
  <si>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</si>
  <si>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</si>
  <si>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</si>
  <si>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</si>
  <si>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</si>
  <si>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</si>
  <si>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</si>
  <si>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</si>
  <si>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</si>
  <si>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</si>
  <si>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</si>
  <si>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</si>
  <si>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</si>
  <si>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</si>
  <si>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</si>
  <si>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</si>
  <si>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</si>
  <si>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</si>
  <si>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</si>
  <si>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</si>
  <si>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</si>
  <si>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</si>
  <si>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</si>
  <si>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</si>
  <si>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</si>
  <si>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</si>
  <si>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</si>
  <si>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</si>
  <si>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</si>
  <si>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</si>
  <si>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</si>
  <si>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</si>
  <si>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</si>
  <si>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</si>
  <si>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</si>
  <si>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</si>
  <si>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</si>
  <si>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</si>
  <si>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</si>
  <si>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</si>
  <si>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</si>
  <si>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</si>
  <si>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</si>
  <si>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</si>
  <si>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</si>
  <si>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</si>
  <si>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</si>
  <si>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</si>
  <si>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</si>
  <si>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</si>
  <si>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</si>
  <si>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</si>
  <si>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</si>
  <si>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</si>
  <si>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</si>
  <si>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</si>
  <si>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</si>
  <si>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</si>
  <si>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</si>
  <si>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</si>
  <si>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</si>
  <si>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</si>
  <si>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</si>
  <si>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</si>
  <si>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</si>
  <si>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</si>
  <si>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</si>
  <si>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</si>
  <si>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</si>
  <si>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</si>
  <si>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</si>
  <si>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</si>
  <si>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</si>
  <si>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</si>
  <si>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</si>
  <si>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</si>
  <si>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</si>
  <si>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</si>
  <si>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</si>
  <si>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</si>
  <si>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</si>
  <si>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</si>
  <si>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</si>
  <si>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</si>
  <si>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</si>
  <si>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</si>
  <si>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</si>
  <si>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</si>
  <si>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</si>
  <si>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</si>
  <si>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</si>
  <si>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</si>
  <si>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</si>
  <si>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</si>
  <si>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</si>
  <si>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</si>
  <si>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</si>
  <si>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</si>
  <si>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</si>
  <si>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</si>
  <si>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</si>
  <si>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</si>
  <si>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</si>
  <si>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</si>
  <si>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</si>
  <si>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</si>
  <si>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</si>
  <si>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</si>
  <si>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</si>
  <si>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</si>
  <si>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</si>
  <si>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</si>
  <si>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</si>
  <si>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</si>
  <si>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</si>
  <si>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</si>
  <si>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</si>
  <si>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</si>
  <si>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</si>
  <si>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</si>
  <si>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</si>
  <si>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</si>
  <si>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</si>
  <si>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</si>
  <si>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</si>
  <si>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</si>
  <si>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</si>
  <si>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</si>
  <si>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</si>
  <si>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</si>
  <si>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</si>
  <si>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</si>
  <si>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</si>
  <si>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</si>
  <si>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</si>
  <si>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</si>
  <si>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</si>
  <si>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</si>
  <si>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</si>
  <si>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</si>
  <si>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</si>
  <si>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</si>
  <si>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</si>
  <si>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</si>
  <si>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</si>
  <si>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</si>
  <si>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</si>
  <si>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</si>
  <si>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</si>
  <si>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</si>
  <si>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</si>
  <si>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</si>
  <si>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</si>
  <si>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</si>
  <si>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</si>
  <si>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</si>
  <si>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</si>
  <si>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</si>
  <si>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</si>
  <si>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</si>
  <si>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</si>
  <si>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</si>
  <si>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</si>
  <si>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</si>
  <si>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</si>
  <si>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</si>
  <si>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</si>
  <si>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</si>
  <si>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</si>
  <si>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</si>
  <si>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</si>
  <si>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</si>
  <si>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</si>
  <si>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</si>
  <si>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</si>
  <si>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</si>
  <si>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</si>
  <si>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</si>
  <si>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</si>
  <si>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</si>
  <si>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</si>
  <si>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</si>
  <si>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</si>
  <si>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</si>
  <si>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</si>
  <si>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</si>
  <si>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</si>
  <si>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</si>
  <si>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</si>
  <si>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</si>
  <si>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</si>
  <si>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</si>
  <si>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</si>
  <si>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</si>
  <si>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</si>
  <si>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</si>
  <si>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</si>
  <si>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</si>
  <si>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</si>
  <si>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</si>
  <si>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</si>
  <si>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</si>
  <si>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</si>
  <si>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</si>
  <si>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</si>
  <si>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</si>
  <si>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</si>
  <si>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</si>
  <si>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</si>
  <si>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</si>
  <si>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</si>
  <si>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</si>
  <si>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</si>
  <si>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</si>
  <si>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</si>
  <si>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</si>
  <si>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</si>
  <si>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</si>
  <si>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</si>
  <si>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</si>
  <si>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</si>
  <si>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</si>
  <si>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</si>
  <si>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</si>
  <si>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</si>
  <si>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</si>
  <si>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</si>
  <si>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</si>
  <si>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</si>
  <si>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</si>
  <si>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</si>
  <si>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</si>
  <si>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</si>
  <si>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</si>
  <si>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</si>
  <si>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</si>
  <si>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</si>
  <si>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</si>
  <si>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</si>
  <si>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</si>
  <si>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</si>
  <si>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</si>
  <si>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</si>
  <si>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</si>
  <si>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</si>
  <si>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</si>
  <si>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</si>
  <si>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</si>
  <si>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</si>
  <si>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</si>
  <si>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</si>
  <si>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</si>
  <si>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</si>
  <si>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</si>
  <si>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</si>
  <si>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</si>
  <si>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</si>
  <si>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</si>
  <si>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</si>
  <si>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</si>
  <si>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</si>
  <si>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</si>
  <si>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</si>
  <si>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</si>
  <si>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</si>
  <si>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</si>
  <si>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</si>
  <si>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</si>
  <si>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</si>
  <si>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</si>
  <si>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</si>
  <si>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</si>
  <si>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</si>
  <si>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</si>
  <si>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</si>
  <si>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</si>
  <si>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</si>
  <si>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</si>
  <si>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</si>
  <si>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</si>
  <si>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</si>
  <si>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</si>
  <si>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</si>
  <si>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</si>
  <si>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</si>
  <si>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</si>
  <si>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</si>
  <si>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</si>
  <si>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</si>
  <si>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</si>
  <si>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</si>
  <si>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</si>
  <si>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</si>
  <si>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</si>
  <si>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</si>
  <si>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</si>
  <si>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</si>
  <si>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</si>
  <si>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</si>
  <si>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</si>
  <si>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</si>
  <si>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</si>
  <si>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</si>
  <si>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</si>
  <si>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</si>
  <si>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</si>
  <si>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</si>
  <si>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</si>
  <si>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</si>
  <si>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</si>
  <si>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</si>
  <si>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</si>
  <si>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</si>
  <si>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</si>
  <si>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</si>
  <si>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</si>
  <si>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</si>
  <si>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</si>
  <si>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</si>
  <si>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</si>
  <si>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</si>
  <si>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</si>
  <si>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</si>
  <si>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</si>
  <si>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</si>
  <si>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</si>
  <si>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</si>
  <si>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</si>
  <si>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</si>
  <si>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</si>
  <si>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</si>
  <si>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</si>
  <si>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</si>
  <si>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</si>
  <si>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</si>
  <si>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</si>
  <si>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</si>
  <si>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</si>
  <si>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</si>
  <si>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</si>
  <si>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</si>
  <si>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</si>
  <si>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</si>
  <si>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</si>
  <si>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</si>
  <si>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</si>
  <si>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</si>
  <si>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</si>
  <si>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</si>
  <si>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</si>
  <si>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</si>
  <si>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</si>
  <si>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</si>
  <si>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</si>
  <si>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</si>
  <si>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</si>
  <si>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</si>
  <si>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</si>
  <si>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</si>
  <si>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</si>
  <si>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</si>
  <si>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</si>
  <si>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</si>
  <si>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</si>
  <si>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</si>
  <si>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</si>
  <si>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</si>
  <si>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</si>
  <si>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</si>
  <si>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</si>
  <si>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</si>
  <si>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</si>
  <si>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</si>
  <si>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</si>
  <si>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</si>
  <si>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</si>
  <si>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</si>
  <si>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</si>
  <si>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</si>
  <si>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</si>
  <si>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</si>
  <si>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</si>
  <si>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</si>
  <si>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</si>
  <si>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</si>
  <si>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</si>
  <si>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</si>
  <si>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</si>
  <si>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</si>
  <si>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</si>
  <si>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</si>
  <si>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</si>
  <si>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</si>
  <si>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</si>
  <si>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</si>
  <si>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</si>
  <si>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</si>
  <si>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</si>
  <si>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</si>
  <si>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</si>
  <si>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</si>
  <si>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</si>
  <si>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</si>
  <si>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</si>
  <si>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</si>
  <si>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</si>
  <si>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</si>
  <si>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</si>
  <si>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</si>
  <si>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</si>
  <si>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</si>
  <si>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</si>
  <si>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</si>
  <si>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</si>
  <si>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</si>
  <si>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</si>
  <si>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</si>
  <si>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</si>
  <si>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</si>
  <si>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</si>
  <si>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</si>
  <si>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</si>
  <si>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</si>
  <si>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</si>
  <si>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</si>
  <si>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</si>
  <si>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</si>
  <si>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</si>
  <si>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</si>
  <si>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</si>
  <si>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</si>
  <si>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</si>
  <si>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</si>
  <si>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</si>
  <si>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</si>
  <si>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</si>
  <si>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</si>
  <si>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</si>
  <si>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</si>
  <si>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</si>
  <si>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</si>
  <si>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</si>
  <si>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</si>
  <si>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</si>
  <si>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</si>
  <si>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</si>
  <si>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</si>
  <si>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</si>
  <si>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</si>
  <si>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</si>
  <si>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</si>
  <si>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</si>
  <si>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</si>
  <si>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</si>
  <si>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</si>
  <si>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</si>
  <si>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</si>
  <si>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</si>
  <si>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</si>
  <si>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</si>
  <si>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</si>
  <si>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</si>
  <si>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</si>
  <si>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</si>
  <si>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</si>
  <si>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</si>
  <si>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</si>
  <si>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</si>
  <si>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</si>
  <si>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</si>
  <si>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</si>
  <si>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</si>
  <si>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</si>
  <si>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</si>
  <si>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</si>
  <si>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</si>
  <si>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</si>
  <si>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</si>
  <si>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</si>
  <si>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</si>
  <si>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</si>
  <si>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</si>
  <si>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</si>
  <si>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</si>
  <si>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</si>
  <si>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</si>
  <si>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</si>
  <si>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</si>
  <si>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</si>
  <si>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</si>
  <si>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</si>
  <si>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</si>
  <si>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</si>
  <si>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</si>
  <si>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</si>
  <si>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</si>
  <si>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</si>
  <si>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</si>
  <si>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</si>
  <si>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</si>
  <si>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</si>
  <si>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</si>
  <si>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</si>
  <si>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</si>
  <si>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</si>
  <si>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</si>
  <si>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</si>
  <si>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</si>
  <si>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</si>
  <si>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</si>
  <si>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</si>
  <si>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</si>
  <si>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</si>
  <si>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</si>
  <si>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</si>
  <si>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</si>
  <si>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</si>
  <si>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</si>
  <si>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</si>
  <si>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</si>
  <si>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</si>
  <si>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</si>
  <si>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</si>
  <si>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</si>
  <si>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</si>
  <si>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</si>
  <si>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</si>
  <si>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</si>
  <si>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</si>
  <si>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</si>
  <si>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</si>
  <si>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</si>
  <si>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</si>
  <si>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</si>
  <si>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</si>
  <si>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</si>
  <si>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</si>
  <si>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</si>
  <si>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</si>
  <si>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</si>
  <si>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</si>
  <si>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</si>
  <si>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</si>
  <si>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</si>
  <si>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</si>
  <si>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</si>
  <si>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</si>
  <si>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</si>
  <si>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</si>
  <si>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</si>
  <si>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</si>
  <si>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</si>
  <si>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</si>
  <si>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</si>
  <si>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</si>
  <si>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</si>
  <si>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</si>
  <si>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</si>
  <si>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</si>
  <si>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</si>
  <si>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</si>
  <si>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31004</t>
  </si>
  <si>
    <t>BLANKENBERGE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</si>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</sst>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31004</v>
      </c>
      <c r="B6" s="396"/>
      <c r="C6" s="397"/>
    </row>
    <row r="7" spans="1:7" s="394" customFormat="1" ht="15.75" customHeight="1">
      <c r="A7" s="398" t="str">
        <f>txtMunicipality</f>
        <v>BLANKENBERGE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0.2179030803603457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0.2179030803603457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9655</v>
      </c>
      <c r="C9" s="336">
        <v>10266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1073</v>
      </c>
    </row>
    <row r="15" spans="1:6">
      <c r="A15" s="1277" t="s">
        <v>184</v>
      </c>
      <c r="B15" s="333">
        <v>4</v>
      </c>
    </row>
    <row r="16" spans="1:6">
      <c r="A16" s="1277" t="s">
        <v>6</v>
      </c>
      <c r="B16" s="333">
        <v>142</v>
      </c>
    </row>
    <row r="17" spans="1:6">
      <c r="A17" s="1277" t="s">
        <v>7</v>
      </c>
      <c r="B17" s="333">
        <v>143</v>
      </c>
    </row>
    <row r="18" spans="1:6">
      <c r="A18" s="1277" t="s">
        <v>8</v>
      </c>
      <c r="B18" s="333">
        <v>183</v>
      </c>
    </row>
    <row r="19" spans="1:6">
      <c r="A19" s="1277" t="s">
        <v>9</v>
      </c>
      <c r="B19" s="333">
        <v>191</v>
      </c>
    </row>
    <row r="20" spans="1:6">
      <c r="A20" s="1277" t="s">
        <v>10</v>
      </c>
      <c r="B20" s="333">
        <v>242</v>
      </c>
    </row>
    <row r="21" spans="1:6">
      <c r="A21" s="1277" t="s">
        <v>11</v>
      </c>
      <c r="B21" s="333">
        <v>940</v>
      </c>
    </row>
    <row r="22" spans="1:6">
      <c r="A22" s="1277" t="s">
        <v>12</v>
      </c>
      <c r="B22" s="333">
        <v>4726</v>
      </c>
    </row>
    <row r="23" spans="1:6">
      <c r="A23" s="1277" t="s">
        <v>13</v>
      </c>
      <c r="B23" s="333">
        <v>57</v>
      </c>
    </row>
    <row r="24" spans="1:6">
      <c r="A24" s="1277" t="s">
        <v>14</v>
      </c>
      <c r="B24" s="333">
        <v>6</v>
      </c>
    </row>
    <row r="25" spans="1:6">
      <c r="A25" s="1277" t="s">
        <v>15</v>
      </c>
      <c r="B25" s="333">
        <v>351</v>
      </c>
    </row>
    <row r="26" spans="1:6">
      <c r="A26" s="1277" t="s">
        <v>16</v>
      </c>
      <c r="B26" s="333">
        <v>23</v>
      </c>
    </row>
    <row r="27" spans="1:6">
      <c r="A27" s="1277" t="s">
        <v>17</v>
      </c>
      <c r="B27" s="333">
        <v>2</v>
      </c>
    </row>
    <row r="28" spans="1:6">
      <c r="A28" s="1277" t="s">
        <v>18</v>
      </c>
      <c r="B28" s="333">
        <v>2</v>
      </c>
    </row>
    <row r="29" spans="1:6">
      <c r="A29" s="1277" t="s">
        <v>959</v>
      </c>
      <c r="B29" s="333">
        <v>56</v>
      </c>
    </row>
    <row r="30" spans="1:6">
      <c r="A30" s="1273" t="s">
        <v>960</v>
      </c>
      <c r="B30" s="1273">
        <v>14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12953</v>
      </c>
    </row>
    <row r="37" spans="1:6">
      <c r="A37" s="1277" t="s">
        <v>25</v>
      </c>
      <c r="B37" s="1277" t="s">
        <v>28</v>
      </c>
      <c r="C37" s="333">
        <v>0</v>
      </c>
      <c r="D37" s="333">
        <v>0</v>
      </c>
      <c r="E37" s="333">
        <v>0</v>
      </c>
      <c r="F37" s="333">
        <v>0</v>
      </c>
    </row>
    <row r="38" spans="1:6">
      <c r="A38" s="1277" t="s">
        <v>25</v>
      </c>
      <c r="B38" s="1277" t="s">
        <v>29</v>
      </c>
      <c r="C38" s="333">
        <v>1</v>
      </c>
      <c r="D38" s="333">
        <v>104036.379155663</v>
      </c>
      <c r="E38" s="333">
        <v>1</v>
      </c>
      <c r="F38" s="333">
        <v>2642</v>
      </c>
    </row>
    <row r="39" spans="1:6">
      <c r="A39" s="1277" t="s">
        <v>30</v>
      </c>
      <c r="B39" s="1277" t="s">
        <v>31</v>
      </c>
      <c r="C39" s="333">
        <v>10269</v>
      </c>
      <c r="D39" s="333">
        <v>110636408.795424</v>
      </c>
      <c r="E39" s="333">
        <v>15691</v>
      </c>
      <c r="F39" s="333">
        <v>40221605.738184899</v>
      </c>
    </row>
    <row r="40" spans="1:6">
      <c r="A40" s="1277" t="s">
        <v>30</v>
      </c>
      <c r="B40" s="1277" t="s">
        <v>29</v>
      </c>
      <c r="C40" s="333">
        <v>0</v>
      </c>
      <c r="D40" s="333">
        <v>0</v>
      </c>
      <c r="E40" s="333">
        <v>1</v>
      </c>
      <c r="F40" s="333">
        <v>2691.0263955189998</v>
      </c>
    </row>
    <row r="41" spans="1:6">
      <c r="A41" s="1277" t="s">
        <v>32</v>
      </c>
      <c r="B41" s="1277" t="s">
        <v>33</v>
      </c>
      <c r="C41" s="333">
        <v>104</v>
      </c>
      <c r="D41" s="333">
        <v>1143605.3626569801</v>
      </c>
      <c r="E41" s="333">
        <v>254</v>
      </c>
      <c r="F41" s="333">
        <v>1492841.2550135001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11</v>
      </c>
      <c r="F44" s="333">
        <v>54202.153322785998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63142.7587149592</v>
      </c>
      <c r="E47" s="333">
        <v>6</v>
      </c>
      <c r="F47" s="333">
        <v>71176.267975986804</v>
      </c>
    </row>
    <row r="48" spans="1:6">
      <c r="A48" s="1277" t="s">
        <v>32</v>
      </c>
      <c r="B48" s="1277" t="s">
        <v>29</v>
      </c>
      <c r="C48" s="333">
        <v>28</v>
      </c>
      <c r="D48" s="333">
        <v>990729.66594638606</v>
      </c>
      <c r="E48" s="333">
        <v>27</v>
      </c>
      <c r="F48" s="333">
        <v>215415.52962776899</v>
      </c>
    </row>
    <row r="49" spans="1:6">
      <c r="A49" s="1277" t="s">
        <v>32</v>
      </c>
      <c r="B49" s="1277" t="s">
        <v>40</v>
      </c>
      <c r="C49" s="333">
        <v>0</v>
      </c>
      <c r="D49" s="333">
        <v>0</v>
      </c>
      <c r="E49" s="333">
        <v>0</v>
      </c>
      <c r="F49" s="333">
        <v>0</v>
      </c>
    </row>
    <row r="50" spans="1:6">
      <c r="A50" s="1277" t="s">
        <v>32</v>
      </c>
      <c r="B50" s="1277" t="s">
        <v>41</v>
      </c>
      <c r="C50" s="333">
        <v>14</v>
      </c>
      <c r="D50" s="333">
        <v>612813.60367082397</v>
      </c>
      <c r="E50" s="333">
        <v>29</v>
      </c>
      <c r="F50" s="333">
        <v>737997.45544963598</v>
      </c>
    </row>
    <row r="51" spans="1:6">
      <c r="A51" s="1277" t="s">
        <v>42</v>
      </c>
      <c r="B51" s="1277" t="s">
        <v>43</v>
      </c>
      <c r="C51" s="333">
        <v>4</v>
      </c>
      <c r="D51" s="333">
        <v>57523.415749531501</v>
      </c>
      <c r="E51" s="333">
        <v>21</v>
      </c>
      <c r="F51" s="333">
        <v>324514.27956216101</v>
      </c>
    </row>
    <row r="52" spans="1:6">
      <c r="A52" s="1277" t="s">
        <v>42</v>
      </c>
      <c r="B52" s="1277" t="s">
        <v>29</v>
      </c>
      <c r="C52" s="333">
        <v>2</v>
      </c>
      <c r="D52" s="333">
        <v>98417.291931986794</v>
      </c>
      <c r="E52" s="333">
        <v>11</v>
      </c>
      <c r="F52" s="333">
        <v>44759.350953520399</v>
      </c>
    </row>
    <row r="53" spans="1:6">
      <c r="A53" s="1277" t="s">
        <v>44</v>
      </c>
      <c r="B53" s="1277" t="s">
        <v>45</v>
      </c>
      <c r="C53" s="333">
        <v>413</v>
      </c>
      <c r="D53" s="333">
        <v>7626473.0295916703</v>
      </c>
      <c r="E53" s="333">
        <v>766</v>
      </c>
      <c r="F53" s="333">
        <v>3163201.96478813</v>
      </c>
    </row>
    <row r="54" spans="1:6">
      <c r="A54" s="1277" t="s">
        <v>46</v>
      </c>
      <c r="B54" s="1277" t="s">
        <v>47</v>
      </c>
      <c r="C54" s="333">
        <v>0</v>
      </c>
      <c r="D54" s="333">
        <v>0</v>
      </c>
      <c r="E54" s="333">
        <v>2</v>
      </c>
      <c r="F54" s="333">
        <v>1807882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79</v>
      </c>
      <c r="D57" s="333">
        <v>7045457.5323067</v>
      </c>
      <c r="E57" s="333">
        <v>217</v>
      </c>
      <c r="F57" s="333">
        <v>6202995.80850509</v>
      </c>
    </row>
    <row r="58" spans="1:6">
      <c r="A58" s="1277" t="s">
        <v>49</v>
      </c>
      <c r="B58" s="1277" t="s">
        <v>51</v>
      </c>
      <c r="C58" s="333">
        <v>25</v>
      </c>
      <c r="D58" s="333">
        <v>1150373.1404999101</v>
      </c>
      <c r="E58" s="333">
        <v>36</v>
      </c>
      <c r="F58" s="333">
        <v>801055.15185439202</v>
      </c>
    </row>
    <row r="59" spans="1:6">
      <c r="A59" s="1277" t="s">
        <v>49</v>
      </c>
      <c r="B59" s="1277" t="s">
        <v>52</v>
      </c>
      <c r="C59" s="333">
        <v>216</v>
      </c>
      <c r="D59" s="333">
        <v>5512024.4588644104</v>
      </c>
      <c r="E59" s="333">
        <v>453</v>
      </c>
      <c r="F59" s="333">
        <v>10038079.933161501</v>
      </c>
    </row>
    <row r="60" spans="1:6">
      <c r="A60" s="1277" t="s">
        <v>49</v>
      </c>
      <c r="B60" s="1277" t="s">
        <v>53</v>
      </c>
      <c r="C60" s="333">
        <v>277</v>
      </c>
      <c r="D60" s="333">
        <v>18981921.637326401</v>
      </c>
      <c r="E60" s="333">
        <v>390</v>
      </c>
      <c r="F60" s="333">
        <v>15389027.261207299</v>
      </c>
    </row>
    <row r="61" spans="1:6">
      <c r="A61" s="1277" t="s">
        <v>49</v>
      </c>
      <c r="B61" s="1277" t="s">
        <v>54</v>
      </c>
      <c r="C61" s="333">
        <v>330</v>
      </c>
      <c r="D61" s="333">
        <v>20874162.349718198</v>
      </c>
      <c r="E61" s="333">
        <v>1140</v>
      </c>
      <c r="F61" s="333">
        <v>8081526.0530594997</v>
      </c>
    </row>
    <row r="62" spans="1:6">
      <c r="A62" s="1277" t="s">
        <v>49</v>
      </c>
      <c r="B62" s="1277" t="s">
        <v>55</v>
      </c>
      <c r="C62" s="333">
        <v>11</v>
      </c>
      <c r="D62" s="333">
        <v>2207940.1002698299</v>
      </c>
      <c r="E62" s="333">
        <v>11</v>
      </c>
      <c r="F62" s="333">
        <v>523077.84494122199</v>
      </c>
    </row>
    <row r="63" spans="1:6">
      <c r="A63" s="1277" t="s">
        <v>49</v>
      </c>
      <c r="B63" s="1277" t="s">
        <v>29</v>
      </c>
      <c r="C63" s="333">
        <v>117</v>
      </c>
      <c r="D63" s="333">
        <v>7567569.3418174796</v>
      </c>
      <c r="E63" s="333">
        <v>85</v>
      </c>
      <c r="F63" s="333">
        <v>5299155.9053531401</v>
      </c>
    </row>
    <row r="64" spans="1:6">
      <c r="A64" s="1277" t="s">
        <v>56</v>
      </c>
      <c r="B64" s="1277" t="s">
        <v>57</v>
      </c>
      <c r="C64" s="333">
        <v>0</v>
      </c>
      <c r="D64" s="333">
        <v>0</v>
      </c>
      <c r="E64" s="333">
        <v>0</v>
      </c>
      <c r="F64" s="333">
        <v>0</v>
      </c>
    </row>
    <row r="65" spans="1:6">
      <c r="A65" s="1277" t="s">
        <v>56</v>
      </c>
      <c r="B65" s="1277" t="s">
        <v>29</v>
      </c>
      <c r="C65" s="333">
        <v>4</v>
      </c>
      <c r="D65" s="333">
        <v>64102.671513362598</v>
      </c>
      <c r="E65" s="333">
        <v>2</v>
      </c>
      <c r="F65" s="333">
        <v>131536.42910328001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85530.111468130402</v>
      </c>
      <c r="E68" s="333">
        <v>19</v>
      </c>
      <c r="F68" s="333">
        <v>1980240.4413232501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30204131</v>
      </c>
      <c r="E73" s="333">
        <v>32682016.793456338</v>
      </c>
      <c r="F73" s="333">
        <v>29104815</v>
      </c>
    </row>
    <row r="74" spans="1:6">
      <c r="A74" s="1277" t="s">
        <v>64</v>
      </c>
      <c r="B74" s="1277" t="s">
        <v>774</v>
      </c>
      <c r="C74" s="1288" t="s">
        <v>775</v>
      </c>
      <c r="D74" s="333">
        <v>2524392.6261171307</v>
      </c>
      <c r="E74" s="333">
        <v>2703703.1123822075</v>
      </c>
      <c r="F74" s="333">
        <v>2538540.0281419698</v>
      </c>
    </row>
    <row r="75" spans="1:6">
      <c r="A75" s="1277" t="s">
        <v>65</v>
      </c>
      <c r="B75" s="1277" t="s">
        <v>772</v>
      </c>
      <c r="C75" s="1288" t="s">
        <v>776</v>
      </c>
      <c r="D75" s="333">
        <v>3936870</v>
      </c>
      <c r="E75" s="333">
        <v>4191559.1006153799</v>
      </c>
      <c r="F75" s="333">
        <v>3904692</v>
      </c>
    </row>
    <row r="76" spans="1:6">
      <c r="A76" s="1277" t="s">
        <v>65</v>
      </c>
      <c r="B76" s="1277" t="s">
        <v>774</v>
      </c>
      <c r="C76" s="1288" t="s">
        <v>777</v>
      </c>
      <c r="D76" s="333">
        <v>497962.62611713068</v>
      </c>
      <c r="E76" s="333">
        <v>564811.34522573266</v>
      </c>
      <c r="F76" s="333">
        <v>525184.02814196981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104100.74776573868</v>
      </c>
      <c r="C83" s="333">
        <v>93789.801308087044</v>
      </c>
      <c r="D83" s="333">
        <v>92995.943716060428</v>
      </c>
    </row>
    <row r="84" spans="1:6">
      <c r="A84" s="1273" t="s">
        <v>337</v>
      </c>
      <c r="B84" s="336">
        <v>226616.0491294479</v>
      </c>
      <c r="C84" s="336">
        <v>231794.81043736063</v>
      </c>
      <c r="D84" s="336">
        <v>229678.71763141002</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900.9354178496344</v>
      </c>
    </row>
    <row r="92" spans="1:6">
      <c r="A92" s="1273" t="s">
        <v>69</v>
      </c>
      <c r="B92" s="336">
        <v>446.7323878395793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5834</v>
      </c>
    </row>
    <row r="98" spans="1:6">
      <c r="A98" s="1277" t="s">
        <v>72</v>
      </c>
      <c r="B98" s="333">
        <v>2</v>
      </c>
    </row>
    <row r="99" spans="1:6">
      <c r="A99" s="1277" t="s">
        <v>73</v>
      </c>
      <c r="B99" s="333">
        <v>23</v>
      </c>
    </row>
    <row r="100" spans="1:6">
      <c r="A100" s="1277" t="s">
        <v>74</v>
      </c>
      <c r="B100" s="333">
        <v>1053</v>
      </c>
    </row>
    <row r="101" spans="1:6">
      <c r="A101" s="1277" t="s">
        <v>75</v>
      </c>
      <c r="B101" s="333">
        <v>28</v>
      </c>
    </row>
    <row r="102" spans="1:6">
      <c r="A102" s="1277" t="s">
        <v>76</v>
      </c>
      <c r="B102" s="333">
        <v>279</v>
      </c>
    </row>
    <row r="103" spans="1:6">
      <c r="A103" s="1277" t="s">
        <v>77</v>
      </c>
      <c r="B103" s="333">
        <v>58</v>
      </c>
    </row>
    <row r="104" spans="1:6">
      <c r="A104" s="1277" t="s">
        <v>78</v>
      </c>
      <c r="B104" s="333">
        <v>885</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1</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96171.234553105751</v>
      </c>
      <c r="C3" s="43" t="s">
        <v>170</v>
      </c>
      <c r="D3" s="43"/>
      <c r="E3" s="156"/>
      <c r="F3" s="43"/>
      <c r="G3" s="43"/>
      <c r="H3" s="43"/>
      <c r="I3" s="43"/>
      <c r="J3" s="43"/>
      <c r="K3" s="96"/>
    </row>
    <row r="4" spans="1:11">
      <c r="A4" s="364" t="s">
        <v>171</v>
      </c>
      <c r="B4" s="49">
        <f>IF(ISERROR('SEAP template'!B78+'SEAP template'!C78),0,'SEAP template'!B78+'SEAP template'!C78)</f>
        <v>1347.6678056892138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0.2179030803603457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1807.8820000000001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1807.8820000000001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0.2179030803603457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393.9430567280225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40224.296764580424</v>
      </c>
      <c r="C5" s="17">
        <f>IF(ISERROR('Eigen informatie GS &amp; warmtenet'!B57),0,'Eigen informatie GS &amp; warmtenet'!B57)</f>
        <v>0</v>
      </c>
      <c r="D5" s="30">
        <f>(SUM(HH_hh_gas_kWh,HH_rest_gas_kWh)/1000)*0.902</f>
        <v>99794.040733472444</v>
      </c>
      <c r="E5" s="17">
        <f>B46*B57</f>
        <v>0</v>
      </c>
      <c r="F5" s="17">
        <f>B51*B62</f>
        <v>0</v>
      </c>
      <c r="G5" s="18"/>
      <c r="H5" s="17"/>
      <c r="I5" s="17"/>
      <c r="J5" s="17">
        <f>B50*B61+C50*C61</f>
        <v>0</v>
      </c>
      <c r="K5" s="17"/>
      <c r="L5" s="17"/>
      <c r="M5" s="17"/>
      <c r="N5" s="17">
        <f>B48*B59+C48*C59</f>
        <v>0</v>
      </c>
      <c r="O5" s="17">
        <f>B69*B70*B71</f>
        <v>40.646666666666668</v>
      </c>
      <c r="P5" s="17">
        <f>B77*B78*B79/1000-B77*B78*B79/1000/B80</f>
        <v>19.066666666666666</v>
      </c>
    </row>
    <row r="6" spans="1:16">
      <c r="A6" s="16" t="s">
        <v>632</v>
      </c>
      <c r="B6" s="779">
        <f>kWh_PV_kleiner_dan_10kW</f>
        <v>900.9354178496344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41125.23218243006</v>
      </c>
      <c r="C8" s="21">
        <f>C5</f>
        <v>0</v>
      </c>
      <c r="D8" s="21">
        <f>D5</f>
        <v>99794.040733472444</v>
      </c>
      <c r="E8" s="21">
        <f>E5</f>
        <v>0</v>
      </c>
      <c r="F8" s="21">
        <f>F5</f>
        <v>0</v>
      </c>
      <c r="G8" s="21"/>
      <c r="H8" s="21"/>
      <c r="I8" s="21"/>
      <c r="J8" s="21">
        <f>J5</f>
        <v>0</v>
      </c>
      <c r="K8" s="21"/>
      <c r="L8" s="21">
        <f>L5</f>
        <v>0</v>
      </c>
      <c r="M8" s="21">
        <f>M5</f>
        <v>0</v>
      </c>
      <c r="N8" s="21">
        <f>N5</f>
        <v>0</v>
      </c>
      <c r="O8" s="21">
        <f>O5</f>
        <v>40.646666666666668</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0.2179030803603457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8961.3147730859328</v>
      </c>
      <c r="C12" s="23">
        <f ca="1">C10*C8</f>
        <v>0</v>
      </c>
      <c r="D12" s="23">
        <f>D8*D10</f>
        <v>20158.396228161437</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5834</v>
      </c>
      <c r="C18" s="167" t="s">
        <v>111</v>
      </c>
      <c r="D18" s="229"/>
      <c r="E18" s="15"/>
    </row>
    <row r="19" spans="1:7">
      <c r="A19" s="172" t="s">
        <v>72</v>
      </c>
      <c r="B19" s="37">
        <f>aantalw2001_ander</f>
        <v>2</v>
      </c>
      <c r="C19" s="167" t="s">
        <v>111</v>
      </c>
      <c r="D19" s="230"/>
      <c r="E19" s="15"/>
    </row>
    <row r="20" spans="1:7">
      <c r="A20" s="172" t="s">
        <v>73</v>
      </c>
      <c r="B20" s="37">
        <f>aantalw2001_propaan</f>
        <v>23</v>
      </c>
      <c r="C20" s="168">
        <f>IF(ISERROR(B20/SUM($B$20,$B$21,$B$22)*100),0,B20/SUM($B$20,$B$21,$B$22)*100)</f>
        <v>2.083333333333333</v>
      </c>
      <c r="D20" s="230"/>
      <c r="E20" s="15"/>
    </row>
    <row r="21" spans="1:7">
      <c r="A21" s="172" t="s">
        <v>74</v>
      </c>
      <c r="B21" s="37">
        <f>aantalw2001_elektriciteit</f>
        <v>1053</v>
      </c>
      <c r="C21" s="168">
        <f>IF(ISERROR(B21/SUM($B$20,$B$21,$B$22)*100),0,B21/SUM($B$20,$B$21,$B$22)*100)</f>
        <v>95.380434782608688</v>
      </c>
      <c r="D21" s="230"/>
      <c r="E21" s="15"/>
    </row>
    <row r="22" spans="1:7">
      <c r="A22" s="172" t="s">
        <v>75</v>
      </c>
      <c r="B22" s="37">
        <f>aantalw2001_hout</f>
        <v>28</v>
      </c>
      <c r="C22" s="168">
        <f>IF(ISERROR(B22/SUM($B$20,$B$21,$B$22)*100),0,B22/SUM($B$20,$B$21,$B$22)*100)</f>
        <v>2.5362318840579712</v>
      </c>
      <c r="D22" s="230"/>
      <c r="E22" s="15"/>
    </row>
    <row r="23" spans="1:7">
      <c r="A23" s="172" t="s">
        <v>76</v>
      </c>
      <c r="B23" s="37">
        <f>aantalw2001_niet_gespec</f>
        <v>279</v>
      </c>
      <c r="C23" s="167" t="s">
        <v>111</v>
      </c>
      <c r="D23" s="229"/>
      <c r="E23" s="15"/>
    </row>
    <row r="24" spans="1:7">
      <c r="A24" s="172" t="s">
        <v>77</v>
      </c>
      <c r="B24" s="37">
        <f>aantalw2001_steenkool</f>
        <v>58</v>
      </c>
      <c r="C24" s="167" t="s">
        <v>111</v>
      </c>
      <c r="D24" s="230"/>
      <c r="E24" s="15"/>
    </row>
    <row r="25" spans="1:7">
      <c r="A25" s="172" t="s">
        <v>78</v>
      </c>
      <c r="B25" s="37">
        <f>aantalw2001_stookolie</f>
        <v>885</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9655</v>
      </c>
      <c r="C28" s="36"/>
      <c r="D28" s="229"/>
    </row>
    <row r="29" spans="1:7" s="15" customFormat="1">
      <c r="A29" s="231" t="s">
        <v>713</v>
      </c>
      <c r="B29" s="37">
        <f>SUM(HH_hh_gas_aantal,HH_rest_gas_aantal)</f>
        <v>10269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10269</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10269</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46334.917958082144</v>
      </c>
      <c r="C5" s="17">
        <f>IF(ISERROR('Eigen informatie GS &amp; warmtenet'!B58),0,'Eigen informatie GS &amp; warmtenet'!B58)</f>
        <v>0</v>
      </c>
      <c r="D5" s="30">
        <f>SUM(D6:D12)</f>
        <v>57132.182601844237</v>
      </c>
      <c r="E5" s="17">
        <f>SUM(E6:E12)</f>
        <v>1354.7609876791544</v>
      </c>
      <c r="F5" s="17">
        <f>SUM(F6:F12)</f>
        <v>8719.8362856528056</v>
      </c>
      <c r="G5" s="18"/>
      <c r="H5" s="17"/>
      <c r="I5" s="17"/>
      <c r="J5" s="17">
        <f>SUM(J6:J12)</f>
        <v>0</v>
      </c>
      <c r="K5" s="17"/>
      <c r="L5" s="17"/>
      <c r="M5" s="17"/>
      <c r="N5" s="17">
        <f>SUM(N6:N12)</f>
        <v>1655.5823301938647</v>
      </c>
      <c r="O5" s="17">
        <f>B38*B39*B40</f>
        <v>1.5633333333333335</v>
      </c>
      <c r="P5" s="17">
        <f>B46*B47*B48/1000-B46*B47*B48/1000/B49</f>
        <v>19.066666666666666</v>
      </c>
      <c r="R5" s="32"/>
    </row>
    <row r="6" spans="1:18">
      <c r="A6" s="32" t="s">
        <v>54</v>
      </c>
      <c r="B6" s="37">
        <f>B26</f>
        <v>8081.5260530594996</v>
      </c>
      <c r="C6" s="33"/>
      <c r="D6" s="37">
        <f>IF(ISERROR(TER_kantoor_gas_kWh/1000),0,TER_kantoor_gas_kWh/1000)*0.902</f>
        <v>18828.494439445814</v>
      </c>
      <c r="E6" s="33">
        <f>$C$26*'E Balans VL '!I12/100/3.6*1000000</f>
        <v>282.88520253300135</v>
      </c>
      <c r="F6" s="33">
        <f>$C$26*('E Balans VL '!L12+'E Balans VL '!N12)/100/3.6*1000000</f>
        <v>1225.3328583079503</v>
      </c>
      <c r="G6" s="34"/>
      <c r="H6" s="33"/>
      <c r="I6" s="33"/>
      <c r="J6" s="33">
        <f>$C$26*('E Balans VL '!D12+'E Balans VL '!E12)/100/3.6*1000000</f>
        <v>0</v>
      </c>
      <c r="K6" s="33"/>
      <c r="L6" s="33"/>
      <c r="M6" s="33"/>
      <c r="N6" s="33">
        <f>$C$26*'E Balans VL '!Y12/100/3.6*1000000</f>
        <v>62.467666942108863</v>
      </c>
      <c r="O6" s="33"/>
      <c r="P6" s="33"/>
      <c r="R6" s="32"/>
    </row>
    <row r="7" spans="1:18">
      <c r="A7" s="32" t="s">
        <v>53</v>
      </c>
      <c r="B7" s="37">
        <f t="shared" ref="B7:B12" si="0">B27</f>
        <v>15389.027261207299</v>
      </c>
      <c r="C7" s="33"/>
      <c r="D7" s="37">
        <f>IF(ISERROR(TER_horeca_gas_kWh/1000),0,TER_horeca_gas_kWh/1000)*0.902</f>
        <v>17121.693316868412</v>
      </c>
      <c r="E7" s="33">
        <f>$C$27*'E Balans VL '!I9/100/3.6*1000000</f>
        <v>868.14576176022229</v>
      </c>
      <c r="F7" s="33">
        <f>$C$27*('E Balans VL '!L9+'E Balans VL '!N9)/100/3.6*1000000</f>
        <v>2680.8537128726289</v>
      </c>
      <c r="G7" s="34"/>
      <c r="H7" s="33"/>
      <c r="I7" s="33"/>
      <c r="J7" s="33">
        <f>$C$27*('E Balans VL '!D9+'E Balans VL '!E9)/100/3.6*1000000</f>
        <v>0</v>
      </c>
      <c r="K7" s="33"/>
      <c r="L7" s="33"/>
      <c r="M7" s="33"/>
      <c r="N7" s="33">
        <f>$C$27*'E Balans VL '!Y9/100/3.6*1000000</f>
        <v>0</v>
      </c>
      <c r="O7" s="33"/>
      <c r="P7" s="33"/>
      <c r="R7" s="32"/>
    </row>
    <row r="8" spans="1:18">
      <c r="A8" s="6" t="s">
        <v>52</v>
      </c>
      <c r="B8" s="37">
        <f t="shared" si="0"/>
        <v>10038.079933161502</v>
      </c>
      <c r="C8" s="33"/>
      <c r="D8" s="37">
        <f>IF(ISERROR(TER_handel_gas_kWh/1000),0,TER_handel_gas_kWh/1000)*0.902</f>
        <v>4971.8460618956979</v>
      </c>
      <c r="E8" s="33">
        <f>$C$28*'E Balans VL '!I13/100/3.6*1000000</f>
        <v>51.534482522721262</v>
      </c>
      <c r="F8" s="33">
        <f>$C$28*('E Balans VL '!L13+'E Balans VL '!N13)/100/3.6*1000000</f>
        <v>1547.7168214363892</v>
      </c>
      <c r="G8" s="34"/>
      <c r="H8" s="33"/>
      <c r="I8" s="33"/>
      <c r="J8" s="33">
        <f>$C$28*('E Balans VL '!D13+'E Balans VL '!E13)/100/3.6*1000000</f>
        <v>0</v>
      </c>
      <c r="K8" s="33"/>
      <c r="L8" s="33"/>
      <c r="M8" s="33"/>
      <c r="N8" s="33">
        <f>$C$28*'E Balans VL '!Y13/100/3.6*1000000</f>
        <v>4.6949325159983859</v>
      </c>
      <c r="O8" s="33"/>
      <c r="P8" s="33"/>
      <c r="R8" s="32"/>
    </row>
    <row r="9" spans="1:18">
      <c r="A9" s="32" t="s">
        <v>51</v>
      </c>
      <c r="B9" s="37">
        <f t="shared" si="0"/>
        <v>801.05515185439208</v>
      </c>
      <c r="C9" s="33"/>
      <c r="D9" s="37">
        <f>IF(ISERROR(TER_gezond_gas_kWh/1000),0,TER_gezond_gas_kWh/1000)*0.902</f>
        <v>1037.6365727309189</v>
      </c>
      <c r="E9" s="33">
        <f>$C$29*'E Balans VL '!I10/100/3.6*1000000</f>
        <v>0.33203165553331676</v>
      </c>
      <c r="F9" s="33">
        <f>$C$29*('E Balans VL '!L10+'E Balans VL '!N10)/100/3.6*1000000</f>
        <v>197.28839523835737</v>
      </c>
      <c r="G9" s="34"/>
      <c r="H9" s="33"/>
      <c r="I9" s="33"/>
      <c r="J9" s="33">
        <f>$C$29*('E Balans VL '!D10+'E Balans VL '!E10)/100/3.6*1000000</f>
        <v>0</v>
      </c>
      <c r="K9" s="33"/>
      <c r="L9" s="33"/>
      <c r="M9" s="33"/>
      <c r="N9" s="33">
        <f>$C$29*'E Balans VL '!Y10/100/3.6*1000000</f>
        <v>6.923099223749082</v>
      </c>
      <c r="O9" s="33"/>
      <c r="P9" s="33"/>
      <c r="R9" s="32"/>
    </row>
    <row r="10" spans="1:18">
      <c r="A10" s="32" t="s">
        <v>50</v>
      </c>
      <c r="B10" s="37">
        <f t="shared" si="0"/>
        <v>6202.9958085050903</v>
      </c>
      <c r="C10" s="33"/>
      <c r="D10" s="37">
        <f>IF(ISERROR(TER_ander_gas_kWh/1000),0,TER_ander_gas_kWh/1000)*0.902</f>
        <v>6355.0026941406441</v>
      </c>
      <c r="E10" s="33">
        <f>$C$30*'E Balans VL '!I14/100/3.6*1000000</f>
        <v>37.813615493285909</v>
      </c>
      <c r="F10" s="33">
        <f>$C$30*('E Balans VL '!L14+'E Balans VL '!N14)/100/3.6*1000000</f>
        <v>1644.499160238551</v>
      </c>
      <c r="G10" s="34"/>
      <c r="H10" s="33"/>
      <c r="I10" s="33"/>
      <c r="J10" s="33">
        <f>$C$30*('E Balans VL '!D14+'E Balans VL '!E14)/100/3.6*1000000</f>
        <v>0</v>
      </c>
      <c r="K10" s="33"/>
      <c r="L10" s="33"/>
      <c r="M10" s="33"/>
      <c r="N10" s="33">
        <f>$C$30*'E Balans VL '!Y14/100/3.6*1000000</f>
        <v>1429.6564969866806</v>
      </c>
      <c r="O10" s="33"/>
      <c r="P10" s="33"/>
      <c r="R10" s="32"/>
    </row>
    <row r="11" spans="1:18">
      <c r="A11" s="32" t="s">
        <v>55</v>
      </c>
      <c r="B11" s="37">
        <f t="shared" si="0"/>
        <v>523.077844941222</v>
      </c>
      <c r="C11" s="33"/>
      <c r="D11" s="37">
        <f>IF(ISERROR(TER_onderwijs_gas_kWh/1000),0,TER_onderwijs_gas_kWh/1000)*0.902</f>
        <v>1991.5619704433868</v>
      </c>
      <c r="E11" s="33">
        <f>$C$31*'E Balans VL '!I11/100/3.6*1000000</f>
        <v>0.39861255479633745</v>
      </c>
      <c r="F11" s="33">
        <f>$C$31*('E Balans VL '!L11+'E Balans VL '!N11)/100/3.6*1000000</f>
        <v>378.52779445809512</v>
      </c>
      <c r="G11" s="34"/>
      <c r="H11" s="33"/>
      <c r="I11" s="33"/>
      <c r="J11" s="33">
        <f>$C$31*('E Balans VL '!D11+'E Balans VL '!E11)/100/3.6*1000000</f>
        <v>0</v>
      </c>
      <c r="K11" s="33"/>
      <c r="L11" s="33"/>
      <c r="M11" s="33"/>
      <c r="N11" s="33">
        <f>$C$31*'E Balans VL '!Y11/100/3.6*1000000</f>
        <v>1.5416354223687332</v>
      </c>
      <c r="O11" s="33"/>
      <c r="P11" s="33"/>
      <c r="R11" s="32"/>
    </row>
    <row r="12" spans="1:18">
      <c r="A12" s="32" t="s">
        <v>260</v>
      </c>
      <c r="B12" s="37">
        <f t="shared" si="0"/>
        <v>5299.15590535314</v>
      </c>
      <c r="C12" s="33"/>
      <c r="D12" s="37">
        <f>IF(ISERROR(TER_rest_gas_kWh/1000),0,TER_rest_gas_kWh/1000)*0.902</f>
        <v>6825.9475463193667</v>
      </c>
      <c r="E12" s="33">
        <f>$C$32*'E Balans VL '!I8/100/3.6*1000000</f>
        <v>113.65128115959428</v>
      </c>
      <c r="F12" s="33">
        <f>$C$32*('E Balans VL '!L8+'E Balans VL '!N8)/100/3.6*1000000</f>
        <v>1045.6175431008335</v>
      </c>
      <c r="G12" s="34"/>
      <c r="H12" s="33"/>
      <c r="I12" s="33"/>
      <c r="J12" s="33">
        <f>$C$32*('E Balans VL '!D8+'E Balans VL '!E8)/100/3.6*1000000</f>
        <v>0</v>
      </c>
      <c r="K12" s="33"/>
      <c r="L12" s="33"/>
      <c r="M12" s="33"/>
      <c r="N12" s="33">
        <f>$C$32*'E Balans VL '!Y8/100/3.6*1000000</f>
        <v>150.29849910295917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46334.917958082144</v>
      </c>
      <c r="C16" s="21">
        <f ca="1">C5+C13+C14</f>
        <v>0</v>
      </c>
      <c r="D16" s="21">
        <f t="shared" ref="D16:N16" ca="1" si="1">MAX((D5+D13+D14),0)</f>
        <v>57132.182601844237</v>
      </c>
      <c r="E16" s="21">
        <f t="shared" si="1"/>
        <v>1354.7609876791544</v>
      </c>
      <c r="F16" s="21">
        <f t="shared" ca="1" si="1"/>
        <v>8719.8362856528056</v>
      </c>
      <c r="G16" s="21">
        <f t="shared" si="1"/>
        <v>0</v>
      </c>
      <c r="H16" s="21">
        <f t="shared" si="1"/>
        <v>0</v>
      </c>
      <c r="I16" s="21">
        <f t="shared" si="1"/>
        <v>0</v>
      </c>
      <c r="J16" s="21">
        <f t="shared" si="1"/>
        <v>0</v>
      </c>
      <c r="K16" s="21">
        <f t="shared" si="1"/>
        <v>0</v>
      </c>
      <c r="L16" s="21">
        <f t="shared" ca="1" si="1"/>
        <v>0</v>
      </c>
      <c r="M16" s="21">
        <f t="shared" si="1"/>
        <v>0</v>
      </c>
      <c r="N16" s="21">
        <f t="shared" ca="1" si="1"/>
        <v>1655.5823301938647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0.2179030803603457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10096.521351309999</v>
      </c>
      <c r="C20" s="23">
        <f t="shared" ref="C20:P20" ca="1" si="2">C16*C18</f>
        <v>0</v>
      </c>
      <c r="D20" s="23">
        <f t="shared" ca="1" si="2"/>
        <v>11540.700885572536</v>
      </c>
      <c r="E20" s="23">
        <f t="shared" si="2"/>
        <v>307.53074420316807</v>
      </c>
      <c r="F20" s="23">
        <f t="shared" ca="1" si="2"/>
        <v>2328.1962882692992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8081.5260530594996</v>
      </c>
      <c r="C26" s="39">
        <f>IF(ISERROR(B26*3.6/1000000/'E Balans VL '!Z12*100),0,B26*3.6/1000000/'E Balans VL '!Z12*100)</f>
        <v>0.17006231358449431</v>
      </c>
      <c r="D26" s="238" t="s">
        <v>719</v>
      </c>
      <c r="F26" s="6"/>
    </row>
    <row r="27" spans="1:18">
      <c r="A27" s="232" t="s">
        <v>53</v>
      </c>
      <c r="B27" s="33">
        <f>IF(ISERROR(TER_horeca_ele_kWh/1000),0,TER_horeca_ele_kWh/1000)</f>
        <v>15389.027261207299</v>
      </c>
      <c r="C27" s="39">
        <f>IF(ISERROR(B27*3.6/1000000/'E Balans VL '!Z9*100),0,B27*3.6/1000000/'E Balans VL '!Z9*100)</f>
        <v>1.3029456954402732</v>
      </c>
      <c r="D27" s="238" t="s">
        <v>719</v>
      </c>
      <c r="F27" s="6"/>
    </row>
    <row r="28" spans="1:18">
      <c r="A28" s="172" t="s">
        <v>52</v>
      </c>
      <c r="B28" s="33">
        <f>IF(ISERROR(TER_handel_ele_kWh/1000),0,TER_handel_ele_kWh/1000)</f>
        <v>10038.079933161502</v>
      </c>
      <c r="C28" s="39">
        <f>IF(ISERROR(B28*3.6/1000000/'E Balans VL '!Z13*100),0,B28*3.6/1000000/'E Balans VL '!Z13*100)</f>
        <v>0.27790285489346228</v>
      </c>
      <c r="D28" s="238" t="s">
        <v>719</v>
      </c>
      <c r="F28" s="6"/>
    </row>
    <row r="29" spans="1:18">
      <c r="A29" s="232" t="s">
        <v>51</v>
      </c>
      <c r="B29" s="33">
        <f>IF(ISERROR(TER_gezond_ele_kWh/1000),0,TER_gezond_ele_kWh/1000)</f>
        <v>801.05515185439208</v>
      </c>
      <c r="C29" s="39">
        <f>IF(ISERROR(B29*3.6/1000000/'E Balans VL '!Z10*100),0,B29*3.6/1000000/'E Balans VL '!Z10*100)</f>
        <v>0.10412828900931063</v>
      </c>
      <c r="D29" s="238" t="s">
        <v>719</v>
      </c>
      <c r="F29" s="6"/>
    </row>
    <row r="30" spans="1:18">
      <c r="A30" s="232" t="s">
        <v>50</v>
      </c>
      <c r="B30" s="33">
        <f>IF(ISERROR(TER_ander_ele_kWh/1000),0,TER_ander_ele_kWh/1000)</f>
        <v>6202.9958085050903</v>
      </c>
      <c r="C30" s="39">
        <f>IF(ISERROR(B30*3.6/1000000/'E Balans VL '!Z14*100),0,B30*3.6/1000000/'E Balans VL '!Z14*100)</f>
        <v>0.480789060976274</v>
      </c>
      <c r="D30" s="238" t="s">
        <v>719</v>
      </c>
      <c r="F30" s="6"/>
    </row>
    <row r="31" spans="1:18">
      <c r="A31" s="232" t="s">
        <v>55</v>
      </c>
      <c r="B31" s="33">
        <f>IF(ISERROR(TER_onderwijs_ele_kWh/1000),0,TER_onderwijs_ele_kWh/1000)</f>
        <v>523.077844941222</v>
      </c>
      <c r="C31" s="39">
        <f>IF(ISERROR(B31*3.6/1000000/'E Balans VL '!Z11*100),0,B31*3.6/1000000/'E Balans VL '!Z11*100)</f>
        <v>0.10007370479511415</v>
      </c>
      <c r="D31" s="238" t="s">
        <v>719</v>
      </c>
    </row>
    <row r="32" spans="1:18">
      <c r="A32" s="232" t="s">
        <v>260</v>
      </c>
      <c r="B32" s="33">
        <f>IF(ISERROR(TER_rest_ele_kWh/1000),0,TER_rest_ele_kWh/1000)</f>
        <v>5299.15590535314</v>
      </c>
      <c r="C32" s="39">
        <f>IF(ISERROR(B32*3.6/1000000/'E Balans VL '!Z8*100),0,B32*3.6/1000000/'E Balans VL '!Z8*100)</f>
        <v>4.3695609743928422E-2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2571.6326613896777</v>
      </c>
      <c r="C5" s="17">
        <f>IF(ISERROR('Eigen informatie GS &amp; warmtenet'!B59),0,'Eigen informatie GS &amp; warmtenet'!B59)</f>
        <v>0</v>
      </c>
      <c r="D5" s="30">
        <f>SUM(D6:D15)</f>
        <v>2534.882834672213</v>
      </c>
      <c r="E5" s="17">
        <f>SUM(E6:E15)</f>
        <v>36.32212856949949</v>
      </c>
      <c r="F5" s="17">
        <f>SUM(F6:F15)</f>
        <v>1350.2079226568901</v>
      </c>
      <c r="G5" s="18"/>
      <c r="H5" s="17"/>
      <c r="I5" s="17"/>
      <c r="J5" s="17">
        <f>SUM(J6:J15)</f>
        <v>5.7429743646021532</v>
      </c>
      <c r="K5" s="17"/>
      <c r="L5" s="17"/>
      <c r="M5" s="17"/>
      <c r="N5" s="17">
        <f>SUM(N6:N15)</f>
        <v>125.5195489969356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54.202153322785996</v>
      </c>
      <c r="C8" s="33"/>
      <c r="D8" s="37">
        <f>IF( ISERROR(IND_metaal_Gas_kWH/1000),0,IND_metaal_Gas_kWH/1000)*0.902</f>
        <v>0</v>
      </c>
      <c r="E8" s="33">
        <f>C30*'E Balans VL '!I18/100/3.6*1000000</f>
        <v>0.38086657223655712</v>
      </c>
      <c r="F8" s="33">
        <f>C30*'E Balans VL '!L18/100/3.6*1000000+C30*'E Balans VL '!N18/100/3.6*1000000</f>
        <v>5.9510793210319139</v>
      </c>
      <c r="G8" s="34"/>
      <c r="H8" s="33"/>
      <c r="I8" s="33"/>
      <c r="J8" s="40">
        <f>C30*'E Balans VL '!D18/100/3.6*1000000+C30*'E Balans VL '!E18/100/3.6*1000000</f>
        <v>1.1183072499243936</v>
      </c>
      <c r="K8" s="33"/>
      <c r="L8" s="33"/>
      <c r="M8" s="33"/>
      <c r="N8" s="33">
        <f>C30*'E Balans VL '!Y18/100/3.6*1000000</f>
        <v>0.20315357428869707</v>
      </c>
      <c r="O8" s="33"/>
      <c r="P8" s="33"/>
      <c r="R8" s="32"/>
    </row>
    <row r="9" spans="1:18">
      <c r="A9" s="6" t="s">
        <v>33</v>
      </c>
      <c r="B9" s="37">
        <f t="shared" si="0"/>
        <v>1492.8412550135001</v>
      </c>
      <c r="C9" s="33"/>
      <c r="D9" s="37">
        <f>IF( ISERROR(IND_andere_gas_kWh/1000),0,IND_andere_gas_kWh/1000)*0.902</f>
        <v>1031.532037116596</v>
      </c>
      <c r="E9" s="33">
        <f>C31*'E Balans VL '!I19/100/3.6*1000000</f>
        <v>25.074097666879112</v>
      </c>
      <c r="F9" s="33">
        <f>C31*'E Balans VL '!L19/100/3.6*1000000+C31*'E Balans VL '!N19/100/3.6*1000000</f>
        <v>1167.018267280346</v>
      </c>
      <c r="G9" s="34"/>
      <c r="H9" s="33"/>
      <c r="I9" s="33"/>
      <c r="J9" s="40">
        <f>C31*'E Balans VL '!D19/100/3.6*1000000+C31*'E Balans VL '!E19/100/3.6*1000000</f>
        <v>0.13464110331784465</v>
      </c>
      <c r="K9" s="33"/>
      <c r="L9" s="33"/>
      <c r="M9" s="33"/>
      <c r="N9" s="33">
        <f>C31*'E Balans VL '!Y19/100/3.6*1000000</f>
        <v>110.6434875258979</v>
      </c>
      <c r="O9" s="33"/>
      <c r="P9" s="33"/>
      <c r="R9" s="32"/>
    </row>
    <row r="10" spans="1:18">
      <c r="A10" s="6" t="s">
        <v>41</v>
      </c>
      <c r="B10" s="37">
        <f t="shared" si="0"/>
        <v>737.99745544963594</v>
      </c>
      <c r="C10" s="33"/>
      <c r="D10" s="37">
        <f>IF( ISERROR(IND_voed_gas_kWh/1000),0,IND_voed_gas_kWh/1000)*0.902</f>
        <v>552.7578705110833</v>
      </c>
      <c r="E10" s="33">
        <f>C32*'E Balans VL '!I20/100/3.6*1000000</f>
        <v>6.7331821086946109</v>
      </c>
      <c r="F10" s="33">
        <f>C32*'E Balans VL '!L20/100/3.6*1000000+C32*'E Balans VL '!N20/100/3.6*1000000</f>
        <v>119.06207277355631</v>
      </c>
      <c r="G10" s="34"/>
      <c r="H10" s="33"/>
      <c r="I10" s="33"/>
      <c r="J10" s="40">
        <f>C32*'E Balans VL '!D20/100/3.6*1000000+C32*'E Balans VL '!E20/100/3.6*1000000</f>
        <v>3.0395573760944115</v>
      </c>
      <c r="K10" s="33"/>
      <c r="L10" s="33"/>
      <c r="M10" s="33"/>
      <c r="N10" s="33">
        <f>C32*'E Balans VL '!Y20/100/3.6*1000000</f>
        <v>10.796320845902139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71.176267975986804</v>
      </c>
      <c r="C13" s="33"/>
      <c r="D13" s="37">
        <f>IF( ISERROR(IND_papier_gas_kWh/1000),0,IND_papier_gas_kWh/1000)*0.902</f>
        <v>56.954768360893198</v>
      </c>
      <c r="E13" s="33">
        <f>C35*'E Balans VL '!I23/100/3.6*1000000</f>
        <v>2.1899080121053696</v>
      </c>
      <c r="F13" s="33">
        <f>C35*'E Balans VL '!L23/100/3.6*1000000+C35*'E Balans VL '!N23/100/3.6*1000000</f>
        <v>15.113209154902473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215.41552962776899</v>
      </c>
      <c r="C15" s="33"/>
      <c r="D15" s="37">
        <f>IF( ISERROR(IND_rest_gas_kWh/1000),0,IND_rest_gas_kWh/1000)*0.902</f>
        <v>893.6381586836402</v>
      </c>
      <c r="E15" s="33">
        <f>C37*'E Balans VL '!I15/100/3.6*1000000</f>
        <v>1.944074209583837</v>
      </c>
      <c r="F15" s="33">
        <f>C37*'E Balans VL '!L15/100/3.6*1000000+C37*'E Balans VL '!N15/100/3.6*1000000</f>
        <v>43.063294127053162</v>
      </c>
      <c r="G15" s="34"/>
      <c r="H15" s="33"/>
      <c r="I15" s="33"/>
      <c r="J15" s="40">
        <f>C37*'E Balans VL '!D15/100/3.6*1000000+C37*'E Balans VL '!E15/100/3.6*1000000</f>
        <v>1.4504686352655034</v>
      </c>
      <c r="K15" s="33"/>
      <c r="L15" s="33"/>
      <c r="M15" s="33"/>
      <c r="N15" s="33">
        <f>C37*'E Balans VL '!Y15/100/3.6*1000000</f>
        <v>3.8765870508468718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2571.6326613896777</v>
      </c>
      <c r="C18" s="21">
        <f>C5+C16</f>
        <v>0</v>
      </c>
      <c r="D18" s="21">
        <f>MAX((D5+D16),0)</f>
        <v>2534.882834672213</v>
      </c>
      <c r="E18" s="21">
        <f>MAX((E5+E16),0)</f>
        <v>36.32212856949949</v>
      </c>
      <c r="F18" s="21">
        <f>MAX((F5+F16),0)</f>
        <v>1350.2079226568901</v>
      </c>
      <c r="G18" s="21"/>
      <c r="H18" s="21"/>
      <c r="I18" s="21"/>
      <c r="J18" s="21">
        <f>MAX((J5+J16),0)</f>
        <v>5.7429743646021532</v>
      </c>
      <c r="K18" s="21"/>
      <c r="L18" s="21">
        <f>MAX((L5+L16),0)</f>
        <v>0</v>
      </c>
      <c r="M18" s="21"/>
      <c r="N18" s="21">
        <f>MAX((N5+N16),0)</f>
        <v>125.5195489969356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0.2179030803603457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560.36667847208457</v>
      </c>
      <c r="C22" s="23">
        <f ca="1">C18*C20</f>
        <v>0</v>
      </c>
      <c r="D22" s="23">
        <f>D18*D20</f>
        <v>512.04633260378705</v>
      </c>
      <c r="E22" s="23">
        <f>E18*E20</f>
        <v>8.245123185276384</v>
      </c>
      <c r="F22" s="23">
        <f>F18*F20</f>
        <v>360.50551534938967</v>
      </c>
      <c r="G22" s="23"/>
      <c r="H22" s="23"/>
      <c r="I22" s="23"/>
      <c r="J22" s="23">
        <f>J18*J20</f>
        <v>2.033012925069162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54.202153322785996</v>
      </c>
      <c r="C30" s="39">
        <f>IF(ISERROR(B30*3.6/1000000/'E Balans VL '!Z18*100),0,B30*3.6/1000000/'E Balans VL '!Z18*100)</f>
        <v>3.6082704453062869E-3</v>
      </c>
      <c r="D30" s="238" t="s">
        <v>719</v>
      </c>
    </row>
    <row r="31" spans="1:18">
      <c r="A31" s="6" t="s">
        <v>33</v>
      </c>
      <c r="B31" s="37">
        <f>IF( ISERROR(IND_ander_ele_kWh/1000),0,IND_ander_ele_kWh/1000)</f>
        <v>1492.8412550135001</v>
      </c>
      <c r="C31" s="39">
        <f>IF(ISERROR(B31*3.6/1000000/'E Balans VL '!Z19*100),0,B31*3.6/1000000/'E Balans VL '!Z19*100)</f>
        <v>6.6171736784196689E-2</v>
      </c>
      <c r="D31" s="238" t="s">
        <v>719</v>
      </c>
    </row>
    <row r="32" spans="1:18">
      <c r="A32" s="172" t="s">
        <v>41</v>
      </c>
      <c r="B32" s="37">
        <f>IF( ISERROR(IND_voed_ele_kWh/1000),0,IND_voed_ele_kWh/1000)</f>
        <v>737.99745544963594</v>
      </c>
      <c r="C32" s="39">
        <f>IF(ISERROR(B32*3.6/1000000/'E Balans VL '!Z20*100),0,B32*3.6/1000000/'E Balans VL '!Z20*100)</f>
        <v>2.4651232052718911E-2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71.176267975986804</v>
      </c>
      <c r="C35" s="39">
        <f>IF(ISERROR(B35*3.6/1000000/'E Balans VL '!Z22*100),0,B35*3.6/1000000/'E Balans VL '!Z22*100)</f>
        <v>1.3843002294467444E-2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215.41552962776899</v>
      </c>
      <c r="C37" s="39">
        <f>IF(ISERROR(B37*3.6/1000000/'E Balans VL '!Z15*100),0,B37*3.6/1000000/'E Balans VL '!Z15*100)</f>
        <v>1.6023405985135309E-3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369.27363051568142</v>
      </c>
      <c r="C5" s="17">
        <f>'Eigen informatie GS &amp; warmtenet'!B60</f>
        <v>0</v>
      </c>
      <c r="D5" s="30">
        <f>IF(ISERROR(SUM(LB_lb_gas_kWh,LB_rest_gas_kWh)/1000),0,SUM(LB_lb_gas_kWh,LB_rest_gas_kWh)/1000)*0.902</f>
        <v>140.65851832872951</v>
      </c>
      <c r="E5" s="17">
        <f>B17*'E Balans VL '!I25/3.6*1000000/100</f>
        <v>3.8671134032411056</v>
      </c>
      <c r="F5" s="17">
        <f>B17*('E Balans VL '!L25/3.6*1000000+'E Balans VL '!N25/3.6*1000000)/100</f>
        <v>1580.7717269751461</v>
      </c>
      <c r="G5" s="18"/>
      <c r="H5" s="17"/>
      <c r="I5" s="17"/>
      <c r="J5" s="17">
        <f>('E Balans VL '!D25+'E Balans VL '!E25)/3.6*1000000*landbouw!B17/100</f>
        <v>32.979445061065682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369.27363051568142</v>
      </c>
      <c r="C8" s="21">
        <f>C5+C6</f>
        <v>0</v>
      </c>
      <c r="D8" s="21">
        <f>MAX((D5+D6),0)</f>
        <v>140.65851832872951</v>
      </c>
      <c r="E8" s="21">
        <f>MAX((E5+E6),0)</f>
        <v>3.8671134032411056</v>
      </c>
      <c r="F8" s="21">
        <f>MAX((F5+F6),0)</f>
        <v>1580.7717269751461</v>
      </c>
      <c r="G8" s="21"/>
      <c r="H8" s="21"/>
      <c r="I8" s="21"/>
      <c r="J8" s="21">
        <f>MAX((J5+J6),0)</f>
        <v>32.979445061065682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0.2179030803603457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80.465861585215137</v>
      </c>
      <c r="C12" s="23">
        <f ca="1">C8*C10</f>
        <v>0</v>
      </c>
      <c r="D12" s="23">
        <f>D8*D10</f>
        <v>28.413020702403365</v>
      </c>
      <c r="E12" s="23">
        <f>E8*E10</f>
        <v>0.87783474253573102</v>
      </c>
      <c r="F12" s="23">
        <f>F8*F10</f>
        <v>422.06605110236404</v>
      </c>
      <c r="G12" s="23"/>
      <c r="H12" s="23"/>
      <c r="I12" s="23"/>
      <c r="J12" s="23">
        <f>J8*J10</f>
        <v>11.674723551617252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5.6838340034730726E-2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70.508033038680111</v>
      </c>
      <c r="C26" s="248">
        <f>B26*'GWP N2O_CH4'!B5</f>
        <v>1480.6686938122823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37.709783865959317</v>
      </c>
      <c r="C27" s="248">
        <f>B27*'GWP N2O_CH4'!B5</f>
        <v>791.90546118514567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1.0374717054560965</v>
      </c>
      <c r="C28" s="248">
        <f>B28*'GWP N2O_CH4'!B4</f>
        <v>321.61622869138989</v>
      </c>
      <c r="D28" s="50"/>
    </row>
    <row r="29" spans="1:4">
      <c r="A29" s="41" t="s">
        <v>277</v>
      </c>
      <c r="B29" s="248">
        <f>B34*'ha_N2O bodem landbouw'!B4</f>
        <v>9.6538479185128789</v>
      </c>
      <c r="C29" s="248">
        <f>B29*'GWP N2O_CH4'!B4</f>
        <v>2992.6928547389925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1.5954251592451394E-3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9.812977875119096E-7</v>
      </c>
      <c r="C5" s="446" t="s">
        <v>211</v>
      </c>
      <c r="D5" s="431">
        <f>SUM(D6:D11)</f>
        <v>4.6175859201457517E-6</v>
      </c>
      <c r="E5" s="431">
        <f>SUM(E6:E11)</f>
        <v>4.7251676103171527E-4</v>
      </c>
      <c r="F5" s="444" t="s">
        <v>211</v>
      </c>
      <c r="G5" s="431">
        <f>SUM(G6:G11)</f>
        <v>8.767216471768928E-2</v>
      </c>
      <c r="H5" s="431">
        <f>SUM(H6:H11)</f>
        <v>1.5434389790611958E-2</v>
      </c>
      <c r="I5" s="446" t="s">
        <v>211</v>
      </c>
      <c r="J5" s="446" t="s">
        <v>211</v>
      </c>
      <c r="K5" s="446" t="s">
        <v>211</v>
      </c>
      <c r="L5" s="446" t="s">
        <v>211</v>
      </c>
      <c r="M5" s="431">
        <f>SUM(M6:M11)</f>
        <v>4.499958936266639E-3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8.6814229389524585E-7</v>
      </c>
      <c r="C6" s="432"/>
      <c r="D6" s="432">
        <f>vkm_2011_GW_PW*SUMIFS(TableVerdeelsleutelVkm[CNG],TableVerdeelsleutelVkm[Voertuigtype],"Lichte voertuigen")*SUMIFS(TableECFTransport[EnergieConsumptieFactor (PJ per km)],TableECFTransport[Index],CONCATENATE($A6,"_CNG_CNG"))</f>
        <v>3.7424605162335804E-6</v>
      </c>
      <c r="E6" s="434">
        <f>vkm_2011_GW_PW*SUMIFS(TableVerdeelsleutelVkm[LPG],TableVerdeelsleutelVkm[Voertuigtype],"Lichte voertuigen")*SUMIFS(TableECFTransport[EnergieConsumptieFactor (PJ per km)],TableECFTransport[Index],CONCATENATE($A6,"_LPG_LPG"))</f>
        <v>3.8938005345833199E-4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4.7894815532214439E-2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1.2609712404408441E-2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2.6515984840058465E-3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2.3607398511919953E-2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8.09464980673602E-6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1.0197953831205351E-3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1.1315549361666378E-7</v>
      </c>
      <c r="C8" s="432"/>
      <c r="D8" s="434">
        <f>vkm_2011_NGW_PW*SUMIFS(TableVerdeelsleutelVkm[CNG],TableVerdeelsleutelVkm[Voertuigtype],"Lichte voertuigen")*SUMIFS(TableECFTransport[EnergieConsumptieFactor (PJ per km)],TableECFTransport[Index],CONCATENATE($A8,"_CNG_CNG"))</f>
        <v>8.7512540391217097E-7</v>
      </c>
      <c r="E8" s="434">
        <f>vkm_2011_NGW_PW*SUMIFS(TableVerdeelsleutelVkm[LPG],TableVerdeelsleutelVkm[Voertuigtype],"Lichte voertuigen")*SUMIFS(TableECFTransport[EnergieConsumptieFactor (PJ per km)],TableECFTransport[Index],CONCATENATE($A8,"_LPG_LPG"))</f>
        <v>8.3136707573383265E-5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9.6991691941739778E-3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2.8146552605884841E-3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5.4905290885502484E-4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6.4707814793809092E-3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1.9274758082966869E-6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2.7951216028523261E-4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0.27258271875330825</v>
      </c>
      <c r="C14" s="21"/>
      <c r="D14" s="21">
        <f t="shared" ref="D14:M14" si="0">((D5)*10^9/3600)+D12</f>
        <v>1.2826627555960421</v>
      </c>
      <c r="E14" s="21">
        <f t="shared" si="0"/>
        <v>131.25465584214314</v>
      </c>
      <c r="F14" s="21"/>
      <c r="G14" s="21">
        <f t="shared" si="0"/>
        <v>24353.37908824702</v>
      </c>
      <c r="H14" s="21">
        <f t="shared" si="0"/>
        <v>4287.3304973922104</v>
      </c>
      <c r="I14" s="21"/>
      <c r="J14" s="21"/>
      <c r="K14" s="21"/>
      <c r="L14" s="21"/>
      <c r="M14" s="21">
        <f t="shared" si="0"/>
        <v>1249.9885934073998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0.2179030803603457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5.9396614069343635E-2</v>
      </c>
      <c r="C18" s="23"/>
      <c r="D18" s="23">
        <f t="shared" ref="D18:M18" si="1">D14*D16</f>
        <v>0.25909787663040051</v>
      </c>
      <c r="E18" s="23">
        <f t="shared" si="1"/>
        <v>29.794806876166493</v>
      </c>
      <c r="F18" s="23"/>
      <c r="G18" s="23">
        <f t="shared" si="1"/>
        <v>6502.3522165619552</v>
      </c>
      <c r="H18" s="23">
        <f t="shared" si="1"/>
        <v>1067.5452938506603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2.8757576634526939E-3</v>
      </c>
      <c r="C50" s="322">
        <f t="shared" ref="C50:P50" si="2">SUM(C51:C52)</f>
        <v>0</v>
      </c>
      <c r="D50" s="322">
        <f t="shared" si="2"/>
        <v>0</v>
      </c>
      <c r="E50" s="322">
        <f t="shared" si="2"/>
        <v>0</v>
      </c>
      <c r="F50" s="322">
        <f t="shared" si="2"/>
        <v>0</v>
      </c>
      <c r="G50" s="322">
        <f t="shared" si="2"/>
        <v>1.3668828824821226E-3</v>
      </c>
      <c r="H50" s="322">
        <f t="shared" si="2"/>
        <v>0</v>
      </c>
      <c r="I50" s="322">
        <f t="shared" si="2"/>
        <v>0</v>
      </c>
      <c r="J50" s="322">
        <f t="shared" si="2"/>
        <v>0</v>
      </c>
      <c r="K50" s="322">
        <f t="shared" si="2"/>
        <v>0</v>
      </c>
      <c r="L50" s="322">
        <f t="shared" si="2"/>
        <v>0</v>
      </c>
      <c r="M50" s="322">
        <f t="shared" si="2"/>
        <v>5.8264278889560381E-5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1.3668828824821226E-3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5.8264278889560381E-5</v>
      </c>
      <c r="N51" s="324"/>
      <c r="O51" s="324"/>
      <c r="P51" s="327"/>
    </row>
    <row r="52" spans="1:18">
      <c r="A52" s="4" t="s">
        <v>330</v>
      </c>
      <c r="B52" s="328">
        <f>vkm_2011_tram*SUMIFS(TableECFTransport[EnergieConsumptieFactor (PJ per km)],TableECFTransport[Index],"Tram_gemiddeld_Electric_Electric")</f>
        <v>2.8757576634526939E-3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798.82157318130385</v>
      </c>
      <c r="C54" s="21">
        <f t="shared" ref="C54:P54" si="3">(C50)*10^9/3600</f>
        <v>0</v>
      </c>
      <c r="D54" s="21">
        <f t="shared" si="3"/>
        <v>0</v>
      </c>
      <c r="E54" s="21">
        <f t="shared" si="3"/>
        <v>0</v>
      </c>
      <c r="F54" s="21">
        <f t="shared" si="3"/>
        <v>0</v>
      </c>
      <c r="G54" s="21">
        <f t="shared" si="3"/>
        <v>379.68968957836739</v>
      </c>
      <c r="H54" s="21">
        <f t="shared" si="3"/>
        <v>0</v>
      </c>
      <c r="I54" s="21">
        <f t="shared" si="3"/>
        <v>0</v>
      </c>
      <c r="J54" s="21">
        <f t="shared" si="3"/>
        <v>0</v>
      </c>
      <c r="K54" s="21">
        <f t="shared" si="3"/>
        <v>0</v>
      </c>
      <c r="L54" s="21">
        <f t="shared" si="3"/>
        <v>0</v>
      </c>
      <c r="M54" s="21">
        <f t="shared" si="3"/>
        <v>16.184521913766773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0.2179030803603457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174.06568145450342</v>
      </c>
      <c r="C58" s="23">
        <f t="shared" ref="C58:P58" ca="1" si="4">C54*C56</f>
        <v>0</v>
      </c>
      <c r="D58" s="23">
        <f t="shared" si="4"/>
        <v>0</v>
      </c>
      <c r="E58" s="23">
        <f t="shared" si="4"/>
        <v>0</v>
      </c>
      <c r="F58" s="23">
        <f t="shared" si="4"/>
        <v>0</v>
      </c>
      <c r="G58" s="23">
        <f t="shared" si="4"/>
        <v>101.3771471174241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48142.799958082142</v>
      </c>
      <c r="D10" s="687">
        <f ca="1">tertiair!C16</f>
        <v>0</v>
      </c>
      <c r="E10" s="687">
        <f ca="1">tertiair!D16</f>
        <v>57132.182601844237</v>
      </c>
      <c r="F10" s="687">
        <f>tertiair!E16</f>
        <v>1354.7609876791544</v>
      </c>
      <c r="G10" s="687">
        <f ca="1">tertiair!F16</f>
        <v>8719.8362856528056</v>
      </c>
      <c r="H10" s="687">
        <f>tertiair!G16</f>
        <v>0</v>
      </c>
      <c r="I10" s="687">
        <f>tertiair!H16</f>
        <v>0</v>
      </c>
      <c r="J10" s="687">
        <f>tertiair!I16</f>
        <v>0</v>
      </c>
      <c r="K10" s="687">
        <f>tertiair!J16</f>
        <v>0</v>
      </c>
      <c r="L10" s="687">
        <f>tertiair!K16</f>
        <v>0</v>
      </c>
      <c r="M10" s="687">
        <f ca="1">tertiair!L16</f>
        <v>0</v>
      </c>
      <c r="N10" s="687">
        <f>tertiair!M16</f>
        <v>0</v>
      </c>
      <c r="O10" s="687">
        <f ca="1">tertiair!N16</f>
        <v>1655.5823301938647</v>
      </c>
      <c r="P10" s="687">
        <f>tertiair!O16</f>
        <v>1.5633333333333335</v>
      </c>
      <c r="Q10" s="688">
        <f>tertiair!P16</f>
        <v>19.066666666666666</v>
      </c>
      <c r="R10" s="690">
        <f ca="1">SUM(C10:Q10)</f>
        <v>117025.79216345221</v>
      </c>
      <c r="S10" s="67"/>
    </row>
    <row r="11" spans="1:19" s="456" customFormat="1">
      <c r="A11" s="802" t="s">
        <v>225</v>
      </c>
      <c r="B11" s="807"/>
      <c r="C11" s="687">
        <f>huishoudens!B8</f>
        <v>41125.23218243006</v>
      </c>
      <c r="D11" s="687">
        <f>huishoudens!C8</f>
        <v>0</v>
      </c>
      <c r="E11" s="687">
        <f>huishoudens!D8</f>
        <v>99794.040733472444</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40.646666666666668</v>
      </c>
      <c r="Q11" s="688">
        <f>huishoudens!P8</f>
        <v>19.066666666666666</v>
      </c>
      <c r="R11" s="690">
        <f>SUM(C11:Q11)</f>
        <v>140978.98624923584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2571.6326613896777</v>
      </c>
      <c r="D13" s="687">
        <f>industrie!C18</f>
        <v>0</v>
      </c>
      <c r="E13" s="687">
        <f>industrie!D18</f>
        <v>2534.882834672213</v>
      </c>
      <c r="F13" s="687">
        <f>industrie!E18</f>
        <v>36.32212856949949</v>
      </c>
      <c r="G13" s="687">
        <f>industrie!F18</f>
        <v>1350.2079226568901</v>
      </c>
      <c r="H13" s="687">
        <f>industrie!G18</f>
        <v>0</v>
      </c>
      <c r="I13" s="687">
        <f>industrie!H18</f>
        <v>0</v>
      </c>
      <c r="J13" s="687">
        <f>industrie!I18</f>
        <v>0</v>
      </c>
      <c r="K13" s="687">
        <f>industrie!J18</f>
        <v>5.7429743646021532</v>
      </c>
      <c r="L13" s="687">
        <f>industrie!K18</f>
        <v>0</v>
      </c>
      <c r="M13" s="687">
        <f>industrie!L18</f>
        <v>0</v>
      </c>
      <c r="N13" s="687">
        <f>industrie!M18</f>
        <v>0</v>
      </c>
      <c r="O13" s="687">
        <f>industrie!N18</f>
        <v>125.5195489969356</v>
      </c>
      <c r="P13" s="687">
        <f>industrie!O18</f>
        <v>0</v>
      </c>
      <c r="Q13" s="688">
        <f>industrie!P18</f>
        <v>0</v>
      </c>
      <c r="R13" s="690">
        <f>SUM(C13:Q13)</f>
        <v>6624.3080706498195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91839.664801901876</v>
      </c>
      <c r="D16" s="720">
        <f t="shared" ref="D16:R16" ca="1" si="0">SUM(D9:D15)</f>
        <v>0</v>
      </c>
      <c r="E16" s="720">
        <f t="shared" ca="1" si="0"/>
        <v>159461.1061699889</v>
      </c>
      <c r="F16" s="720">
        <f t="shared" si="0"/>
        <v>1391.0831162486538</v>
      </c>
      <c r="G16" s="720">
        <f t="shared" ca="1" si="0"/>
        <v>10070.044208309695</v>
      </c>
      <c r="H16" s="720">
        <f t="shared" si="0"/>
        <v>0</v>
      </c>
      <c r="I16" s="720">
        <f t="shared" si="0"/>
        <v>0</v>
      </c>
      <c r="J16" s="720">
        <f t="shared" si="0"/>
        <v>0</v>
      </c>
      <c r="K16" s="720">
        <f t="shared" si="0"/>
        <v>5.7429743646021532</v>
      </c>
      <c r="L16" s="720">
        <f t="shared" si="0"/>
        <v>0</v>
      </c>
      <c r="M16" s="720">
        <f t="shared" ca="1" si="0"/>
        <v>0</v>
      </c>
      <c r="N16" s="720">
        <f t="shared" si="0"/>
        <v>0</v>
      </c>
      <c r="O16" s="720">
        <f t="shared" ca="1" si="0"/>
        <v>1781.1018791908002</v>
      </c>
      <c r="P16" s="720">
        <f t="shared" si="0"/>
        <v>42.21</v>
      </c>
      <c r="Q16" s="720">
        <f t="shared" si="0"/>
        <v>38.133333333333333</v>
      </c>
      <c r="R16" s="720">
        <f t="shared" ca="1" si="0"/>
        <v>264629.08648333786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798.82157318130385</v>
      </c>
      <c r="D19" s="687">
        <f>transport!C54</f>
        <v>0</v>
      </c>
      <c r="E19" s="687">
        <f>transport!D54</f>
        <v>0</v>
      </c>
      <c r="F19" s="687">
        <f>transport!E54</f>
        <v>0</v>
      </c>
      <c r="G19" s="687">
        <f>transport!F54</f>
        <v>0</v>
      </c>
      <c r="H19" s="687">
        <f>transport!G54</f>
        <v>379.68968957836739</v>
      </c>
      <c r="I19" s="687">
        <f>transport!H54</f>
        <v>0</v>
      </c>
      <c r="J19" s="687">
        <f>transport!I54</f>
        <v>0</v>
      </c>
      <c r="K19" s="687">
        <f>transport!J54</f>
        <v>0</v>
      </c>
      <c r="L19" s="687">
        <f>transport!K54</f>
        <v>0</v>
      </c>
      <c r="M19" s="687">
        <f>transport!L54</f>
        <v>0</v>
      </c>
      <c r="N19" s="687">
        <f>transport!M54</f>
        <v>16.184521913766773</v>
      </c>
      <c r="O19" s="687">
        <f>transport!N54</f>
        <v>0</v>
      </c>
      <c r="P19" s="687">
        <f>transport!O54</f>
        <v>0</v>
      </c>
      <c r="Q19" s="688">
        <f>transport!P54</f>
        <v>0</v>
      </c>
      <c r="R19" s="690">
        <f>SUM(C19:Q19)</f>
        <v>1194.6957846734381</v>
      </c>
      <c r="S19" s="67"/>
    </row>
    <row r="20" spans="1:19" s="456" customFormat="1">
      <c r="A20" s="802" t="s">
        <v>307</v>
      </c>
      <c r="B20" s="807"/>
      <c r="C20" s="687">
        <f>transport!B14</f>
        <v>0.27258271875330825</v>
      </c>
      <c r="D20" s="687">
        <f>transport!C14</f>
        <v>0</v>
      </c>
      <c r="E20" s="687">
        <f>transport!D14</f>
        <v>1.2826627555960421</v>
      </c>
      <c r="F20" s="687">
        <f>transport!E14</f>
        <v>131.25465584214314</v>
      </c>
      <c r="G20" s="687">
        <f>transport!F14</f>
        <v>0</v>
      </c>
      <c r="H20" s="687">
        <f>transport!G14</f>
        <v>24353.37908824702</v>
      </c>
      <c r="I20" s="687">
        <f>transport!H14</f>
        <v>4287.3304973922104</v>
      </c>
      <c r="J20" s="687">
        <f>transport!I14</f>
        <v>0</v>
      </c>
      <c r="K20" s="687">
        <f>transport!J14</f>
        <v>0</v>
      </c>
      <c r="L20" s="687">
        <f>transport!K14</f>
        <v>0</v>
      </c>
      <c r="M20" s="687">
        <f>transport!L14</f>
        <v>0</v>
      </c>
      <c r="N20" s="687">
        <f>transport!M14</f>
        <v>1249.9885934073998</v>
      </c>
      <c r="O20" s="687">
        <f>transport!N14</f>
        <v>0</v>
      </c>
      <c r="P20" s="687">
        <f>transport!O14</f>
        <v>0</v>
      </c>
      <c r="Q20" s="688">
        <f>transport!P14</f>
        <v>0</v>
      </c>
      <c r="R20" s="690">
        <f>SUM(C20:Q20)</f>
        <v>30023.508080363124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799.0941559000571</v>
      </c>
      <c r="D22" s="805">
        <f t="shared" ref="D22:R22" si="1">SUM(D18:D21)</f>
        <v>0</v>
      </c>
      <c r="E22" s="805">
        <f t="shared" si="1"/>
        <v>1.2826627555960421</v>
      </c>
      <c r="F22" s="805">
        <f t="shared" si="1"/>
        <v>131.25465584214314</v>
      </c>
      <c r="G22" s="805">
        <f t="shared" si="1"/>
        <v>0</v>
      </c>
      <c r="H22" s="805">
        <f t="shared" si="1"/>
        <v>24733.068777825389</v>
      </c>
      <c r="I22" s="805">
        <f t="shared" si="1"/>
        <v>4287.3304973922104</v>
      </c>
      <c r="J22" s="805">
        <f t="shared" si="1"/>
        <v>0</v>
      </c>
      <c r="K22" s="805">
        <f t="shared" si="1"/>
        <v>0</v>
      </c>
      <c r="L22" s="805">
        <f t="shared" si="1"/>
        <v>0</v>
      </c>
      <c r="M22" s="805">
        <f t="shared" si="1"/>
        <v>0</v>
      </c>
      <c r="N22" s="805">
        <f t="shared" si="1"/>
        <v>1266.1731153211665</v>
      </c>
      <c r="O22" s="805">
        <f t="shared" si="1"/>
        <v>0</v>
      </c>
      <c r="P22" s="805">
        <f t="shared" si="1"/>
        <v>0</v>
      </c>
      <c r="Q22" s="805">
        <f t="shared" si="1"/>
        <v>0</v>
      </c>
      <c r="R22" s="805">
        <f t="shared" si="1"/>
        <v>31218.203865036561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369.27363051568142</v>
      </c>
      <c r="D24" s="687">
        <f>+landbouw!C8</f>
        <v>0</v>
      </c>
      <c r="E24" s="687">
        <f>+landbouw!D8</f>
        <v>140.65851832872951</v>
      </c>
      <c r="F24" s="687">
        <f>+landbouw!E8</f>
        <v>3.8671134032411056</v>
      </c>
      <c r="G24" s="687">
        <f>+landbouw!F8</f>
        <v>1580.7717269751461</v>
      </c>
      <c r="H24" s="687">
        <f>+landbouw!G8</f>
        <v>0</v>
      </c>
      <c r="I24" s="687">
        <f>+landbouw!H8</f>
        <v>0</v>
      </c>
      <c r="J24" s="687">
        <f>+landbouw!I8</f>
        <v>0</v>
      </c>
      <c r="K24" s="687">
        <f>+landbouw!J8</f>
        <v>32.979445061065682</v>
      </c>
      <c r="L24" s="687">
        <f>+landbouw!K8</f>
        <v>0</v>
      </c>
      <c r="M24" s="687">
        <f>+landbouw!L8</f>
        <v>0</v>
      </c>
      <c r="N24" s="687">
        <f>+landbouw!M8</f>
        <v>0</v>
      </c>
      <c r="O24" s="687">
        <f>+landbouw!N8</f>
        <v>0</v>
      </c>
      <c r="P24" s="687">
        <f>+landbouw!O8</f>
        <v>0</v>
      </c>
      <c r="Q24" s="688">
        <f>+landbouw!P8</f>
        <v>0</v>
      </c>
      <c r="R24" s="690">
        <f>SUM(C24:Q24)</f>
        <v>2127.5504342838635</v>
      </c>
      <c r="S24" s="67"/>
    </row>
    <row r="25" spans="1:19" s="456" customFormat="1" ht="15" thickBot="1">
      <c r="A25" s="824" t="s">
        <v>925</v>
      </c>
      <c r="B25" s="988"/>
      <c r="C25" s="989">
        <f>IF(Onbekend_ele_kWh="---",0,Onbekend_ele_kWh)/1000+IF(REST_rest_ele_kWh="---",0,REST_rest_ele_kWh)/1000</f>
        <v>3163.2019647881302</v>
      </c>
      <c r="D25" s="989"/>
      <c r="E25" s="989">
        <f>IF(onbekend_gas_kWh="---",0,onbekend_gas_kWh)/1000+IF(REST_rest_gas_kWh="---",0,REST_rest_gas_kWh)/1000</f>
        <v>7626.4730295916706</v>
      </c>
      <c r="F25" s="989"/>
      <c r="G25" s="989"/>
      <c r="H25" s="989"/>
      <c r="I25" s="989"/>
      <c r="J25" s="989"/>
      <c r="K25" s="989"/>
      <c r="L25" s="989"/>
      <c r="M25" s="989"/>
      <c r="N25" s="989"/>
      <c r="O25" s="989"/>
      <c r="P25" s="989"/>
      <c r="Q25" s="990"/>
      <c r="R25" s="690">
        <f>SUM(C25:Q25)</f>
        <v>10789.6749943798</v>
      </c>
      <c r="S25" s="67"/>
    </row>
    <row r="26" spans="1:19" s="456" customFormat="1" ht="15.75" thickBot="1">
      <c r="A26" s="693" t="s">
        <v>926</v>
      </c>
      <c r="B26" s="810"/>
      <c r="C26" s="805">
        <f>SUM(C24:C25)</f>
        <v>3532.4755953038116</v>
      </c>
      <c r="D26" s="805">
        <f t="shared" ref="D26:R26" si="2">SUM(D24:D25)</f>
        <v>0</v>
      </c>
      <c r="E26" s="805">
        <f t="shared" si="2"/>
        <v>7767.1315479204004</v>
      </c>
      <c r="F26" s="805">
        <f t="shared" si="2"/>
        <v>3.8671134032411056</v>
      </c>
      <c r="G26" s="805">
        <f t="shared" si="2"/>
        <v>1580.7717269751461</v>
      </c>
      <c r="H26" s="805">
        <f t="shared" si="2"/>
        <v>0</v>
      </c>
      <c r="I26" s="805">
        <f t="shared" si="2"/>
        <v>0</v>
      </c>
      <c r="J26" s="805">
        <f t="shared" si="2"/>
        <v>0</v>
      </c>
      <c r="K26" s="805">
        <f t="shared" si="2"/>
        <v>32.979445061065682</v>
      </c>
      <c r="L26" s="805">
        <f t="shared" si="2"/>
        <v>0</v>
      </c>
      <c r="M26" s="805">
        <f t="shared" si="2"/>
        <v>0</v>
      </c>
      <c r="N26" s="805">
        <f t="shared" si="2"/>
        <v>0</v>
      </c>
      <c r="O26" s="805">
        <f t="shared" si="2"/>
        <v>0</v>
      </c>
      <c r="P26" s="805">
        <f t="shared" si="2"/>
        <v>0</v>
      </c>
      <c r="Q26" s="805">
        <f t="shared" si="2"/>
        <v>0</v>
      </c>
      <c r="R26" s="805">
        <f t="shared" si="2"/>
        <v>12917.225428663663</v>
      </c>
      <c r="S26" s="67"/>
    </row>
    <row r="27" spans="1:19" s="456" customFormat="1" ht="17.25" thickTop="1" thickBot="1">
      <c r="A27" s="694" t="s">
        <v>116</v>
      </c>
      <c r="B27" s="797"/>
      <c r="C27" s="695">
        <f ca="1">C22+C16+C26</f>
        <v>96171.234553105751</v>
      </c>
      <c r="D27" s="695">
        <f t="shared" ref="D27:R27" ca="1" si="3">D22+D16+D26</f>
        <v>0</v>
      </c>
      <c r="E27" s="695">
        <f t="shared" ca="1" si="3"/>
        <v>167229.52038066491</v>
      </c>
      <c r="F27" s="695">
        <f t="shared" si="3"/>
        <v>1526.2048854940381</v>
      </c>
      <c r="G27" s="695">
        <f t="shared" ca="1" si="3"/>
        <v>11650.815935284842</v>
      </c>
      <c r="H27" s="695">
        <f t="shared" si="3"/>
        <v>24733.068777825389</v>
      </c>
      <c r="I27" s="695">
        <f t="shared" si="3"/>
        <v>4287.3304973922104</v>
      </c>
      <c r="J27" s="695">
        <f t="shared" si="3"/>
        <v>0</v>
      </c>
      <c r="K27" s="695">
        <f t="shared" si="3"/>
        <v>38.722419425667837</v>
      </c>
      <c r="L27" s="695">
        <f t="shared" si="3"/>
        <v>0</v>
      </c>
      <c r="M27" s="695">
        <f t="shared" ca="1" si="3"/>
        <v>0</v>
      </c>
      <c r="N27" s="695">
        <f t="shared" si="3"/>
        <v>1266.1731153211665</v>
      </c>
      <c r="O27" s="695">
        <f t="shared" ca="1" si="3"/>
        <v>1781.1018791908002</v>
      </c>
      <c r="P27" s="695">
        <f t="shared" si="3"/>
        <v>42.21</v>
      </c>
      <c r="Q27" s="695">
        <f t="shared" si="3"/>
        <v>38.133333333333333</v>
      </c>
      <c r="R27" s="695">
        <f t="shared" ca="1" si="3"/>
        <v>308764.51577703806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10490.464408038022</v>
      </c>
      <c r="D40" s="687">
        <f ca="1">tertiair!C20</f>
        <v>0</v>
      </c>
      <c r="E40" s="687">
        <f ca="1">tertiair!D20</f>
        <v>11540.700885572536</v>
      </c>
      <c r="F40" s="687">
        <f>tertiair!E20</f>
        <v>307.53074420316807</v>
      </c>
      <c r="G40" s="687">
        <f ca="1">tertiair!F20</f>
        <v>2328.1962882692992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24666.892326083031</v>
      </c>
    </row>
    <row r="41" spans="1:18">
      <c r="A41" s="815" t="s">
        <v>225</v>
      </c>
      <c r="B41" s="822"/>
      <c r="C41" s="687">
        <f ca="1">huishoudens!B12</f>
        <v>8961.3147730859328</v>
      </c>
      <c r="D41" s="687">
        <f ca="1">huishoudens!C12</f>
        <v>0</v>
      </c>
      <c r="E41" s="687">
        <f>huishoudens!D12</f>
        <v>20158.396228161437</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29119.711001247371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560.36667847208457</v>
      </c>
      <c r="D43" s="687">
        <f ca="1">industrie!C22</f>
        <v>0</v>
      </c>
      <c r="E43" s="687">
        <f>industrie!D22</f>
        <v>512.04633260378705</v>
      </c>
      <c r="F43" s="687">
        <f>industrie!E22</f>
        <v>8.245123185276384</v>
      </c>
      <c r="G43" s="687">
        <f>industrie!F22</f>
        <v>360.50551534938967</v>
      </c>
      <c r="H43" s="687">
        <f>industrie!G22</f>
        <v>0</v>
      </c>
      <c r="I43" s="687">
        <f>industrie!H22</f>
        <v>0</v>
      </c>
      <c r="J43" s="687">
        <f>industrie!I22</f>
        <v>0</v>
      </c>
      <c r="K43" s="687">
        <f>industrie!J22</f>
        <v>2.033012925069162</v>
      </c>
      <c r="L43" s="687">
        <f>industrie!K22</f>
        <v>0</v>
      </c>
      <c r="M43" s="687">
        <f>industrie!L22</f>
        <v>0</v>
      </c>
      <c r="N43" s="687">
        <f>industrie!M22</f>
        <v>0</v>
      </c>
      <c r="O43" s="687">
        <f>industrie!N22</f>
        <v>0</v>
      </c>
      <c r="P43" s="687">
        <f>industrie!O22</f>
        <v>0</v>
      </c>
      <c r="Q43" s="762">
        <f>industrie!P22</f>
        <v>0</v>
      </c>
      <c r="R43" s="842">
        <f t="shared" ca="1" si="4"/>
        <v>1443.1966625356069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20012.145859596039</v>
      </c>
      <c r="D46" s="720">
        <f t="shared" ref="D46:Q46" ca="1" si="5">SUM(D39:D45)</f>
        <v>0</v>
      </c>
      <c r="E46" s="720">
        <f t="shared" ca="1" si="5"/>
        <v>32211.143446337759</v>
      </c>
      <c r="F46" s="720">
        <f t="shared" si="5"/>
        <v>315.77586738844445</v>
      </c>
      <c r="G46" s="720">
        <f t="shared" ca="1" si="5"/>
        <v>2688.7018036186887</v>
      </c>
      <c r="H46" s="720">
        <f t="shared" si="5"/>
        <v>0</v>
      </c>
      <c r="I46" s="720">
        <f t="shared" si="5"/>
        <v>0</v>
      </c>
      <c r="J46" s="720">
        <f t="shared" si="5"/>
        <v>0</v>
      </c>
      <c r="K46" s="720">
        <f t="shared" si="5"/>
        <v>2.033012925069162</v>
      </c>
      <c r="L46" s="720">
        <f t="shared" si="5"/>
        <v>0</v>
      </c>
      <c r="M46" s="720">
        <f t="shared" ca="1" si="5"/>
        <v>0</v>
      </c>
      <c r="N46" s="720">
        <f t="shared" si="5"/>
        <v>0</v>
      </c>
      <c r="O46" s="720">
        <f t="shared" ca="1" si="5"/>
        <v>0</v>
      </c>
      <c r="P46" s="720">
        <f t="shared" si="5"/>
        <v>0</v>
      </c>
      <c r="Q46" s="720">
        <f t="shared" si="5"/>
        <v>0</v>
      </c>
      <c r="R46" s="720">
        <f ca="1">SUM(R39:R45)</f>
        <v>55229.799989866013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174.06568145450342</v>
      </c>
      <c r="D49" s="687">
        <f ca="1">transport!C58</f>
        <v>0</v>
      </c>
      <c r="E49" s="687">
        <f>transport!D58</f>
        <v>0</v>
      </c>
      <c r="F49" s="687">
        <f>transport!E58</f>
        <v>0</v>
      </c>
      <c r="G49" s="687">
        <f>transport!F58</f>
        <v>0</v>
      </c>
      <c r="H49" s="687">
        <f>transport!G58</f>
        <v>101.3771471174241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275.44282857192752</v>
      </c>
    </row>
    <row r="50" spans="1:18">
      <c r="A50" s="818" t="s">
        <v>307</v>
      </c>
      <c r="B50" s="828"/>
      <c r="C50" s="995">
        <f ca="1">transport!B18</f>
        <v>5.9396614069343635E-2</v>
      </c>
      <c r="D50" s="995">
        <f>transport!C18</f>
        <v>0</v>
      </c>
      <c r="E50" s="995">
        <f>transport!D18</f>
        <v>0.25909787663040051</v>
      </c>
      <c r="F50" s="995">
        <f>transport!E18</f>
        <v>29.794806876166493</v>
      </c>
      <c r="G50" s="995">
        <f>transport!F18</f>
        <v>0</v>
      </c>
      <c r="H50" s="995">
        <f>transport!G18</f>
        <v>6502.3522165619552</v>
      </c>
      <c r="I50" s="995">
        <f>transport!H18</f>
        <v>1067.5452938506603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7600.0108117794816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174.12507806857278</v>
      </c>
      <c r="D52" s="720">
        <f t="shared" ref="D52:Q52" ca="1" si="6">SUM(D48:D51)</f>
        <v>0</v>
      </c>
      <c r="E52" s="720">
        <f t="shared" si="6"/>
        <v>0.25909787663040051</v>
      </c>
      <c r="F52" s="720">
        <f t="shared" si="6"/>
        <v>29.794806876166493</v>
      </c>
      <c r="G52" s="720">
        <f t="shared" si="6"/>
        <v>0</v>
      </c>
      <c r="H52" s="720">
        <f t="shared" si="6"/>
        <v>6603.7293636793793</v>
      </c>
      <c r="I52" s="720">
        <f t="shared" si="6"/>
        <v>1067.5452938506603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7875.4536403514094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80.465861585215137</v>
      </c>
      <c r="D54" s="995">
        <f ca="1">+landbouw!C12</f>
        <v>0</v>
      </c>
      <c r="E54" s="995">
        <f>+landbouw!D12</f>
        <v>28.413020702403365</v>
      </c>
      <c r="F54" s="995">
        <f>+landbouw!E12</f>
        <v>0.87783474253573102</v>
      </c>
      <c r="G54" s="995">
        <f>+landbouw!F12</f>
        <v>422.06605110236404</v>
      </c>
      <c r="H54" s="995">
        <f>+landbouw!G12</f>
        <v>0</v>
      </c>
      <c r="I54" s="995">
        <f>+landbouw!H12</f>
        <v>0</v>
      </c>
      <c r="J54" s="995">
        <f>+landbouw!I12</f>
        <v>0</v>
      </c>
      <c r="K54" s="995">
        <f>+landbouw!J12</f>
        <v>11.674723551617252</v>
      </c>
      <c r="L54" s="995">
        <f>+landbouw!K12</f>
        <v>0</v>
      </c>
      <c r="M54" s="995">
        <f>+landbouw!L12</f>
        <v>0</v>
      </c>
      <c r="N54" s="995">
        <f>+landbouw!M12</f>
        <v>0</v>
      </c>
      <c r="O54" s="995">
        <f>+landbouw!N12</f>
        <v>0</v>
      </c>
      <c r="P54" s="995">
        <f>+landbouw!O12</f>
        <v>0</v>
      </c>
      <c r="Q54" s="996">
        <f>+landbouw!P12</f>
        <v>0</v>
      </c>
      <c r="R54" s="719">
        <f ca="1">SUM(C54:Q54)</f>
        <v>543.49749168413553</v>
      </c>
    </row>
    <row r="55" spans="1:18" ht="15" thickBot="1">
      <c r="A55" s="818" t="s">
        <v>925</v>
      </c>
      <c r="B55" s="828"/>
      <c r="C55" s="995">
        <f ca="1">C25*'EF ele_warmte'!B12</f>
        <v>689.27145192923138</v>
      </c>
      <c r="D55" s="995"/>
      <c r="E55" s="995">
        <f>E25*EF_CO2_aardgas</f>
        <v>1540.5475519775175</v>
      </c>
      <c r="F55" s="995"/>
      <c r="G55" s="995"/>
      <c r="H55" s="995"/>
      <c r="I55" s="995"/>
      <c r="J55" s="995"/>
      <c r="K55" s="995"/>
      <c r="L55" s="995"/>
      <c r="M55" s="995"/>
      <c r="N55" s="995"/>
      <c r="O55" s="995"/>
      <c r="P55" s="995"/>
      <c r="Q55" s="996"/>
      <c r="R55" s="719">
        <f ca="1">SUM(C55:Q55)</f>
        <v>2229.819003906749</v>
      </c>
    </row>
    <row r="56" spans="1:18" ht="15.75" thickBot="1">
      <c r="A56" s="816" t="s">
        <v>926</v>
      </c>
      <c r="B56" s="829"/>
      <c r="C56" s="720">
        <f ca="1">SUM(C54:C55)</f>
        <v>769.73731351444656</v>
      </c>
      <c r="D56" s="720">
        <f t="shared" ref="D56:Q56" ca="1" si="7">SUM(D54:D55)</f>
        <v>0</v>
      </c>
      <c r="E56" s="720">
        <f t="shared" si="7"/>
        <v>1568.9605726799209</v>
      </c>
      <c r="F56" s="720">
        <f t="shared" si="7"/>
        <v>0.87783474253573102</v>
      </c>
      <c r="G56" s="720">
        <f t="shared" si="7"/>
        <v>422.06605110236404</v>
      </c>
      <c r="H56" s="720">
        <f t="shared" si="7"/>
        <v>0</v>
      </c>
      <c r="I56" s="720">
        <f t="shared" si="7"/>
        <v>0</v>
      </c>
      <c r="J56" s="720">
        <f t="shared" si="7"/>
        <v>0</v>
      </c>
      <c r="K56" s="720">
        <f t="shared" si="7"/>
        <v>11.674723551617252</v>
      </c>
      <c r="L56" s="720">
        <f t="shared" si="7"/>
        <v>0</v>
      </c>
      <c r="M56" s="720">
        <f t="shared" si="7"/>
        <v>0</v>
      </c>
      <c r="N56" s="720">
        <f t="shared" si="7"/>
        <v>0</v>
      </c>
      <c r="O56" s="720">
        <f t="shared" si="7"/>
        <v>0</v>
      </c>
      <c r="P56" s="720">
        <f t="shared" si="7"/>
        <v>0</v>
      </c>
      <c r="Q56" s="721">
        <f t="shared" si="7"/>
        <v>0</v>
      </c>
      <c r="R56" s="722">
        <f ca="1">SUM(R54:R55)</f>
        <v>2773.3164955908846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20956.008251179061</v>
      </c>
      <c r="D61" s="728">
        <f t="shared" ref="D61:Q61" ca="1" si="8">D46+D52+D56</f>
        <v>0</v>
      </c>
      <c r="E61" s="728">
        <f t="shared" ca="1" si="8"/>
        <v>33780.36311689431</v>
      </c>
      <c r="F61" s="728">
        <f t="shared" si="8"/>
        <v>346.4485090071467</v>
      </c>
      <c r="G61" s="728">
        <f t="shared" ca="1" si="8"/>
        <v>3110.7678547210526</v>
      </c>
      <c r="H61" s="728">
        <f t="shared" si="8"/>
        <v>6603.7293636793793</v>
      </c>
      <c r="I61" s="728">
        <f t="shared" si="8"/>
        <v>1067.5452938506603</v>
      </c>
      <c r="J61" s="728">
        <f t="shared" si="8"/>
        <v>0</v>
      </c>
      <c r="K61" s="728">
        <f t="shared" si="8"/>
        <v>13.707736476686414</v>
      </c>
      <c r="L61" s="728">
        <f t="shared" si="8"/>
        <v>0</v>
      </c>
      <c r="M61" s="728">
        <f t="shared" ca="1" si="8"/>
        <v>0</v>
      </c>
      <c r="N61" s="728">
        <f t="shared" si="8"/>
        <v>0</v>
      </c>
      <c r="O61" s="728">
        <f t="shared" ca="1" si="8"/>
        <v>0</v>
      </c>
      <c r="P61" s="728">
        <f t="shared" si="8"/>
        <v>0</v>
      </c>
      <c r="Q61" s="728">
        <f t="shared" si="8"/>
        <v>0</v>
      </c>
      <c r="R61" s="728">
        <f ca="1">R46+R52+R56</f>
        <v>65878.570125808299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0.21790308036034572</v>
      </c>
      <c r="D63" s="772">
        <f t="shared" ca="1" si="9"/>
        <v>0</v>
      </c>
      <c r="E63" s="997">
        <f t="shared" ca="1" si="9"/>
        <v>0.20199999999999999</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1347.6678056892138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1347.6678056892138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1347.6678056892138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1347.6678056892138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41125.23218243006</v>
      </c>
      <c r="C4" s="460">
        <f>huishoudens!C8</f>
        <v>0</v>
      </c>
      <c r="D4" s="460">
        <f>huishoudens!D8</f>
        <v>99794.040733472444</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40.646666666666668</v>
      </c>
      <c r="P4" s="461">
        <f>huishoudens!P8</f>
        <v>19.066666666666666</v>
      </c>
      <c r="Q4" s="462">
        <f>SUM(B4:P4)</f>
        <v>140978.98624923584</v>
      </c>
    </row>
    <row r="5" spans="1:17">
      <c r="A5" s="459" t="s">
        <v>156</v>
      </c>
      <c r="B5" s="460">
        <f ca="1">tertiair!B16</f>
        <v>46334.917958082144</v>
      </c>
      <c r="C5" s="460">
        <f ca="1">tertiair!C16</f>
        <v>0</v>
      </c>
      <c r="D5" s="460">
        <f ca="1">tertiair!D16</f>
        <v>57132.182601844237</v>
      </c>
      <c r="E5" s="460">
        <f>tertiair!E16</f>
        <v>1354.7609876791544</v>
      </c>
      <c r="F5" s="460">
        <f ca="1">tertiair!F16</f>
        <v>8719.8362856528056</v>
      </c>
      <c r="G5" s="460">
        <f>tertiair!G16</f>
        <v>0</v>
      </c>
      <c r="H5" s="460">
        <f>tertiair!H16</f>
        <v>0</v>
      </c>
      <c r="I5" s="460">
        <f>tertiair!I16</f>
        <v>0</v>
      </c>
      <c r="J5" s="460">
        <f>tertiair!J16</f>
        <v>0</v>
      </c>
      <c r="K5" s="460">
        <f>tertiair!K16</f>
        <v>0</v>
      </c>
      <c r="L5" s="460">
        <f ca="1">tertiair!L16</f>
        <v>0</v>
      </c>
      <c r="M5" s="460">
        <f>tertiair!M16</f>
        <v>0</v>
      </c>
      <c r="N5" s="460">
        <f ca="1">tertiair!N16</f>
        <v>1655.5823301938647</v>
      </c>
      <c r="O5" s="460">
        <f>tertiair!O16</f>
        <v>1.5633333333333335</v>
      </c>
      <c r="P5" s="461">
        <f>tertiair!P16</f>
        <v>19.066666666666666</v>
      </c>
      <c r="Q5" s="459">
        <f t="shared" ref="Q5:Q14" ca="1" si="0">SUM(B5:P5)</f>
        <v>115217.91016345222</v>
      </c>
    </row>
    <row r="6" spans="1:17">
      <c r="A6" s="459" t="s">
        <v>194</v>
      </c>
      <c r="B6" s="460">
        <f>'openbare verlichting'!B8</f>
        <v>1807.8820000000001</v>
      </c>
      <c r="C6" s="460"/>
      <c r="D6" s="460"/>
      <c r="E6" s="460"/>
      <c r="F6" s="460"/>
      <c r="G6" s="460"/>
      <c r="H6" s="460"/>
      <c r="I6" s="460"/>
      <c r="J6" s="460"/>
      <c r="K6" s="460"/>
      <c r="L6" s="460"/>
      <c r="M6" s="460"/>
      <c r="N6" s="460"/>
      <c r="O6" s="460"/>
      <c r="P6" s="461"/>
      <c r="Q6" s="459">
        <f t="shared" si="0"/>
        <v>1807.8820000000001</v>
      </c>
    </row>
    <row r="7" spans="1:17">
      <c r="A7" s="459" t="s">
        <v>112</v>
      </c>
      <c r="B7" s="460">
        <f>landbouw!B8</f>
        <v>369.27363051568142</v>
      </c>
      <c r="C7" s="460">
        <f>landbouw!C8</f>
        <v>0</v>
      </c>
      <c r="D7" s="460">
        <f>landbouw!D8</f>
        <v>140.65851832872951</v>
      </c>
      <c r="E7" s="460">
        <f>landbouw!E8</f>
        <v>3.8671134032411056</v>
      </c>
      <c r="F7" s="460">
        <f>landbouw!F8</f>
        <v>1580.7717269751461</v>
      </c>
      <c r="G7" s="460">
        <f>landbouw!G8</f>
        <v>0</v>
      </c>
      <c r="H7" s="460">
        <f>landbouw!H8</f>
        <v>0</v>
      </c>
      <c r="I7" s="460">
        <f>landbouw!I8</f>
        <v>0</v>
      </c>
      <c r="J7" s="460">
        <f>landbouw!J8</f>
        <v>32.979445061065682</v>
      </c>
      <c r="K7" s="460">
        <f>landbouw!K8</f>
        <v>0</v>
      </c>
      <c r="L7" s="460">
        <f>landbouw!L8</f>
        <v>0</v>
      </c>
      <c r="M7" s="460">
        <f>landbouw!M8</f>
        <v>0</v>
      </c>
      <c r="N7" s="460">
        <f>landbouw!N8</f>
        <v>0</v>
      </c>
      <c r="O7" s="460">
        <f>landbouw!O8</f>
        <v>0</v>
      </c>
      <c r="P7" s="461">
        <f>landbouw!P8</f>
        <v>0</v>
      </c>
      <c r="Q7" s="459">
        <f t="shared" si="0"/>
        <v>2127.5504342838635</v>
      </c>
    </row>
    <row r="8" spans="1:17">
      <c r="A8" s="459" t="s">
        <v>655</v>
      </c>
      <c r="B8" s="460">
        <f>industrie!B18</f>
        <v>2571.6326613896777</v>
      </c>
      <c r="C8" s="460">
        <f>industrie!C18</f>
        <v>0</v>
      </c>
      <c r="D8" s="460">
        <f>industrie!D18</f>
        <v>2534.882834672213</v>
      </c>
      <c r="E8" s="460">
        <f>industrie!E18</f>
        <v>36.32212856949949</v>
      </c>
      <c r="F8" s="460">
        <f>industrie!F18</f>
        <v>1350.2079226568901</v>
      </c>
      <c r="G8" s="460">
        <f>industrie!G18</f>
        <v>0</v>
      </c>
      <c r="H8" s="460">
        <f>industrie!H18</f>
        <v>0</v>
      </c>
      <c r="I8" s="460">
        <f>industrie!I18</f>
        <v>0</v>
      </c>
      <c r="J8" s="460">
        <f>industrie!J18</f>
        <v>5.7429743646021532</v>
      </c>
      <c r="K8" s="460">
        <f>industrie!K18</f>
        <v>0</v>
      </c>
      <c r="L8" s="460">
        <f>industrie!L18</f>
        <v>0</v>
      </c>
      <c r="M8" s="460">
        <f>industrie!M18</f>
        <v>0</v>
      </c>
      <c r="N8" s="460">
        <f>industrie!N18</f>
        <v>125.5195489969356</v>
      </c>
      <c r="O8" s="460">
        <f>industrie!O18</f>
        <v>0</v>
      </c>
      <c r="P8" s="461">
        <f>industrie!P18</f>
        <v>0</v>
      </c>
      <c r="Q8" s="459">
        <f t="shared" si="0"/>
        <v>6624.3080706498195</v>
      </c>
    </row>
    <row r="9" spans="1:17" s="465" customFormat="1">
      <c r="A9" s="463" t="s">
        <v>573</v>
      </c>
      <c r="B9" s="464">
        <f>transport!B14</f>
        <v>0.27258271875330825</v>
      </c>
      <c r="C9" s="464">
        <f>transport!C14</f>
        <v>0</v>
      </c>
      <c r="D9" s="464">
        <f>transport!D14</f>
        <v>1.2826627555960421</v>
      </c>
      <c r="E9" s="464">
        <f>transport!E14</f>
        <v>131.25465584214314</v>
      </c>
      <c r="F9" s="464">
        <f>transport!F14</f>
        <v>0</v>
      </c>
      <c r="G9" s="464">
        <f>transport!G14</f>
        <v>24353.37908824702</v>
      </c>
      <c r="H9" s="464">
        <f>transport!H14</f>
        <v>4287.3304973922104</v>
      </c>
      <c r="I9" s="464">
        <f>transport!I14</f>
        <v>0</v>
      </c>
      <c r="J9" s="464">
        <f>transport!J14</f>
        <v>0</v>
      </c>
      <c r="K9" s="464">
        <f>transport!K14</f>
        <v>0</v>
      </c>
      <c r="L9" s="464">
        <f>transport!L14</f>
        <v>0</v>
      </c>
      <c r="M9" s="464">
        <f>transport!M14</f>
        <v>1249.9885934073998</v>
      </c>
      <c r="N9" s="464">
        <f>transport!N14</f>
        <v>0</v>
      </c>
      <c r="O9" s="464">
        <f>transport!O14</f>
        <v>0</v>
      </c>
      <c r="P9" s="464">
        <f>transport!P14</f>
        <v>0</v>
      </c>
      <c r="Q9" s="463">
        <f>SUM(B9:P9)</f>
        <v>30023.508080363124</v>
      </c>
    </row>
    <row r="10" spans="1:17">
      <c r="A10" s="459" t="s">
        <v>563</v>
      </c>
      <c r="B10" s="460">
        <f>transport!B54</f>
        <v>798.82157318130385</v>
      </c>
      <c r="C10" s="460">
        <f>transport!C54</f>
        <v>0</v>
      </c>
      <c r="D10" s="460">
        <f>transport!D54</f>
        <v>0</v>
      </c>
      <c r="E10" s="460">
        <f>transport!E54</f>
        <v>0</v>
      </c>
      <c r="F10" s="460">
        <f>transport!F54</f>
        <v>0</v>
      </c>
      <c r="G10" s="460">
        <f>transport!G54</f>
        <v>379.68968957836739</v>
      </c>
      <c r="H10" s="460">
        <f>transport!H54</f>
        <v>0</v>
      </c>
      <c r="I10" s="460">
        <f>transport!I54</f>
        <v>0</v>
      </c>
      <c r="J10" s="460">
        <f>transport!J54</f>
        <v>0</v>
      </c>
      <c r="K10" s="460">
        <f>transport!K54</f>
        <v>0</v>
      </c>
      <c r="L10" s="460">
        <f>transport!L54</f>
        <v>0</v>
      </c>
      <c r="M10" s="460">
        <f>transport!M54</f>
        <v>16.184521913766773</v>
      </c>
      <c r="N10" s="460">
        <f>transport!N54</f>
        <v>0</v>
      </c>
      <c r="O10" s="460">
        <f>transport!O54</f>
        <v>0</v>
      </c>
      <c r="P10" s="461">
        <f>transport!P54</f>
        <v>0</v>
      </c>
      <c r="Q10" s="459">
        <f t="shared" si="0"/>
        <v>1194.6957846734381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3163.2019647881302</v>
      </c>
      <c r="C14" s="467"/>
      <c r="D14" s="467">
        <f>'SEAP template'!E25</f>
        <v>7626.4730295916706</v>
      </c>
      <c r="E14" s="467"/>
      <c r="F14" s="467"/>
      <c r="G14" s="467"/>
      <c r="H14" s="467"/>
      <c r="I14" s="467"/>
      <c r="J14" s="467"/>
      <c r="K14" s="467"/>
      <c r="L14" s="467"/>
      <c r="M14" s="467"/>
      <c r="N14" s="467"/>
      <c r="O14" s="467"/>
      <c r="P14" s="468"/>
      <c r="Q14" s="459">
        <f t="shared" si="0"/>
        <v>10789.6749943798</v>
      </c>
    </row>
    <row r="15" spans="1:17" s="472" customFormat="1">
      <c r="A15" s="469" t="s">
        <v>567</v>
      </c>
      <c r="B15" s="470">
        <f ca="1">SUM(B4:B14)</f>
        <v>96171.234553105765</v>
      </c>
      <c r="C15" s="470">
        <f t="shared" ref="C15:Q15" ca="1" si="1">SUM(C4:C14)</f>
        <v>0</v>
      </c>
      <c r="D15" s="470">
        <f t="shared" ca="1" si="1"/>
        <v>167229.52038066491</v>
      </c>
      <c r="E15" s="470">
        <f t="shared" si="1"/>
        <v>1526.2048854940381</v>
      </c>
      <c r="F15" s="470">
        <f t="shared" ca="1" si="1"/>
        <v>11650.815935284842</v>
      </c>
      <c r="G15" s="470">
        <f t="shared" si="1"/>
        <v>24733.068777825389</v>
      </c>
      <c r="H15" s="470">
        <f t="shared" si="1"/>
        <v>4287.3304973922104</v>
      </c>
      <c r="I15" s="470">
        <f t="shared" si="1"/>
        <v>0</v>
      </c>
      <c r="J15" s="470">
        <f t="shared" si="1"/>
        <v>38.722419425667837</v>
      </c>
      <c r="K15" s="470">
        <f t="shared" si="1"/>
        <v>0</v>
      </c>
      <c r="L15" s="470">
        <f t="shared" ca="1" si="1"/>
        <v>0</v>
      </c>
      <c r="M15" s="470">
        <f t="shared" si="1"/>
        <v>1266.1731153211665</v>
      </c>
      <c r="N15" s="470">
        <f t="shared" ca="1" si="1"/>
        <v>1781.1018791908002</v>
      </c>
      <c r="O15" s="470">
        <f t="shared" si="1"/>
        <v>42.21</v>
      </c>
      <c r="P15" s="470">
        <f t="shared" si="1"/>
        <v>38.133333333333333</v>
      </c>
      <c r="Q15" s="470">
        <f t="shared" ca="1" si="1"/>
        <v>308764.51577703812</v>
      </c>
    </row>
    <row r="17" spans="1:17">
      <c r="A17" s="473" t="s">
        <v>568</v>
      </c>
      <c r="B17" s="777">
        <f ca="1">huishoudens!B10</f>
        <v>0.2179030803603457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8961.3147730859328</v>
      </c>
      <c r="C22" s="460">
        <f t="shared" ref="C22:C32" ca="1" si="3">C4*$C$17</f>
        <v>0</v>
      </c>
      <c r="D22" s="460">
        <f t="shared" ref="D22:D32" si="4">D4*$D$17</f>
        <v>20158.396228161437</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29119.711001247371</v>
      </c>
    </row>
    <row r="23" spans="1:17">
      <c r="A23" s="459" t="s">
        <v>156</v>
      </c>
      <c r="B23" s="460">
        <f t="shared" ca="1" si="2"/>
        <v>10096.521351309999</v>
      </c>
      <c r="C23" s="460">
        <f t="shared" ca="1" si="3"/>
        <v>0</v>
      </c>
      <c r="D23" s="460">
        <f t="shared" ca="1" si="4"/>
        <v>11540.700885572536</v>
      </c>
      <c r="E23" s="460">
        <f t="shared" si="5"/>
        <v>307.53074420316807</v>
      </c>
      <c r="F23" s="460">
        <f t="shared" ca="1" si="6"/>
        <v>2328.1962882692992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24272.949269355002</v>
      </c>
    </row>
    <row r="24" spans="1:17">
      <c r="A24" s="459" t="s">
        <v>194</v>
      </c>
      <c r="B24" s="460">
        <f t="shared" ca="1" si="2"/>
        <v>393.9430567280225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393.9430567280225</v>
      </c>
    </row>
    <row r="25" spans="1:17">
      <c r="A25" s="459" t="s">
        <v>112</v>
      </c>
      <c r="B25" s="460">
        <f t="shared" ca="1" si="2"/>
        <v>80.465861585215137</v>
      </c>
      <c r="C25" s="460">
        <f t="shared" ca="1" si="3"/>
        <v>0</v>
      </c>
      <c r="D25" s="460">
        <f t="shared" si="4"/>
        <v>28.413020702403365</v>
      </c>
      <c r="E25" s="460">
        <f t="shared" si="5"/>
        <v>0.87783474253573102</v>
      </c>
      <c r="F25" s="460">
        <f t="shared" si="6"/>
        <v>422.06605110236404</v>
      </c>
      <c r="G25" s="460">
        <f t="shared" si="7"/>
        <v>0</v>
      </c>
      <c r="H25" s="460">
        <f t="shared" si="8"/>
        <v>0</v>
      </c>
      <c r="I25" s="460">
        <f t="shared" si="9"/>
        <v>0</v>
      </c>
      <c r="J25" s="460">
        <f t="shared" si="10"/>
        <v>11.674723551617252</v>
      </c>
      <c r="K25" s="460">
        <f t="shared" si="11"/>
        <v>0</v>
      </c>
      <c r="L25" s="460">
        <f t="shared" si="12"/>
        <v>0</v>
      </c>
      <c r="M25" s="460">
        <f t="shared" si="13"/>
        <v>0</v>
      </c>
      <c r="N25" s="460">
        <f t="shared" si="14"/>
        <v>0</v>
      </c>
      <c r="O25" s="460">
        <f t="shared" si="15"/>
        <v>0</v>
      </c>
      <c r="P25" s="461">
        <f t="shared" si="16"/>
        <v>0</v>
      </c>
      <c r="Q25" s="459">
        <f t="shared" ca="1" si="17"/>
        <v>543.49749168413553</v>
      </c>
    </row>
    <row r="26" spans="1:17">
      <c r="A26" s="459" t="s">
        <v>655</v>
      </c>
      <c r="B26" s="460">
        <f t="shared" ca="1" si="2"/>
        <v>560.36667847208457</v>
      </c>
      <c r="C26" s="460">
        <f t="shared" ca="1" si="3"/>
        <v>0</v>
      </c>
      <c r="D26" s="460">
        <f t="shared" si="4"/>
        <v>512.04633260378705</v>
      </c>
      <c r="E26" s="460">
        <f t="shared" si="5"/>
        <v>8.245123185276384</v>
      </c>
      <c r="F26" s="460">
        <f t="shared" si="6"/>
        <v>360.50551534938967</v>
      </c>
      <c r="G26" s="460">
        <f t="shared" si="7"/>
        <v>0</v>
      </c>
      <c r="H26" s="460">
        <f t="shared" si="8"/>
        <v>0</v>
      </c>
      <c r="I26" s="460">
        <f t="shared" si="9"/>
        <v>0</v>
      </c>
      <c r="J26" s="460">
        <f t="shared" si="10"/>
        <v>2.033012925069162</v>
      </c>
      <c r="K26" s="460">
        <f t="shared" si="11"/>
        <v>0</v>
      </c>
      <c r="L26" s="460">
        <f t="shared" si="12"/>
        <v>0</v>
      </c>
      <c r="M26" s="460">
        <f t="shared" si="13"/>
        <v>0</v>
      </c>
      <c r="N26" s="460">
        <f t="shared" si="14"/>
        <v>0</v>
      </c>
      <c r="O26" s="460">
        <f t="shared" si="15"/>
        <v>0</v>
      </c>
      <c r="P26" s="461">
        <f t="shared" si="16"/>
        <v>0</v>
      </c>
      <c r="Q26" s="459">
        <f t="shared" ca="1" si="17"/>
        <v>1443.1966625356069</v>
      </c>
    </row>
    <row r="27" spans="1:17" s="465" customFormat="1">
      <c r="A27" s="463" t="s">
        <v>573</v>
      </c>
      <c r="B27" s="771">
        <f t="shared" ca="1" si="2"/>
        <v>5.9396614069343635E-2</v>
      </c>
      <c r="C27" s="464">
        <f t="shared" ca="1" si="3"/>
        <v>0</v>
      </c>
      <c r="D27" s="464">
        <f t="shared" si="4"/>
        <v>0.25909787663040051</v>
      </c>
      <c r="E27" s="464">
        <f t="shared" si="5"/>
        <v>29.794806876166493</v>
      </c>
      <c r="F27" s="464">
        <f t="shared" si="6"/>
        <v>0</v>
      </c>
      <c r="G27" s="464">
        <f t="shared" si="7"/>
        <v>6502.3522165619552</v>
      </c>
      <c r="H27" s="464">
        <f t="shared" si="8"/>
        <v>1067.5452938506603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7600.0108117794816</v>
      </c>
    </row>
    <row r="28" spans="1:17">
      <c r="A28" s="459" t="s">
        <v>563</v>
      </c>
      <c r="B28" s="460">
        <f t="shared" ca="1" si="2"/>
        <v>174.06568145450342</v>
      </c>
      <c r="C28" s="460">
        <f t="shared" ca="1" si="3"/>
        <v>0</v>
      </c>
      <c r="D28" s="460">
        <f t="shared" si="4"/>
        <v>0</v>
      </c>
      <c r="E28" s="460">
        <f t="shared" si="5"/>
        <v>0</v>
      </c>
      <c r="F28" s="460">
        <f t="shared" si="6"/>
        <v>0</v>
      </c>
      <c r="G28" s="460">
        <f t="shared" si="7"/>
        <v>101.3771471174241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275.44282857192752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689.27145192923138</v>
      </c>
      <c r="C32" s="460">
        <f t="shared" ca="1" si="3"/>
        <v>0</v>
      </c>
      <c r="D32" s="460">
        <f t="shared" si="4"/>
        <v>1540.5475519775175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2229.819003906749</v>
      </c>
    </row>
    <row r="33" spans="1:17" s="472" customFormat="1">
      <c r="A33" s="469" t="s">
        <v>567</v>
      </c>
      <c r="B33" s="470">
        <f ca="1">SUM(B22:B32)</f>
        <v>20956.008251179057</v>
      </c>
      <c r="C33" s="470">
        <f t="shared" ref="C33:Q33" ca="1" si="19">SUM(C22:C32)</f>
        <v>0</v>
      </c>
      <c r="D33" s="470">
        <f t="shared" ca="1" si="19"/>
        <v>33780.36311689431</v>
      </c>
      <c r="E33" s="470">
        <f t="shared" si="19"/>
        <v>346.4485090071467</v>
      </c>
      <c r="F33" s="470">
        <f t="shared" ca="1" si="19"/>
        <v>3110.7678547210526</v>
      </c>
      <c r="G33" s="470">
        <f t="shared" si="19"/>
        <v>6603.7293636793793</v>
      </c>
      <c r="H33" s="470">
        <f t="shared" si="19"/>
        <v>1067.5452938506603</v>
      </c>
      <c r="I33" s="470">
        <f t="shared" si="19"/>
        <v>0</v>
      </c>
      <c r="J33" s="470">
        <f t="shared" si="19"/>
        <v>13.707736476686414</v>
      </c>
      <c r="K33" s="470">
        <f t="shared" si="19"/>
        <v>0</v>
      </c>
      <c r="L33" s="470">
        <f t="shared" ca="1" si="19"/>
        <v>0</v>
      </c>
      <c r="M33" s="470">
        <f t="shared" si="19"/>
        <v>0</v>
      </c>
      <c r="N33" s="470">
        <f t="shared" ca="1" si="19"/>
        <v>0</v>
      </c>
      <c r="O33" s="470">
        <f t="shared" si="19"/>
        <v>0</v>
      </c>
      <c r="P33" s="470">
        <f t="shared" si="19"/>
        <v>0</v>
      </c>
      <c r="Q33" s="470">
        <f t="shared" ca="1" si="19"/>
        <v>65878.570125808299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1347.6678056892138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1347.6678056892138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0.2179030803603457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0.2179030803603457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2019-08-12T09:20:47Z</dcterms:modified>
</cp:coreProperties>
</file>