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G20" s="1"/>
  <c r="F18"/>
  <c r="F20" s="1"/>
  <c r="E18"/>
  <c r="D18"/>
  <c r="D20" s="1"/>
  <c r="C18"/>
  <c r="B18"/>
  <c r="L9"/>
  <c r="K9"/>
  <c r="I9"/>
  <c r="G9"/>
  <c r="F9"/>
  <c r="F10" s="1"/>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B17"/>
  <c r="B20" s="1"/>
  <c r="G12"/>
  <c r="F12"/>
  <c r="E12"/>
  <c r="D12"/>
  <c r="C12"/>
  <c r="L10"/>
  <c r="K10"/>
  <c r="G10"/>
  <c r="D10"/>
  <c r="B6"/>
  <c r="B5"/>
  <c r="B4"/>
  <c r="O9" l="1"/>
  <c r="O18"/>
  <c r="B8"/>
  <c r="B98"/>
  <c r="E102" s="1"/>
  <c r="E17" s="1"/>
  <c r="O19"/>
  <c r="B10"/>
  <c r="I101"/>
  <c r="H8" s="1"/>
  <c r="H10" s="1"/>
  <c r="E101"/>
  <c r="E8" s="1"/>
  <c r="E10" s="1"/>
  <c r="H101"/>
  <c r="D101"/>
  <c r="G101"/>
  <c r="C101"/>
  <c r="F101"/>
  <c r="B101"/>
  <c r="C8" s="1"/>
  <c r="D76" i="14"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M76" i="14"/>
  <c r="M8" i="55" s="1"/>
  <c r="L76" i="14"/>
  <c r="K76"/>
  <c r="K8" i="55" s="1"/>
  <c r="H76" i="14"/>
  <c r="H8" i="55" s="1"/>
  <c r="G76" i="14"/>
  <c r="G8" i="55" s="1"/>
  <c r="F76" i="14"/>
  <c r="F8" i="55" s="1"/>
  <c r="E76" i="14"/>
  <c r="E8" i="55" s="1"/>
  <c r="B75" i="14"/>
  <c r="B7" i="55" s="1"/>
  <c r="B74" i="14"/>
  <c r="B6" i="55" s="1"/>
  <c r="B73" i="14"/>
  <c r="B5" i="55" s="1"/>
  <c r="B72" i="14"/>
  <c r="B4" i="55" s="1"/>
  <c r="C29" i="14"/>
  <c r="Q54"/>
  <c r="Q56" s="1"/>
  <c r="P54"/>
  <c r="L54"/>
  <c r="L56" s="1"/>
  <c r="J54"/>
  <c r="J56" s="1"/>
  <c r="I54"/>
  <c r="H54"/>
  <c r="H56" s="1"/>
  <c r="Q24"/>
  <c r="P24"/>
  <c r="P26" s="1"/>
  <c r="N24"/>
  <c r="L24"/>
  <c r="J24"/>
  <c r="I24"/>
  <c r="I26" s="1"/>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F78"/>
  <c r="E55"/>
  <c r="P56"/>
  <c r="I56"/>
  <c r="R44"/>
  <c r="L26"/>
  <c r="H26"/>
  <c r="E25"/>
  <c r="Q26"/>
  <c r="N26"/>
  <c r="J26"/>
  <c r="R12"/>
  <c r="D5" i="17"/>
  <c r="Q76" i="14" l="1"/>
  <c r="P8" i="55" s="1"/>
  <c r="D8"/>
  <c r="E20" i="18"/>
  <c r="F87" i="14"/>
  <c r="F17" i="55" s="1"/>
  <c r="F20" s="1"/>
  <c r="L78" i="14"/>
  <c r="L8" i="55"/>
  <c r="L10" s="1"/>
  <c r="G78" i="14"/>
  <c r="G9" i="55"/>
  <c r="G10" s="1"/>
  <c r="O78" i="14"/>
  <c r="O9" i="55"/>
  <c r="C77" i="14"/>
  <c r="C9" i="55" s="1"/>
  <c r="F9"/>
  <c r="N78" i="14"/>
  <c r="N9" i="55"/>
  <c r="N10" s="1"/>
  <c r="C102" i="18"/>
  <c r="L90" i="14"/>
  <c r="G20" i="55"/>
  <c r="O20"/>
  <c r="H102" i="18"/>
  <c r="J17" s="1"/>
  <c r="H90" i="14"/>
  <c r="Q52"/>
  <c r="K10" i="55"/>
  <c r="O32" i="48"/>
  <c r="D102" i="18"/>
  <c r="Q22" i="14"/>
  <c r="P32" i="48"/>
  <c r="G102" i="18"/>
  <c r="F90" i="14"/>
  <c r="F18" i="55"/>
  <c r="E90" i="14"/>
  <c r="E18" i="55"/>
  <c r="E20" s="1"/>
  <c r="F10"/>
  <c r="K20"/>
  <c r="R9" i="14"/>
  <c r="E10" i="55"/>
  <c r="O29" i="48"/>
  <c r="O28"/>
  <c r="O25"/>
  <c r="I102" i="18"/>
  <c r="H17" s="1"/>
  <c r="N90" i="14"/>
  <c r="N18" i="55"/>
  <c r="N20" s="1"/>
  <c r="D10"/>
  <c r="F102" i="18"/>
  <c r="O10" i="55"/>
  <c r="H20"/>
  <c r="B102" i="18"/>
  <c r="C17" s="1"/>
  <c r="C20" s="1"/>
  <c r="M22" i="14"/>
  <c r="G22"/>
  <c r="O22"/>
  <c r="P22"/>
  <c r="M10" i="55"/>
  <c r="B77" i="14"/>
  <c r="B9" i="55" s="1"/>
  <c r="H78" i="14"/>
  <c r="C88"/>
  <c r="C18" i="55" s="1"/>
  <c r="E78" i="14"/>
  <c r="M78"/>
  <c r="G90"/>
  <c r="O90"/>
  <c r="J8" i="18"/>
  <c r="Q88" i="14"/>
  <c r="P18" i="55" s="1"/>
  <c r="Q89" i="14"/>
  <c r="P19" i="55" s="1"/>
  <c r="C10" i="18"/>
  <c r="K78" i="14"/>
  <c r="B88"/>
  <c r="B18" i="55" s="1"/>
  <c r="C89" i="14"/>
  <c r="C19" i="55" s="1"/>
  <c r="B89" i="14"/>
  <c r="B19" i="55" s="1"/>
  <c r="I17" i="18"/>
  <c r="I8"/>
  <c r="O27" i="48"/>
  <c r="O31"/>
  <c r="P27"/>
  <c r="P28"/>
  <c r="P29"/>
  <c r="Q11"/>
  <c r="Q12"/>
  <c r="O30"/>
  <c r="Q77" i="14"/>
  <c r="D78"/>
  <c r="K90"/>
  <c r="Q78" l="1"/>
  <c r="B9" i="6" s="1"/>
  <c r="P9" i="55"/>
  <c r="P10" s="1"/>
  <c r="H20" i="18"/>
  <c r="M87" i="14"/>
  <c r="D87"/>
  <c r="D17" i="55" s="1"/>
  <c r="D20" s="1"/>
  <c r="O17" i="18"/>
  <c r="O20" s="1"/>
  <c r="I10"/>
  <c r="I76" i="14"/>
  <c r="I8" i="55" s="1"/>
  <c r="I10" s="1"/>
  <c r="J20" i="18"/>
  <c r="J87" i="14"/>
  <c r="I20" i="18"/>
  <c r="I87" i="14"/>
  <c r="I17" i="55" s="1"/>
  <c r="I20" s="1"/>
  <c r="O8" i="18"/>
  <c r="O10" s="1"/>
  <c r="J10"/>
  <c r="J76" i="14"/>
  <c r="J90" l="1"/>
  <c r="J17" i="55"/>
  <c r="J20" s="1"/>
  <c r="Q87" i="14"/>
  <c r="D90"/>
  <c r="M90"/>
  <c r="M17" i="55"/>
  <c r="M20" s="1"/>
  <c r="J78" i="14"/>
  <c r="J8" i="55"/>
  <c r="J10" s="1"/>
  <c r="I78" i="14"/>
  <c r="C76"/>
  <c r="B76"/>
  <c r="I90"/>
  <c r="B87"/>
  <c r="C87"/>
  <c r="H14" i="15"/>
  <c r="H16" s="1"/>
  <c r="G14"/>
  <c r="G16" s="1"/>
  <c r="B90" i="14" l="1"/>
  <c r="B17" i="55"/>
  <c r="B20" s="1"/>
  <c r="C90" i="14"/>
  <c r="C17" i="55"/>
  <c r="C20" s="1"/>
  <c r="H5" i="48"/>
  <c r="I10" i="14"/>
  <c r="I16" s="1"/>
  <c r="G5" i="48"/>
  <c r="H10" i="14"/>
  <c r="H16" s="1"/>
  <c r="C78"/>
  <c r="C8" i="55"/>
  <c r="C10" s="1"/>
  <c r="B78" i="14"/>
  <c r="B8" i="55"/>
  <c r="B10" s="1"/>
  <c r="Q90" i="14"/>
  <c r="B17" i="6" s="1"/>
  <c r="P17" i="55"/>
  <c r="P2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8"/>
  <c r="F31"/>
  <c r="F30"/>
  <c r="F27"/>
  <c r="F29"/>
  <c r="F24"/>
  <c r="B7"/>
  <c r="C24" i="14"/>
  <c r="C26" s="1"/>
  <c r="E32" i="48"/>
  <c r="E30"/>
  <c r="E24"/>
  <c r="E31"/>
  <c r="E29"/>
  <c r="E28"/>
  <c r="M32"/>
  <c r="M30"/>
  <c r="M24"/>
  <c r="M25"/>
  <c r="M26"/>
  <c r="M22"/>
  <c r="M29"/>
  <c r="L10" i="14"/>
  <c r="L16" s="1"/>
  <c r="L27" s="1"/>
  <c r="K5" i="48"/>
  <c r="D22"/>
  <c r="D29"/>
  <c r="D30"/>
  <c r="D24"/>
  <c r="D28"/>
  <c r="D32"/>
  <c r="D31"/>
  <c r="L30"/>
  <c r="L24"/>
  <c r="L27"/>
  <c r="L32"/>
  <c r="L29"/>
  <c r="L22"/>
  <c r="L28"/>
  <c r="L31"/>
  <c r="P5"/>
  <c r="P23" s="1"/>
  <c r="Q10" i="14"/>
  <c r="B4" i="48"/>
  <c r="C11" i="14"/>
  <c r="N32" i="48"/>
  <c r="N27"/>
  <c r="N31"/>
  <c r="N24"/>
  <c r="N28"/>
  <c r="N29"/>
  <c r="N30"/>
  <c r="J10" i="14"/>
  <c r="J16" s="1"/>
  <c r="J27" s="1"/>
  <c r="I5" i="48"/>
  <c r="P4"/>
  <c r="Q11" i="14"/>
  <c r="P11"/>
  <c r="O4" i="48"/>
  <c r="H12" i="22"/>
  <c r="I18" i="14"/>
  <c r="H13" i="48"/>
  <c r="H31" s="1"/>
  <c r="H30"/>
  <c r="H32"/>
  <c r="H26"/>
  <c r="H22"/>
  <c r="H24"/>
  <c r="H25"/>
  <c r="H28"/>
  <c r="H29"/>
  <c r="H23"/>
  <c r="C18" i="16"/>
  <c r="N10" i="14"/>
  <c r="N16" s="1"/>
  <c r="M5" i="48"/>
  <c r="K30"/>
  <c r="K32"/>
  <c r="K27"/>
  <c r="K28"/>
  <c r="K31"/>
  <c r="K29"/>
  <c r="K25"/>
  <c r="K26"/>
  <c r="K24"/>
  <c r="K22"/>
  <c r="B10"/>
  <c r="C19" i="14"/>
  <c r="J32" i="48"/>
  <c r="J27"/>
  <c r="J29"/>
  <c r="J24"/>
  <c r="J30"/>
  <c r="J28"/>
  <c r="J31"/>
  <c r="I31"/>
  <c r="I25"/>
  <c r="I30"/>
  <c r="I28"/>
  <c r="I26"/>
  <c r="I24"/>
  <c r="I32"/>
  <c r="I27"/>
  <c r="I29"/>
  <c r="I22"/>
  <c r="D4"/>
  <c r="E11" i="14"/>
  <c r="C4" i="48"/>
  <c r="D11" i="14"/>
  <c r="G30" i="48"/>
  <c r="G32"/>
  <c r="G24"/>
  <c r="G22"/>
  <c r="G29"/>
  <c r="G25"/>
  <c r="G26"/>
  <c r="G23"/>
  <c r="B8" i="9"/>
  <c r="B6" i="48" s="1"/>
  <c r="Q6" s="1"/>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0" i="14" l="1"/>
  <c r="O5" i="48"/>
  <c r="O23" s="1"/>
  <c r="M13"/>
  <c r="M31" s="1"/>
  <c r="N18" i="14"/>
  <c r="I22"/>
  <c r="I27" s="1"/>
  <c r="J63"/>
  <c r="I20"/>
  <c r="H9" i="48"/>
  <c r="P22"/>
  <c r="P22" i="16"/>
  <c r="Q43" i="14" s="1"/>
  <c r="P8" i="48"/>
  <c r="P26" s="1"/>
  <c r="Q13" i="14"/>
  <c r="Q16" s="1"/>
  <c r="Q27" s="1"/>
  <c r="M23" i="48"/>
  <c r="D16" i="15"/>
  <c r="D5" i="48" s="1"/>
  <c r="L46" i="14"/>
  <c r="L61" s="1"/>
  <c r="L63" s="1"/>
  <c r="I61"/>
  <c r="I63" s="1"/>
  <c r="I23" i="48"/>
  <c r="I15"/>
  <c r="G11" i="14"/>
  <c r="F4" i="48"/>
  <c r="F22" s="1"/>
  <c r="G12" i="22"/>
  <c r="G13" i="48"/>
  <c r="H18" i="14"/>
  <c r="R18" s="1"/>
  <c r="O22" i="48"/>
  <c r="K15"/>
  <c r="K23"/>
  <c r="K33" s="1"/>
  <c r="I33"/>
  <c r="I52" i="14"/>
  <c r="J7" i="48"/>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C20" i="14" l="1"/>
  <c r="B9" i="48"/>
  <c r="Q13"/>
  <c r="G31"/>
  <c r="E9"/>
  <c r="E27" s="1"/>
  <c r="F20" i="14"/>
  <c r="F22" s="1"/>
  <c r="E20"/>
  <c r="E22" s="1"/>
  <c r="D9" i="48"/>
  <c r="D27" s="1"/>
  <c r="O8"/>
  <c r="P13" i="14"/>
  <c r="O11"/>
  <c r="N4" i="48"/>
  <c r="N22" s="1"/>
  <c r="K11" i="14"/>
  <c r="J4" i="48"/>
  <c r="J22" s="1"/>
  <c r="H27"/>
  <c r="H33" s="1"/>
  <c r="H15"/>
  <c r="H20" i="14"/>
  <c r="H22" s="1"/>
  <c r="H27" s="1"/>
  <c r="G9" i="48"/>
  <c r="Q46" i="14"/>
  <c r="Q61" s="1"/>
  <c r="Q63" s="1"/>
  <c r="P15" i="48"/>
  <c r="P16" i="14"/>
  <c r="P27" s="1"/>
  <c r="P33" i="48"/>
  <c r="M10"/>
  <c r="M28" s="1"/>
  <c r="N19" i="14"/>
  <c r="E12" i="13"/>
  <c r="F41" i="14" s="1"/>
  <c r="E4" i="48"/>
  <c r="F11" i="14"/>
  <c r="H19"/>
  <c r="R19" s="1"/>
  <c r="G10" i="48"/>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G28" i="48" l="1"/>
  <c r="Q10"/>
  <c r="G27"/>
  <c r="G15"/>
  <c r="M18" i="22"/>
  <c r="N50" i="14" s="1"/>
  <c r="N52" s="1"/>
  <c r="N61" s="1"/>
  <c r="M9" i="48"/>
  <c r="N20" i="14"/>
  <c r="R20" s="1"/>
  <c r="R22" s="1"/>
  <c r="H63"/>
  <c r="Q9" i="48"/>
  <c r="D15"/>
  <c r="O26"/>
  <c r="O33" s="1"/>
  <c r="O15"/>
  <c r="C22" i="14"/>
  <c r="E22" i="48"/>
  <c r="Q4"/>
  <c r="R11" i="14"/>
  <c r="J5" i="48"/>
  <c r="K10" i="14"/>
  <c r="E20" i="15"/>
  <c r="F40" i="14" s="1"/>
  <c r="E5" i="48"/>
  <c r="F10" i="14"/>
  <c r="L15" i="48"/>
  <c r="Q7"/>
  <c r="R24" i="14"/>
  <c r="R26" s="1"/>
  <c r="J18" i="16"/>
  <c r="N18"/>
  <c r="E18"/>
  <c r="F18"/>
  <c r="F22" s="1"/>
  <c r="G43" i="14" s="1"/>
  <c r="G33" i="48" l="1"/>
  <c r="M27"/>
  <c r="M33" s="1"/>
  <c r="M15"/>
  <c r="N22" i="14"/>
  <c r="N27" s="1"/>
  <c r="N63" s="1"/>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<sst xmlns="http://schemas.openxmlformats.org/spreadsheetml/2006/main" count="2496" uniqueCount="965">
  <si>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</si>
  <si>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</si>
  <si>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</si>
  <si>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</si>
  <si>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</si>
  <si>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</si>
  <si>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</si>
  <si>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</si>
  <si>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</si>
  <si>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</si>
  <si>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</si>
  <si>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</si>
  <si>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</si>
  <si>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</si>
  <si>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</si>
  <si>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</si>
  <si>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</si>
  <si>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</si>
  <si>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</si>
  <si>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</si>
  <si>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</si>
  <si>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</si>
  <si>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</si>
  <si>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</si>
  <si>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</si>
  <si>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</si>
  <si>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</si>
  <si>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</si>
  <si>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</si>
  <si>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</si>
  <si>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</si>
  <si>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</si>
  <si>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</si>
  <si>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</si>
  <si>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</si>
  <si>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</si>
  <si>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</si>
  <si>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</si>
  <si>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</si>
  <si>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</si>
  <si>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</si>
  <si>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</si>
  <si>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</si>
  <si>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</si>
  <si>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</si>
  <si>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</si>
  <si>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</si>
  <si>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</si>
  <si>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</si>
  <si>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</si>
  <si>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</si>
  <si>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</si>
  <si>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</si>
  <si>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</si>
  <si>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</si>
  <si>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</si>
  <si>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</si>
  <si>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</si>
  <si>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</si>
  <si>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</si>
  <si>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</si>
  <si>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</si>
  <si>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</si>
  <si>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</si>
  <si>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</si>
  <si>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</si>
  <si>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</si>
  <si>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</si>
  <si>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</si>
  <si>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</si>
  <si>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</si>
  <si>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</si>
  <si>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</si>
  <si>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</si>
  <si>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</si>
  <si>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</si>
  <si>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</si>
  <si>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</si>
  <si>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</si>
  <si>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</si>
  <si>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</si>
  <si>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</si>
  <si>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</si>
  <si>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</si>
  <si>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</si>
  <si>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</si>
  <si>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</si>
  <si>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</si>
  <si>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</si>
  <si>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</si>
  <si>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</si>
  <si>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</si>
  <si>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</si>
  <si>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</si>
  <si>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</si>
  <si>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</si>
  <si>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</si>
  <si>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</si>
  <si>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</si>
  <si>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</si>
  <si>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</si>
  <si>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</si>
  <si>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</si>
  <si>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</si>
  <si>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</si>
  <si>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</si>
  <si>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</si>
  <si>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</si>
  <si>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</si>
  <si>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</si>
  <si>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</si>
  <si>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</si>
  <si>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</si>
  <si>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</si>
  <si>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</si>
  <si>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</si>
  <si>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</si>
  <si>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</si>
  <si>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</si>
  <si>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</si>
  <si>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</si>
  <si>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</si>
  <si>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</si>
  <si>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</si>
  <si>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</si>
  <si>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</si>
  <si>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</si>
  <si>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</si>
  <si>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</si>
  <si>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</si>
  <si>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</si>
  <si>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</si>
  <si>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</si>
  <si>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</si>
  <si>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</si>
  <si>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</si>
  <si>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</si>
  <si>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</si>
  <si>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</si>
  <si>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</si>
  <si>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</si>
  <si>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</si>
  <si>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</si>
  <si>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</si>
  <si>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</si>
  <si>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</si>
  <si>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</si>
  <si>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</si>
  <si>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</si>
  <si>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</si>
  <si>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</si>
  <si>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</si>
  <si>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</si>
  <si>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</si>
  <si>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</si>
  <si>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</si>
  <si>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</si>
  <si>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</si>
  <si>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</si>
  <si>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</si>
  <si>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</si>
  <si>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</si>
  <si>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</si>
  <si>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</si>
  <si>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</si>
  <si>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</si>
  <si>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</si>
  <si>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</si>
  <si>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</si>
  <si>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</si>
  <si>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</si>
  <si>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</si>
  <si>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</si>
  <si>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</si>
  <si>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</si>
  <si>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</si>
  <si>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</si>
  <si>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</si>
  <si>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</si>
  <si>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</si>
  <si>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</si>
  <si>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</si>
  <si>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</si>
  <si>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</si>
  <si>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</si>
  <si>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</si>
  <si>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</si>
  <si>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</si>
  <si>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</si>
  <si>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</si>
  <si>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</si>
  <si>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</si>
  <si>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</si>
  <si>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</si>
  <si>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</si>
  <si>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</si>
  <si>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</si>
  <si>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</si>
  <si>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</si>
  <si>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</si>
  <si>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</si>
  <si>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</si>
  <si>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</si>
  <si>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</si>
  <si>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</si>
  <si>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</si>
  <si>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</si>
  <si>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</si>
  <si>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</si>
  <si>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</si>
  <si>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</si>
  <si>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</si>
  <si>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</si>
  <si>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</si>
  <si>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</si>
  <si>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</si>
  <si>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</si>
  <si>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</si>
  <si>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</si>
  <si>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</si>
  <si>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</si>
  <si>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</si>
  <si>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</si>
  <si>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</si>
  <si>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</si>
  <si>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</si>
  <si>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</si>
  <si>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</si>
  <si>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</si>
  <si>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</si>
  <si>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</si>
  <si>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</si>
  <si>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</si>
  <si>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</si>
  <si>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</si>
  <si>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</si>
  <si>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</si>
  <si>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</si>
  <si>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</si>
  <si>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</si>
  <si>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</si>
  <si>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</si>
  <si>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</si>
  <si>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</si>
  <si>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</si>
  <si>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</si>
  <si>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</si>
  <si>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</si>
  <si>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</si>
  <si>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</si>
  <si>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</si>
  <si>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</si>
  <si>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</si>
  <si>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</si>
  <si>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</si>
  <si>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</si>
  <si>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</si>
  <si>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</si>
  <si>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</si>
  <si>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</si>
  <si>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</si>
  <si>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</si>
  <si>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</si>
  <si>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</si>
  <si>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</si>
  <si>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</si>
  <si>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</si>
  <si>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</si>
  <si>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</si>
  <si>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</si>
  <si>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</si>
  <si>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</si>
  <si>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</si>
  <si>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</si>
  <si>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</si>
  <si>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</si>
  <si>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</si>
  <si>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</si>
  <si>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</si>
  <si>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</si>
  <si>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</si>
  <si>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</si>
  <si>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</si>
  <si>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</si>
  <si>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</si>
  <si>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</si>
  <si>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</si>
  <si>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</si>
  <si>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</si>
  <si>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</si>
  <si>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</si>
  <si>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</si>
  <si>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</si>
  <si>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</si>
  <si>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</si>
  <si>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</si>
  <si>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</si>
  <si>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</si>
  <si>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</si>
  <si>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</si>
  <si>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</si>
  <si>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</si>
  <si>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</si>
  <si>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</si>
  <si>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</si>
  <si>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</si>
  <si>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</si>
  <si>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</si>
  <si>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</si>
  <si>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</si>
  <si>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</si>
  <si>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</si>
  <si>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</si>
  <si>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</si>
  <si>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</si>
  <si>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</si>
  <si>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</si>
  <si>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</si>
  <si>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</si>
  <si>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</si>
  <si>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</si>
  <si>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</si>
  <si>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</si>
  <si>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</si>
  <si>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</si>
  <si>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</si>
  <si>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</si>
  <si>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</si>
  <si>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</si>
  <si>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</si>
  <si>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</si>
  <si>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</si>
  <si>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</si>
  <si>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</si>
  <si>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</si>
  <si>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</si>
  <si>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</si>
  <si>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</si>
  <si>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</si>
  <si>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</si>
  <si>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</si>
  <si>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</si>
  <si>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</si>
  <si>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</si>
  <si>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</si>
  <si>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</si>
  <si>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</si>
  <si>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</si>
  <si>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</si>
  <si>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</si>
  <si>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</si>
  <si>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</si>
  <si>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</si>
  <si>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</si>
  <si>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</si>
  <si>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</si>
  <si>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</si>
  <si>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</si>
  <si>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</si>
  <si>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</si>
  <si>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</si>
  <si>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</si>
  <si>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</si>
  <si>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</si>
  <si>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</si>
  <si>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</si>
  <si>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</si>
  <si>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</si>
  <si>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</si>
  <si>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</si>
  <si>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</si>
  <si>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</si>
  <si>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</si>
  <si>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</si>
  <si>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</si>
  <si>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</si>
  <si>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</si>
  <si>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</si>
  <si>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</si>
  <si>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</si>
  <si>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</si>
  <si>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</si>
  <si>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</si>
  <si>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</si>
  <si>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</si>
  <si>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</si>
  <si>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</si>
  <si>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</si>
  <si>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</si>
  <si>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</si>
  <si>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</si>
  <si>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</si>
  <si>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</si>
  <si>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</si>
  <si>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</si>
  <si>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</si>
  <si>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</si>
  <si>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</si>
  <si>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</si>
  <si>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</si>
  <si>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</si>
  <si>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</si>
  <si>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</si>
  <si>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</si>
  <si>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</si>
  <si>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</si>
  <si>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</si>
  <si>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</si>
  <si>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</si>
  <si>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</si>
  <si>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</si>
  <si>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</si>
  <si>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</si>
  <si>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</si>
  <si>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</si>
  <si>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</si>
  <si>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</si>
  <si>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</si>
  <si>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</si>
  <si>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</si>
  <si>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</si>
  <si>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</si>
  <si>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</si>
  <si>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</si>
  <si>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</si>
  <si>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</si>
  <si>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</si>
  <si>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</si>
  <si>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</si>
  <si>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</si>
  <si>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</si>
  <si>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</si>
  <si>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</si>
  <si>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</si>
  <si>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</si>
  <si>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</si>
  <si>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</si>
  <si>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</si>
  <si>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</si>
  <si>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</si>
  <si>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</si>
  <si>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</si>
  <si>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</si>
  <si>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</si>
  <si>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</si>
  <si>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</si>
  <si>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</si>
  <si>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</si>
  <si>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</si>
  <si>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</si>
  <si>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</si>
  <si>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</si>
  <si>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</si>
  <si>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</si>
  <si>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</si>
  <si>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</si>
  <si>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</si>
  <si>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</si>
  <si>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</si>
  <si>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</si>
  <si>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</si>
  <si>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</si>
  <si>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</si>
  <si>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</si>
  <si>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</si>
  <si>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</si>
  <si>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</si>
  <si>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</si>
  <si>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</si>
  <si>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</si>
  <si>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</si>
  <si>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</si>
  <si>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</si>
  <si>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</si>
  <si>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</si>
  <si>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</si>
  <si>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</si>
  <si>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</si>
  <si>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</si>
  <si>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</si>
  <si>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</si>
  <si>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</si>
  <si>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</si>
  <si>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</si>
  <si>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</si>
  <si>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</si>
  <si>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</si>
  <si>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</si>
  <si>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</si>
  <si>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</si>
  <si>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</si>
  <si>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</si>
  <si>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</si>
  <si>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</si>
  <si>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</si>
  <si>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</si>
  <si>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</si>
  <si>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</si>
  <si>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</si>
  <si>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</si>
  <si>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</si>
  <si>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</si>
  <si>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</si>
  <si>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</si>
  <si>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</si>
  <si>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</si>
  <si>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</si>
  <si>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</si>
  <si>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</si>
  <si>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</si>
  <si>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</si>
  <si>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</si>
  <si>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</si>
  <si>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</si>
  <si>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</si>
  <si>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</si>
  <si>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</si>
  <si>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</si>
  <si>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</si>
  <si>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</si>
  <si>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</si>
  <si>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</si>
  <si>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</si>
  <si>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</si>
  <si>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</si>
  <si>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</si>
  <si>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</si>
  <si>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</si>
  <si>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</si>
  <si>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</si>
  <si>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</si>
  <si>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</si>
  <si>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</si>
  <si>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</si>
  <si>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</si>
  <si>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</si>
  <si>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</si>
  <si>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</si>
  <si>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</si>
  <si>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</si>
  <si>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</si>
  <si>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</si>
  <si>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</si>
  <si>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</si>
  <si>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</si>
  <si>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</si>
  <si>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</si>
  <si>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</si>
  <si>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</si>
  <si>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</si>
  <si>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</si>
  <si>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</si>
  <si>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</si>
  <si>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</si>
  <si>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</si>
  <si>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</si>
  <si>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</si>
  <si>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</si>
  <si>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</si>
  <si>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</si>
  <si>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</si>
  <si>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</si>
  <si>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</si>
  <si>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</si>
  <si>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</si>
  <si>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</si>
  <si>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</si>
  <si>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</si>
  <si>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</si>
  <si>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</si>
  <si>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</si>
  <si>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</si>
  <si>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</si>
  <si>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</si>
  <si>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</si>
  <si>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</si>
  <si>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</si>
  <si>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</si>
  <si>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</si>
  <si>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</si>
  <si>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</si>
  <si>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</si>
  <si>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</si>
  <si>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</si>
  <si>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</si>
  <si>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</si>
  <si>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</si>
  <si>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</si>
  <si>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</si>
  <si>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</si>
  <si>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</si>
  <si>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</si>
  <si>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</si>
  <si>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</si>
  <si>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</si>
  <si>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</si>
  <si>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</si>
  <si>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</si>
  <si>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</si>
  <si>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</si>
  <si>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</si>
  <si>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</si>
  <si>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</si>
  <si>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</si>
  <si>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</si>
  <si>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</si>
  <si>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</si>
  <si>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</si>
  <si>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</si>
  <si>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</si>
  <si>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</si>
  <si>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</si>
  <si>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</si>
  <si>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</si>
  <si>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</si>
  <si>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</si>
  <si>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</si>
  <si>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</si>
  <si>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</si>
  <si>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</si>
  <si>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</si>
  <si>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</si>
  <si>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</si>
  <si>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</si>
  <si>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</si>
  <si>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</si>
  <si>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</si>
  <si>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</si>
  <si>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</si>
  <si>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</si>
  <si>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</si>
  <si>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</si>
  <si>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</si>
  <si>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</si>
  <si>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</si>
  <si>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</si>
  <si>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</si>
  <si>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</si>
  <si>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</si>
  <si>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</si>
  <si>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</si>
  <si>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</si>
  <si>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</si>
  <si>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</si>
  <si>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</si>
  <si>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</si>
  <si>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</si>
  <si>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</si>
  <si>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</si>
  <si>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</si>
  <si>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</si>
  <si>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</si>
  <si>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</si>
  <si>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</si>
  <si>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</si>
  <si>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</si>
  <si>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</si>
  <si>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</si>
  <si>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</si>
  <si>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</si>
  <si>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</si>
  <si>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</si>
  <si>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</si>
  <si>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</si>
  <si>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</si>
  <si>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</si>
  <si>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</si>
  <si>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</si>
  <si>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</si>
  <si>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</si>
  <si>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</si>
  <si>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</si>
  <si>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</si>
  <si>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</si>
  <si>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</si>
  <si>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</si>
  <si>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</si>
  <si>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</si>
  <si>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</si>
  <si>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</si>
  <si>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</si>
  <si>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</si>
  <si>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</si>
  <si>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</si>
  <si>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</si>
  <si>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</si>
  <si>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</si>
  <si>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</si>
  <si>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</si>
  <si>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</si>
  <si>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</si>
  <si>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</si>
  <si>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</si>
  <si>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</si>
  <si>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</si>
  <si>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</si>
  <si>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</si>
  <si>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</si>
  <si>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</si>
  <si>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</si>
  <si>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</si>
  <si>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</si>
  <si>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</si>
  <si>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</si>
  <si>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</si>
  <si>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</si>
  <si>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</si>
  <si>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</si>
  <si>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</si>
  <si>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</si>
  <si>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</si>
  <si>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</si>
  <si>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</si>
  <si>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</si>
  <si>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</si>
  <si>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</si>
  <si>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</si>
  <si>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</si>
  <si>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</si>
  <si>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</si>
  <si>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</si>
  <si>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</si>
  <si>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</si>
  <si>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</si>
  <si>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</si>
  <si>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</si>
  <si>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</si>
  <si>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</si>
  <si>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</si>
  <si>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</si>
  <si>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</si>
  <si>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</si>
  <si>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</si>
  <si>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</si>
  <si>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</si>
  <si>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</si>
  <si>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</si>
  <si>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</si>
  <si>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</si>
  <si>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</si>
  <si>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</si>
  <si>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</si>
  <si>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</si>
  <si>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</si>
  <si>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</si>
  <si>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</si>
  <si>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</si>
  <si>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</si>
  <si>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</si>
  <si>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</si>
  <si>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</si>
  <si>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</si>
  <si>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</si>
  <si>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</si>
  <si>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</si>
  <si>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</si>
  <si>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</si>
  <si>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</si>
  <si>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</si>
  <si>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</si>
  <si>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</si>
  <si>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</si>
  <si>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</si>
  <si>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</si>
  <si>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</si>
  <si>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</si>
  <si>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</si>
  <si>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</si>
  <si>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</si>
  <si>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</si>
  <si>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</si>
  <si>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</si>
  <si>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</si>
  <si>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</si>
  <si>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</si>
  <si>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</si>
  <si>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</si>
  <si>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</si>
  <si>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</si>
  <si>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</si>
  <si>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</si>
  <si>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</si>
  <si>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</si>
  <si>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</si>
  <si>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</si>
  <si>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</si>
  <si>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</si>
  <si>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</si>
  <si>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</si>
  <si>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</si>
  <si>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</si>
  <si>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</si>
  <si>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</si>
  <si>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</si>
  <si>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</si>
  <si>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</si>
  <si>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</si>
  <si>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</si>
  <si>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</si>
  <si>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</si>
  <si>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</si>
  <si>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</si>
  <si>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</si>
  <si>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</si>
  <si>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</si>
  <si>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</si>
  <si>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</si>
  <si>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</si>
  <si>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</si>
  <si>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</si>
  <si>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</si>
  <si>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</si>
  <si>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</si>
  <si>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</si>
  <si>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</si>
  <si>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</si>
  <si>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</si>
  <si>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</si>
  <si>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</si>
  <si>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</si>
  <si>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</si>
  <si>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</si>
  <si>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</si>
  <si>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</si>
  <si>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</si>
  <si>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</si>
  <si>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</si>
  <si>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</si>
  <si>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</si>
  <si>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</si>
  <si>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</si>
  <si>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</si>
  <si>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</si>
  <si>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</si>
  <si>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</si>
  <si>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</si>
  <si>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</si>
  <si>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</si>
  <si>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</si>
  <si>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</si>
  <si>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</si>
  <si>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</si>
  <si>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</si>
  <si>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</si>
  <si>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</si>
  <si>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</si>
  <si>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</si>
  <si>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</si>
  <si>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</si>
  <si>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</si>
  <si>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</si>
  <si>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</si>
  <si>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</si>
  <si>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</si>
  <si>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</si>
  <si>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</si>
  <si>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</si>
  <si>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</si>
  <si>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</si>
  <si>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</si>
  <si>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</si>
  <si>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</si>
  <si>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</si>
  <si>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</si>
  <si>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</si>
  <si>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</si>
  <si>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</si>
  <si>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</si>
  <si>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</si>
  <si>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</si>
  <si>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</si>
  <si>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</si>
  <si>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</si>
  <si>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</si>
  <si>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</si>
  <si>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</si>
  <si>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</si>
  <si>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</si>
  <si>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</si>
  <si>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</si>
  <si>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</si>
  <si>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</si>
  <si>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</si>
  <si>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</si>
  <si>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</si>
  <si>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</si>
  <si>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</si>
  <si>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</si>
  <si>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</si>
  <si>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</si>
  <si>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</si>
  <si>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</si>
  <si>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</si>
  <si>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</si>
  <si>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</si>
  <si>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</si>
  <si>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</si>
  <si>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</si>
  <si>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</si>
  <si>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</si>
  <si>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</si>
  <si>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</si>
  <si>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</si>
  <si>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</si>
  <si>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</si>
  <si>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</si>
  <si>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</si>
  <si>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</si>
  <si>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</si>
  <si>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</si>
  <si>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</si>
  <si>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</si>
  <si>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</si>
  <si>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</si>
  <si>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</si>
  <si>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</si>
  <si>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</si>
  <si>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</si>
  <si>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</si>
  <si>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</si>
  <si>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</si>
  <si>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</si>
  <si>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</si>
  <si>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</si>
  <si>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</si>
  <si>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</si>
  <si>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</si>
  <si>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</si>
  <si>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</si>
  <si>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</si>
  <si>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</si>
  <si>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</si>
  <si>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</si>
  <si>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</si>
  <si>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</si>
  <si>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</si>
  <si>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</si>
  <si>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</si>
  <si>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</si>
  <si>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</si>
  <si>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</si>
  <si>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</si>
  <si>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</si>
  <si>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</si>
  <si>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</si>
  <si>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</si>
  <si>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</si>
  <si>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</si>
  <si>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</si>
  <si>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</si>
  <si>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</si>
  <si>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</si>
  <si>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</si>
  <si>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</si>
  <si>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</si>
  <si>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</si>
  <si>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23038</t>
  </si>
  <si>
    <t>KAMPENHOUT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</si>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</sst>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23038</v>
      </c>
      <c r="B6" s="396"/>
      <c r="C6" s="397"/>
    </row>
    <row r="7" spans="1:7" s="394" customFormat="1" ht="15.75" customHeight="1">
      <c r="A7" s="398" t="str">
        <f>txtMunicipality</f>
        <v>KAMPENHOUT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0.21012487820660913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0.21012487820660913</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23038</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4407</v>
      </c>
      <c r="C9" s="336">
        <v>4633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1365</v>
      </c>
    </row>
    <row r="15" spans="1:6">
      <c r="A15" s="1277" t="s">
        <v>184</v>
      </c>
      <c r="B15" s="333">
        <v>0</v>
      </c>
    </row>
    <row r="16" spans="1:6">
      <c r="A16" s="1277" t="s">
        <v>6</v>
      </c>
      <c r="B16" s="333">
        <v>0</v>
      </c>
    </row>
    <row r="17" spans="1:6">
      <c r="A17" s="1277" t="s">
        <v>7</v>
      </c>
      <c r="B17" s="333">
        <v>34</v>
      </c>
    </row>
    <row r="18" spans="1:6">
      <c r="A18" s="1277" t="s">
        <v>8</v>
      </c>
      <c r="B18" s="333">
        <v>50</v>
      </c>
    </row>
    <row r="19" spans="1:6">
      <c r="A19" s="1277" t="s">
        <v>9</v>
      </c>
      <c r="B19" s="333">
        <v>79</v>
      </c>
    </row>
    <row r="20" spans="1:6">
      <c r="A20" s="1277" t="s">
        <v>10</v>
      </c>
      <c r="B20" s="333">
        <v>22</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34</v>
      </c>
    </row>
    <row r="27" spans="1:6">
      <c r="A27" s="1277" t="s">
        <v>17</v>
      </c>
      <c r="B27" s="333">
        <v>0</v>
      </c>
    </row>
    <row r="28" spans="1:6">
      <c r="A28" s="1277" t="s">
        <v>18</v>
      </c>
      <c r="B28" s="333">
        <v>0</v>
      </c>
    </row>
    <row r="29" spans="1:6">
      <c r="A29" s="1277" t="s">
        <v>959</v>
      </c>
      <c r="B29" s="333">
        <v>105</v>
      </c>
    </row>
    <row r="30" spans="1:6">
      <c r="A30" s="1273" t="s">
        <v>960</v>
      </c>
      <c r="B30" s="1273">
        <v>15</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4599</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1850</v>
      </c>
      <c r="D39" s="333">
        <v>37558141</v>
      </c>
      <c r="E39" s="333">
        <v>4510</v>
      </c>
      <c r="F39" s="333">
        <v>22051601.443184908</v>
      </c>
    </row>
    <row r="40" spans="1:6">
      <c r="A40" s="1277" t="s">
        <v>30</v>
      </c>
      <c r="B40" s="1277" t="s">
        <v>29</v>
      </c>
      <c r="C40" s="333">
        <v>0</v>
      </c>
      <c r="D40" s="333">
        <v>0</v>
      </c>
      <c r="E40" s="333">
        <v>0</v>
      </c>
      <c r="F40" s="333">
        <v>0</v>
      </c>
    </row>
    <row r="41" spans="1:6">
      <c r="A41" s="1277" t="s">
        <v>32</v>
      </c>
      <c r="B41" s="1277" t="s">
        <v>33</v>
      </c>
      <c r="C41" s="333">
        <v>12</v>
      </c>
      <c r="D41" s="333">
        <v>188495</v>
      </c>
      <c r="E41" s="333">
        <v>49</v>
      </c>
      <c r="F41" s="333">
        <v>731963</v>
      </c>
    </row>
    <row r="42" spans="1:6">
      <c r="A42" s="1277" t="s">
        <v>32</v>
      </c>
      <c r="B42" s="1277" t="s">
        <v>34</v>
      </c>
      <c r="C42" s="333">
        <v>0</v>
      </c>
      <c r="D42" s="333">
        <v>0</v>
      </c>
      <c r="E42" s="333">
        <v>3</v>
      </c>
      <c r="F42" s="333">
        <v>4998</v>
      </c>
    </row>
    <row r="43" spans="1:6">
      <c r="A43" s="1277" t="s">
        <v>32</v>
      </c>
      <c r="B43" s="1277" t="s">
        <v>35</v>
      </c>
      <c r="C43" s="333">
        <v>0</v>
      </c>
      <c r="D43" s="333">
        <v>0</v>
      </c>
      <c r="E43" s="333">
        <v>0</v>
      </c>
      <c r="F43" s="333">
        <v>0</v>
      </c>
    </row>
    <row r="44" spans="1:6">
      <c r="A44" s="1277" t="s">
        <v>32</v>
      </c>
      <c r="B44" s="1277" t="s">
        <v>36</v>
      </c>
      <c r="C44" s="333">
        <v>5</v>
      </c>
      <c r="D44" s="333">
        <v>508747</v>
      </c>
      <c r="E44" s="333">
        <v>12</v>
      </c>
      <c r="F44" s="333">
        <v>654447</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5</v>
      </c>
      <c r="F47" s="333">
        <v>2099722</v>
      </c>
    </row>
    <row r="48" spans="1:6">
      <c r="A48" s="1277" t="s">
        <v>32</v>
      </c>
      <c r="B48" s="1277" t="s">
        <v>29</v>
      </c>
      <c r="C48" s="333">
        <v>3</v>
      </c>
      <c r="D48" s="333">
        <v>798402</v>
      </c>
      <c r="E48" s="333">
        <v>3</v>
      </c>
      <c r="F48" s="333">
        <v>850176.14796137868</v>
      </c>
    </row>
    <row r="49" spans="1:6">
      <c r="A49" s="1277" t="s">
        <v>32</v>
      </c>
      <c r="B49" s="1277" t="s">
        <v>40</v>
      </c>
      <c r="C49" s="333">
        <v>0</v>
      </c>
      <c r="D49" s="333">
        <v>0</v>
      </c>
      <c r="E49" s="333">
        <v>0</v>
      </c>
      <c r="F49" s="333">
        <v>0</v>
      </c>
    </row>
    <row r="50" spans="1:6">
      <c r="A50" s="1277" t="s">
        <v>32</v>
      </c>
      <c r="B50" s="1277" t="s">
        <v>41</v>
      </c>
      <c r="C50" s="333">
        <v>0</v>
      </c>
      <c r="D50" s="333">
        <v>0</v>
      </c>
      <c r="E50" s="333">
        <v>4</v>
      </c>
      <c r="F50" s="333">
        <v>323570</v>
      </c>
    </row>
    <row r="51" spans="1:6">
      <c r="A51" s="1277" t="s">
        <v>42</v>
      </c>
      <c r="B51" s="1277" t="s">
        <v>43</v>
      </c>
      <c r="C51" s="333">
        <v>0</v>
      </c>
      <c r="D51" s="333">
        <v>0</v>
      </c>
      <c r="E51" s="333">
        <v>21</v>
      </c>
      <c r="F51" s="333">
        <v>1739268</v>
      </c>
    </row>
    <row r="52" spans="1:6">
      <c r="A52" s="1277" t="s">
        <v>42</v>
      </c>
      <c r="B52" s="1277" t="s">
        <v>29</v>
      </c>
      <c r="C52" s="333">
        <v>2</v>
      </c>
      <c r="D52" s="333">
        <v>76655</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0</v>
      </c>
      <c r="F54" s="333">
        <v>0</v>
      </c>
    </row>
    <row r="55" spans="1:6">
      <c r="A55" s="1277" t="s">
        <v>46</v>
      </c>
      <c r="B55" s="1277" t="s">
        <v>29</v>
      </c>
      <c r="C55" s="333">
        <v>0</v>
      </c>
      <c r="D55" s="333">
        <v>0</v>
      </c>
      <c r="E55" s="333">
        <v>1</v>
      </c>
      <c r="F55" s="333">
        <v>1262665</v>
      </c>
    </row>
    <row r="56" spans="1:6">
      <c r="A56" s="1277" t="s">
        <v>48</v>
      </c>
      <c r="B56" s="1277" t="s">
        <v>29</v>
      </c>
      <c r="C56" s="333">
        <v>26</v>
      </c>
      <c r="D56" s="333">
        <v>856755</v>
      </c>
      <c r="E56" s="333">
        <v>158</v>
      </c>
      <c r="F56" s="333">
        <v>3150260</v>
      </c>
    </row>
    <row r="57" spans="1:6">
      <c r="A57" s="1277" t="s">
        <v>49</v>
      </c>
      <c r="B57" s="1277" t="s">
        <v>50</v>
      </c>
      <c r="C57" s="333">
        <v>14</v>
      </c>
      <c r="D57" s="333">
        <v>580969</v>
      </c>
      <c r="E57" s="333">
        <v>47</v>
      </c>
      <c r="F57" s="333">
        <v>1345715</v>
      </c>
    </row>
    <row r="58" spans="1:6">
      <c r="A58" s="1277" t="s">
        <v>49</v>
      </c>
      <c r="B58" s="1277" t="s">
        <v>51</v>
      </c>
      <c r="C58" s="333">
        <v>10</v>
      </c>
      <c r="D58" s="333">
        <v>1685962</v>
      </c>
      <c r="E58" s="333">
        <v>0</v>
      </c>
      <c r="F58" s="333">
        <v>0</v>
      </c>
    </row>
    <row r="59" spans="1:6">
      <c r="A59" s="1277" t="s">
        <v>49</v>
      </c>
      <c r="B59" s="1277" t="s">
        <v>52</v>
      </c>
      <c r="C59" s="333">
        <v>35</v>
      </c>
      <c r="D59" s="333">
        <v>1574773</v>
      </c>
      <c r="E59" s="333">
        <v>132</v>
      </c>
      <c r="F59" s="333">
        <v>5584786</v>
      </c>
    </row>
    <row r="60" spans="1:6">
      <c r="A60" s="1277" t="s">
        <v>49</v>
      </c>
      <c r="B60" s="1277" t="s">
        <v>53</v>
      </c>
      <c r="C60" s="333">
        <v>10</v>
      </c>
      <c r="D60" s="333">
        <v>478545</v>
      </c>
      <c r="E60" s="333">
        <v>28</v>
      </c>
      <c r="F60" s="333">
        <v>800481</v>
      </c>
    </row>
    <row r="61" spans="1:6">
      <c r="A61" s="1277" t="s">
        <v>49</v>
      </c>
      <c r="B61" s="1277" t="s">
        <v>54</v>
      </c>
      <c r="C61" s="333">
        <v>50</v>
      </c>
      <c r="D61" s="333">
        <v>3820108</v>
      </c>
      <c r="E61" s="333">
        <v>130</v>
      </c>
      <c r="F61" s="333">
        <v>2617145</v>
      </c>
    </row>
    <row r="62" spans="1:6">
      <c r="A62" s="1277" t="s">
        <v>49</v>
      </c>
      <c r="B62" s="1277" t="s">
        <v>55</v>
      </c>
      <c r="C62" s="333">
        <v>4</v>
      </c>
      <c r="D62" s="333">
        <v>443690</v>
      </c>
      <c r="E62" s="333">
        <v>6</v>
      </c>
      <c r="F62" s="333">
        <v>155606</v>
      </c>
    </row>
    <row r="63" spans="1:6">
      <c r="A63" s="1277" t="s">
        <v>49</v>
      </c>
      <c r="B63" s="1277" t="s">
        <v>29</v>
      </c>
      <c r="C63" s="333">
        <v>0</v>
      </c>
      <c r="D63" s="333">
        <v>0</v>
      </c>
      <c r="E63" s="333">
        <v>3</v>
      </c>
      <c r="F63" s="333">
        <v>59903.237230617</v>
      </c>
    </row>
    <row r="64" spans="1:6">
      <c r="A64" s="1277" t="s">
        <v>56</v>
      </c>
      <c r="B64" s="1277" t="s">
        <v>57</v>
      </c>
      <c r="C64" s="333">
        <v>0</v>
      </c>
      <c r="D64" s="333">
        <v>0</v>
      </c>
      <c r="E64" s="333">
        <v>0</v>
      </c>
      <c r="F64" s="333">
        <v>0</v>
      </c>
    </row>
    <row r="65" spans="1:6">
      <c r="A65" s="1277" t="s">
        <v>56</v>
      </c>
      <c r="B65" s="1277" t="s">
        <v>29</v>
      </c>
      <c r="C65" s="333">
        <v>2</v>
      </c>
      <c r="D65" s="333">
        <v>56288</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12</v>
      </c>
      <c r="F68" s="333">
        <v>579642</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48746216</v>
      </c>
      <c r="E73" s="333">
        <v>62245807.7340042</v>
      </c>
      <c r="F73" s="333">
        <v>52441135</v>
      </c>
    </row>
    <row r="74" spans="1:6">
      <c r="A74" s="1277" t="s">
        <v>64</v>
      </c>
      <c r="B74" s="1277" t="s">
        <v>774</v>
      </c>
      <c r="C74" s="1288" t="s">
        <v>775</v>
      </c>
      <c r="D74" s="333">
        <v>5014769.7753563281</v>
      </c>
      <c r="E74" s="333">
        <v>6307615.6439719833</v>
      </c>
      <c r="F74" s="333">
        <v>5615112.1919058906</v>
      </c>
    </row>
    <row r="75" spans="1:6">
      <c r="A75" s="1277" t="s">
        <v>65</v>
      </c>
      <c r="B75" s="1277" t="s">
        <v>772</v>
      </c>
      <c r="C75" s="1288" t="s">
        <v>776</v>
      </c>
      <c r="D75" s="333">
        <v>18030491</v>
      </c>
      <c r="E75" s="333">
        <v>29896859.918653741</v>
      </c>
      <c r="F75" s="333">
        <v>21083880</v>
      </c>
    </row>
    <row r="76" spans="1:6">
      <c r="A76" s="1277" t="s">
        <v>65</v>
      </c>
      <c r="B76" s="1277" t="s">
        <v>774</v>
      </c>
      <c r="C76" s="1288" t="s">
        <v>777</v>
      </c>
      <c r="D76" s="333">
        <v>471584.77535632806</v>
      </c>
      <c r="E76" s="333">
        <v>958472.30672990764</v>
      </c>
      <c r="F76" s="333">
        <v>671438.19190589082</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832332.44928734389</v>
      </c>
      <c r="C83" s="333">
        <v>766059.04887006385</v>
      </c>
      <c r="D83" s="333">
        <v>770665.61618821847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136</v>
      </c>
    </row>
    <row r="90" spans="1:6">
      <c r="A90" s="1277" t="s">
        <v>561</v>
      </c>
      <c r="B90" s="884">
        <v>0</v>
      </c>
    </row>
    <row r="91" spans="1:6">
      <c r="A91" s="1277" t="s">
        <v>68</v>
      </c>
      <c r="B91" s="333">
        <v>1272.9075611440044</v>
      </c>
    </row>
    <row r="92" spans="1:6">
      <c r="A92" s="1273" t="s">
        <v>69</v>
      </c>
      <c r="B92" s="336">
        <v>791.00397426571851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921</v>
      </c>
    </row>
    <row r="98" spans="1:6">
      <c r="A98" s="1277" t="s">
        <v>72</v>
      </c>
      <c r="B98" s="333">
        <v>2</v>
      </c>
    </row>
    <row r="99" spans="1:6">
      <c r="A99" s="1277" t="s">
        <v>73</v>
      </c>
      <c r="B99" s="333">
        <v>104</v>
      </c>
    </row>
    <row r="100" spans="1:6">
      <c r="A100" s="1277" t="s">
        <v>74</v>
      </c>
      <c r="B100" s="333">
        <v>359</v>
      </c>
    </row>
    <row r="101" spans="1:6">
      <c r="A101" s="1277" t="s">
        <v>75</v>
      </c>
      <c r="B101" s="333">
        <v>35</v>
      </c>
    </row>
    <row r="102" spans="1:6">
      <c r="A102" s="1277" t="s">
        <v>76</v>
      </c>
      <c r="B102" s="333">
        <v>49</v>
      </c>
    </row>
    <row r="103" spans="1:6">
      <c r="A103" s="1277" t="s">
        <v>77</v>
      </c>
      <c r="B103" s="333">
        <v>118</v>
      </c>
    </row>
    <row r="104" spans="1:6">
      <c r="A104" s="1277" t="s">
        <v>78</v>
      </c>
      <c r="B104" s="333">
        <v>2384</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8</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34</v>
      </c>
    </row>
    <row r="130" spans="1:6">
      <c r="A130" s="1277" t="s">
        <v>295</v>
      </c>
      <c r="B130" s="333">
        <v>1</v>
      </c>
    </row>
    <row r="131" spans="1:6">
      <c r="A131" s="1277" t="s">
        <v>296</v>
      </c>
      <c r="B131" s="333">
        <v>3</v>
      </c>
    </row>
    <row r="132" spans="1:6">
      <c r="A132" s="1273" t="s">
        <v>297</v>
      </c>
      <c r="B132" s="336">
        <v>9</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44705.747536640512</v>
      </c>
      <c r="C3" s="43" t="s">
        <v>170</v>
      </c>
      <c r="D3" s="43"/>
      <c r="E3" s="156"/>
      <c r="F3" s="43"/>
      <c r="G3" s="43"/>
      <c r="H3" s="43"/>
      <c r="I3" s="43"/>
      <c r="J3" s="43"/>
      <c r="K3" s="96"/>
    </row>
    <row r="4" spans="1:11">
      <c r="A4" s="364" t="s">
        <v>171</v>
      </c>
      <c r="B4" s="49">
        <f>IF(ISERROR('SEAP template'!B78+'SEAP template'!C78),0,'SEAP template'!B78+'SEAP template'!C78)</f>
        <v>2199.911535409723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0.21012487820660913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1262.665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1262.665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0.21012487820660913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265.31732934074813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22051.601443184907</v>
      </c>
      <c r="C5" s="17">
        <f>IF(ISERROR('Eigen informatie GS &amp; warmtenet'!B57),0,'Eigen informatie GS &amp; warmtenet'!B57)</f>
        <v>0</v>
      </c>
      <c r="D5" s="30">
        <f>(SUM(HH_hh_gas_kWh,HH_rest_gas_kWh)/1000)*0.902</f>
        <v>33877.443182000003</v>
      </c>
      <c r="E5" s="17">
        <f>B46*B57</f>
        <v>4171.1018386530122</v>
      </c>
      <c r="F5" s="17">
        <f>B51*B62</f>
        <v>35295.379661678235</v>
      </c>
      <c r="G5" s="18"/>
      <c r="H5" s="17"/>
      <c r="I5" s="17"/>
      <c r="J5" s="17">
        <f>B50*B61+C50*C61</f>
        <v>720.0198137741985</v>
      </c>
      <c r="K5" s="17"/>
      <c r="L5" s="17"/>
      <c r="M5" s="17"/>
      <c r="N5" s="17">
        <f>B48*B59+C48*C59</f>
        <v>4061.4901037635682</v>
      </c>
      <c r="O5" s="17">
        <f>B69*B70*B71</f>
        <v>65.660000000000011</v>
      </c>
      <c r="P5" s="17">
        <f>B77*B78*B79/1000-B77*B78*B79/1000/B80</f>
        <v>247.86666666666667</v>
      </c>
    </row>
    <row r="6" spans="1:16">
      <c r="A6" s="16" t="s">
        <v>632</v>
      </c>
      <c r="B6" s="779">
        <f>kWh_PV_kleiner_dan_10kW</f>
        <v>1272.9075611440044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23324.509004328913</v>
      </c>
      <c r="C8" s="21">
        <f>C5</f>
        <v>0</v>
      </c>
      <c r="D8" s="21">
        <f>D5</f>
        <v>33877.443182000003</v>
      </c>
      <c r="E8" s="21">
        <f>E5</f>
        <v>4171.1018386530122</v>
      </c>
      <c r="F8" s="21">
        <f>F5</f>
        <v>35295.379661678235</v>
      </c>
      <c r="G8" s="21"/>
      <c r="H8" s="21"/>
      <c r="I8" s="21"/>
      <c r="J8" s="21">
        <f>J5</f>
        <v>720.0198137741985</v>
      </c>
      <c r="K8" s="21"/>
      <c r="L8" s="21">
        <f>L5</f>
        <v>0</v>
      </c>
      <c r="M8" s="21">
        <f>M5</f>
        <v>0</v>
      </c>
      <c r="N8" s="21">
        <f>N5</f>
        <v>4061.4901037635682</v>
      </c>
      <c r="O8" s="21">
        <f>O5</f>
        <v>65.660000000000011</v>
      </c>
      <c r="P8" s="21">
        <f>P5</f>
        <v>247.86666666666667</v>
      </c>
    </row>
    <row r="9" spans="1:16">
      <c r="B9" s="19"/>
      <c r="C9" s="19"/>
      <c r="D9" s="260"/>
      <c r="E9" s="19"/>
      <c r="F9" s="19"/>
      <c r="G9" s="19"/>
      <c r="H9" s="19"/>
      <c r="I9" s="19"/>
      <c r="J9" s="19"/>
      <c r="K9" s="19"/>
      <c r="L9" s="19"/>
      <c r="M9" s="19"/>
      <c r="N9" s="19"/>
      <c r="O9" s="19"/>
      <c r="P9" s="19"/>
    </row>
    <row r="10" spans="1:16">
      <c r="A10" s="24" t="s">
        <v>214</v>
      </c>
      <c r="B10" s="25">
        <f ca="1">'EF ele_warmte'!B12</f>
        <v>0.21012487820660913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4901.0596137635712</v>
      </c>
      <c r="C12" s="23">
        <f ca="1">C10*C8</f>
        <v>0</v>
      </c>
      <c r="D12" s="23">
        <f>D8*D10</f>
        <v>6843.2435227640008</v>
      </c>
      <c r="E12" s="23">
        <f>E10*E8</f>
        <v>946.84011737423384</v>
      </c>
      <c r="F12" s="23">
        <f>F10*F8</f>
        <v>9423.8663696680887</v>
      </c>
      <c r="G12" s="23"/>
      <c r="H12" s="23"/>
      <c r="I12" s="23"/>
      <c r="J12" s="23">
        <f>J10*J8</f>
        <v>254.88701407606627</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921</v>
      </c>
      <c r="C18" s="167" t="s">
        <v>111</v>
      </c>
      <c r="D18" s="229"/>
      <c r="E18" s="15"/>
    </row>
    <row r="19" spans="1:7">
      <c r="A19" s="172" t="s">
        <v>72</v>
      </c>
      <c r="B19" s="37">
        <f>aantalw2001_ander</f>
        <v>2</v>
      </c>
      <c r="C19" s="167" t="s">
        <v>111</v>
      </c>
      <c r="D19" s="230"/>
      <c r="E19" s="15"/>
    </row>
    <row r="20" spans="1:7">
      <c r="A20" s="172" t="s">
        <v>73</v>
      </c>
      <c r="B20" s="37">
        <f>aantalw2001_propaan</f>
        <v>104</v>
      </c>
      <c r="C20" s="168">
        <f>IF(ISERROR(B20/SUM($B$20,$B$21,$B$22)*100),0,B20/SUM($B$20,$B$21,$B$22)*100)</f>
        <v>20.883534136546185</v>
      </c>
      <c r="D20" s="230"/>
      <c r="E20" s="15"/>
    </row>
    <row r="21" spans="1:7">
      <c r="A21" s="172" t="s">
        <v>74</v>
      </c>
      <c r="B21" s="37">
        <f>aantalw2001_elektriciteit</f>
        <v>359</v>
      </c>
      <c r="C21" s="168">
        <f>IF(ISERROR(B21/SUM($B$20,$B$21,$B$22)*100),0,B21/SUM($B$20,$B$21,$B$22)*100)</f>
        <v>72.088353413654616</v>
      </c>
      <c r="D21" s="230"/>
      <c r="E21" s="15"/>
    </row>
    <row r="22" spans="1:7">
      <c r="A22" s="172" t="s">
        <v>75</v>
      </c>
      <c r="B22" s="37">
        <f>aantalw2001_hout</f>
        <v>35</v>
      </c>
      <c r="C22" s="168">
        <f>IF(ISERROR(B22/SUM($B$20,$B$21,$B$22)*100),0,B22/SUM($B$20,$B$21,$B$22)*100)</f>
        <v>7.0281124497991971</v>
      </c>
      <c r="D22" s="230"/>
      <c r="E22" s="15"/>
    </row>
    <row r="23" spans="1:7">
      <c r="A23" s="172" t="s">
        <v>76</v>
      </c>
      <c r="B23" s="37">
        <f>aantalw2001_niet_gespec</f>
        <v>49</v>
      </c>
      <c r="C23" s="167" t="s">
        <v>111</v>
      </c>
      <c r="D23" s="229"/>
      <c r="E23" s="15"/>
    </row>
    <row r="24" spans="1:7">
      <c r="A24" s="172" t="s">
        <v>77</v>
      </c>
      <c r="B24" s="37">
        <f>aantalw2001_steenkool</f>
        <v>118</v>
      </c>
      <c r="C24" s="167" t="s">
        <v>111</v>
      </c>
      <c r="D24" s="230"/>
      <c r="E24" s="15"/>
    </row>
    <row r="25" spans="1:7">
      <c r="A25" s="172" t="s">
        <v>78</v>
      </c>
      <c r="B25" s="37">
        <f>aantalw2001_stookolie</f>
        <v>2384</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4407</v>
      </c>
      <c r="C28" s="36"/>
      <c r="D28" s="229"/>
    </row>
    <row r="29" spans="1:7" s="15" customFormat="1">
      <c r="A29" s="231" t="s">
        <v>713</v>
      </c>
      <c r="B29" s="37">
        <f>SUM(HH_hh_gas_aantal,HH_rest_gas_aantal)</f>
        <v>1850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1850</v>
      </c>
      <c r="C32" s="168">
        <f>IF(ISERROR(B32/SUM($B$32,$B$34,$B$35,$B$36,$B$38,$B$39)*100),0,B32/SUM($B$32,$B$34,$B$35,$B$36,$B$38,$B$39)*100)</f>
        <v>42.102867546654529</v>
      </c>
      <c r="D32" s="234"/>
      <c r="G32" s="15"/>
    </row>
    <row r="33" spans="1:7">
      <c r="A33" s="172" t="s">
        <v>72</v>
      </c>
      <c r="B33" s="34" t="s">
        <v>111</v>
      </c>
      <c r="C33" s="168"/>
      <c r="D33" s="234"/>
      <c r="G33" s="15"/>
    </row>
    <row r="34" spans="1:7">
      <c r="A34" s="172" t="s">
        <v>73</v>
      </c>
      <c r="B34" s="33">
        <f>IF((($B$28-$B$32-$B$39-$B$77-$B$38)*C20/100)&lt;0,0,($B$28-$B$32-$B$39-$B$77-$B$38)*C20/100)</f>
        <v>202.77911646586344</v>
      </c>
      <c r="C34" s="168">
        <f>IF(ISERROR(B34/SUM($B$32,$B$34,$B$35,$B$36,$B$38,$B$39)*100),0,B34/SUM($B$32,$B$34,$B$35,$B$36,$B$38,$B$39)*100)</f>
        <v>4.614909341508044</v>
      </c>
      <c r="D34" s="234"/>
      <c r="G34" s="15"/>
    </row>
    <row r="35" spans="1:7">
      <c r="A35" s="172" t="s">
        <v>74</v>
      </c>
      <c r="B35" s="33">
        <f>IF((($B$28-$B$32-$B$39-$B$77-$B$38)*C21/100)&lt;0,0,($B$28-$B$32-$B$39-$B$77-$B$38)*C21/100)</f>
        <v>699.97791164658634</v>
      </c>
      <c r="C35" s="168">
        <f>IF(ISERROR(B35/SUM($B$32,$B$34,$B$35,$B$36,$B$38,$B$39)*100),0,B35/SUM($B$32,$B$34,$B$35,$B$36,$B$38,$B$39)*100)</f>
        <v>15.930312053859497</v>
      </c>
      <c r="D35" s="234"/>
      <c r="G35" s="15"/>
    </row>
    <row r="36" spans="1:7">
      <c r="A36" s="172" t="s">
        <v>75</v>
      </c>
      <c r="B36" s="33">
        <f>IF((($B$28-$B$32-$B$39-$B$77-$B$38)*C22/100)&lt;0,0,($B$28-$B$32-$B$39-$B$77-$B$38)*C22/100)</f>
        <v>68.242971887550198</v>
      </c>
      <c r="C36" s="168">
        <f>IF(ISERROR(B36/SUM($B$32,$B$34,$B$35,$B$36,$B$38,$B$39)*100),0,B36/SUM($B$32,$B$34,$B$35,$B$36,$B$38,$B$39)*100)</f>
        <v>1.5530944899305916</v>
      </c>
      <c r="D36" s="234"/>
      <c r="G36" s="15"/>
    </row>
    <row r="37" spans="1:7">
      <c r="A37" s="172" t="s">
        <v>76</v>
      </c>
      <c r="B37" s="34" t="s">
        <v>111</v>
      </c>
      <c r="C37" s="168"/>
      <c r="D37" s="174"/>
      <c r="G37" s="15"/>
    </row>
    <row r="38" spans="1:7">
      <c r="A38" s="172" t="s">
        <v>77</v>
      </c>
      <c r="B38" s="33">
        <f>IF((B24-(B29-B18)*0.1)&lt;0,0,B24-(B29-B18)*0.1)</f>
        <v>25.099999999999994</v>
      </c>
      <c r="C38" s="168">
        <f>IF(ISERROR(B38/SUM($B$32,$B$34,$B$35,$B$36,$B$38,$B$39)*100),0,B38/SUM($B$32,$B$34,$B$35,$B$36,$B$38,$B$39)*100)</f>
        <v>0.5712335002275829</v>
      </c>
      <c r="D38" s="235"/>
      <c r="G38" s="15"/>
    </row>
    <row r="39" spans="1:7">
      <c r="A39" s="172" t="s">
        <v>78</v>
      </c>
      <c r="B39" s="33">
        <f>IF((B25-(B29-B18))&lt;0,0,B25-(B29-B18)*0.9)</f>
        <v>1547.9</v>
      </c>
      <c r="C39" s="168">
        <f>IF(ISERROR(B39/SUM($B$32,$B$34,$B$35,$B$36,$B$38,$B$39)*100),0,B39/SUM($B$32,$B$34,$B$35,$B$36,$B$38,$B$39)*100)</f>
        <v>35.227583067819758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1850</v>
      </c>
      <c r="C44" s="34" t="s">
        <v>111</v>
      </c>
      <c r="D44" s="175"/>
    </row>
    <row r="45" spans="1:7">
      <c r="A45" s="172" t="s">
        <v>72</v>
      </c>
      <c r="B45" s="33" t="str">
        <f t="shared" si="0"/>
        <v>-</v>
      </c>
      <c r="C45" s="34" t="s">
        <v>111</v>
      </c>
      <c r="D45" s="175"/>
    </row>
    <row r="46" spans="1:7">
      <c r="A46" s="172" t="s">
        <v>73</v>
      </c>
      <c r="B46" s="33">
        <f t="shared" si="0"/>
        <v>202.77911646586344</v>
      </c>
      <c r="C46" s="34" t="s">
        <v>111</v>
      </c>
      <c r="D46" s="175"/>
    </row>
    <row r="47" spans="1:7">
      <c r="A47" s="172" t="s">
        <v>74</v>
      </c>
      <c r="B47" s="33">
        <f t="shared" si="0"/>
        <v>699.97791164658634</v>
      </c>
      <c r="C47" s="34" t="s">
        <v>111</v>
      </c>
      <c r="D47" s="175"/>
    </row>
    <row r="48" spans="1:7">
      <c r="A48" s="172" t="s">
        <v>75</v>
      </c>
      <c r="B48" s="33">
        <f t="shared" si="0"/>
        <v>68.242971887550198</v>
      </c>
      <c r="C48" s="33">
        <f>B48*10</f>
        <v>682.42971887550198</v>
      </c>
      <c r="D48" s="235"/>
    </row>
    <row r="49" spans="1:6">
      <c r="A49" s="172" t="s">
        <v>76</v>
      </c>
      <c r="B49" s="33" t="str">
        <f t="shared" si="0"/>
        <v>-</v>
      </c>
      <c r="C49" s="34" t="s">
        <v>111</v>
      </c>
      <c r="D49" s="235"/>
    </row>
    <row r="50" spans="1:6">
      <c r="A50" s="172" t="s">
        <v>77</v>
      </c>
      <c r="B50" s="33">
        <f t="shared" si="0"/>
        <v>25.099999999999994</v>
      </c>
      <c r="C50" s="33">
        <f>B50*2</f>
        <v>50.199999999999989</v>
      </c>
      <c r="D50" s="235"/>
    </row>
    <row r="51" spans="1:6">
      <c r="A51" s="172" t="s">
        <v>78</v>
      </c>
      <c r="B51" s="33">
        <f t="shared" si="0"/>
        <v>1547.9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42</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10563.636237230618</v>
      </c>
      <c r="C5" s="17">
        <f>IF(ISERROR('Eigen informatie GS &amp; warmtenet'!B58),0,'Eigen informatie GS &amp; warmtenet'!B58)</f>
        <v>0</v>
      </c>
      <c r="D5" s="30">
        <f>SUM(D6:D12)</f>
        <v>7742.8103940000001</v>
      </c>
      <c r="E5" s="17">
        <f>SUM(E6:E12)</f>
        <v>175.04670596978991</v>
      </c>
      <c r="F5" s="17">
        <f>SUM(F6:F12)</f>
        <v>1878.5437811847378</v>
      </c>
      <c r="G5" s="18"/>
      <c r="H5" s="17"/>
      <c r="I5" s="17"/>
      <c r="J5" s="17">
        <f>SUM(J6:J12)</f>
        <v>0</v>
      </c>
      <c r="K5" s="17"/>
      <c r="L5" s="17"/>
      <c r="M5" s="17"/>
      <c r="N5" s="17">
        <f>SUM(N6:N12)</f>
        <v>335.15764011527313</v>
      </c>
      <c r="O5" s="17">
        <f>B38*B39*B40</f>
        <v>1.5633333333333335</v>
      </c>
      <c r="P5" s="17">
        <f>B46*B47*B48/1000-B46*B47*B48/1000/B49</f>
        <v>57.2</v>
      </c>
      <c r="R5" s="32"/>
    </row>
    <row r="6" spans="1:18">
      <c r="A6" s="32" t="s">
        <v>54</v>
      </c>
      <c r="B6" s="37">
        <f>B26</f>
        <v>2617.145</v>
      </c>
      <c r="C6" s="33"/>
      <c r="D6" s="37">
        <f>IF(ISERROR(TER_kantoor_gas_kWh/1000),0,TER_kantoor_gas_kWh/1000)*0.902</f>
        <v>3445.7374160000004</v>
      </c>
      <c r="E6" s="33">
        <f>$C$26*'E Balans VL '!I12/100/3.6*1000000</f>
        <v>91.610370185337672</v>
      </c>
      <c r="F6" s="33">
        <f>$C$26*('E Balans VL '!L12+'E Balans VL '!N12)/100/3.6*1000000</f>
        <v>396.81537155254279</v>
      </c>
      <c r="G6" s="34"/>
      <c r="H6" s="33"/>
      <c r="I6" s="33"/>
      <c r="J6" s="33">
        <f>$C$26*('E Balans VL '!D12+'E Balans VL '!E12)/100/3.6*1000000</f>
        <v>0</v>
      </c>
      <c r="K6" s="33"/>
      <c r="L6" s="33"/>
      <c r="M6" s="33"/>
      <c r="N6" s="33">
        <f>$C$26*'E Balans VL '!Y12/100/3.6*1000000</f>
        <v>20.229711706158852</v>
      </c>
      <c r="O6" s="33"/>
      <c r="P6" s="33"/>
      <c r="R6" s="32"/>
    </row>
    <row r="7" spans="1:18">
      <c r="A7" s="32" t="s">
        <v>53</v>
      </c>
      <c r="B7" s="37">
        <f t="shared" ref="B7:B12" si="0">B27</f>
        <v>800.48099999999999</v>
      </c>
      <c r="C7" s="33"/>
      <c r="D7" s="37">
        <f>IF(ISERROR(TER_horeca_gas_kWh/1000),0,TER_horeca_gas_kWh/1000)*0.902</f>
        <v>431.64759000000004</v>
      </c>
      <c r="E7" s="33">
        <f>$C$27*'E Balans VL '!I9/100/3.6*1000000</f>
        <v>45.157772205094233</v>
      </c>
      <c r="F7" s="33">
        <f>$C$27*('E Balans VL '!L9+'E Balans VL '!N9)/100/3.6*1000000</f>
        <v>139.44822011873148</v>
      </c>
      <c r="G7" s="34"/>
      <c r="H7" s="33"/>
      <c r="I7" s="33"/>
      <c r="J7" s="33">
        <f>$C$27*('E Balans VL '!D9+'E Balans VL '!E9)/100/3.6*1000000</f>
        <v>0</v>
      </c>
      <c r="K7" s="33"/>
      <c r="L7" s="33"/>
      <c r="M7" s="33"/>
      <c r="N7" s="33">
        <f>$C$27*'E Balans VL '!Y9/100/3.6*1000000</f>
        <v>0</v>
      </c>
      <c r="O7" s="33"/>
      <c r="P7" s="33"/>
      <c r="R7" s="32"/>
    </row>
    <row r="8" spans="1:18">
      <c r="A8" s="6" t="s">
        <v>52</v>
      </c>
      <c r="B8" s="37">
        <f t="shared" si="0"/>
        <v>5584.7860000000001</v>
      </c>
      <c r="C8" s="33"/>
      <c r="D8" s="37">
        <f>IF(ISERROR(TER_handel_gas_kWh/1000),0,TER_handel_gas_kWh/1000)*0.902</f>
        <v>1420.445246</v>
      </c>
      <c r="E8" s="33">
        <f>$C$28*'E Balans VL '!I13/100/3.6*1000000</f>
        <v>28.671723917971704</v>
      </c>
      <c r="F8" s="33">
        <f>$C$28*('E Balans VL '!L13+'E Balans VL '!N13)/100/3.6*1000000</f>
        <v>861.08770739785462</v>
      </c>
      <c r="G8" s="34"/>
      <c r="H8" s="33"/>
      <c r="I8" s="33"/>
      <c r="J8" s="33">
        <f>$C$28*('E Balans VL '!D13+'E Balans VL '!E13)/100/3.6*1000000</f>
        <v>0</v>
      </c>
      <c r="K8" s="33"/>
      <c r="L8" s="33"/>
      <c r="M8" s="33"/>
      <c r="N8" s="33">
        <f>$C$28*'E Balans VL '!Y13/100/3.6*1000000</f>
        <v>2.6120725836892684</v>
      </c>
      <c r="O8" s="33"/>
      <c r="P8" s="33"/>
      <c r="R8" s="32"/>
    </row>
    <row r="9" spans="1:18">
      <c r="A9" s="32" t="s">
        <v>51</v>
      </c>
      <c r="B9" s="37">
        <f t="shared" si="0"/>
        <v>0</v>
      </c>
      <c r="C9" s="33"/>
      <c r="D9" s="37">
        <f>IF(ISERROR(TER_gezond_gas_kWh/1000),0,TER_gezond_gas_kWh/1000)*0.902</f>
        <v>1520.7377240000001</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1345.7149999999999</v>
      </c>
      <c r="C10" s="33"/>
      <c r="D10" s="37">
        <f>IF(ISERROR(TER_ander_gas_kWh/1000),0,TER_ander_gas_kWh/1000)*0.902</f>
        <v>524.03403800000001</v>
      </c>
      <c r="E10" s="33">
        <f>$C$30*'E Balans VL '!I14/100/3.6*1000000</f>
        <v>8.2035118424190507</v>
      </c>
      <c r="F10" s="33">
        <f>$C$30*('E Balans VL '!L14+'E Balans VL '!N14)/100/3.6*1000000</f>
        <v>356.76748070441744</v>
      </c>
      <c r="G10" s="34"/>
      <c r="H10" s="33"/>
      <c r="I10" s="33"/>
      <c r="J10" s="33">
        <f>$C$30*('E Balans VL '!D14+'E Balans VL '!E14)/100/3.6*1000000</f>
        <v>0</v>
      </c>
      <c r="K10" s="33"/>
      <c r="L10" s="33"/>
      <c r="M10" s="33"/>
      <c r="N10" s="33">
        <f>$C$30*'E Balans VL '!Y14/100/3.6*1000000</f>
        <v>310.15822873916943</v>
      </c>
      <c r="O10" s="33"/>
      <c r="P10" s="33"/>
      <c r="R10" s="32"/>
    </row>
    <row r="11" spans="1:18">
      <c r="A11" s="32" t="s">
        <v>55</v>
      </c>
      <c r="B11" s="37">
        <f t="shared" si="0"/>
        <v>155.60599999999999</v>
      </c>
      <c r="C11" s="33"/>
      <c r="D11" s="37">
        <f>IF(ISERROR(TER_onderwijs_gas_kWh/1000),0,TER_onderwijs_gas_kWh/1000)*0.902</f>
        <v>400.20838000000003</v>
      </c>
      <c r="E11" s="33">
        <f>$C$31*'E Balans VL '!I11/100/3.6*1000000</f>
        <v>0.11857987449001742</v>
      </c>
      <c r="F11" s="33">
        <f>$C$31*('E Balans VL '!L11+'E Balans VL '!N11)/100/3.6*1000000</f>
        <v>112.60502916361338</v>
      </c>
      <c r="G11" s="34"/>
      <c r="H11" s="33"/>
      <c r="I11" s="33"/>
      <c r="J11" s="33">
        <f>$C$31*('E Balans VL '!D11+'E Balans VL '!E11)/100/3.6*1000000</f>
        <v>0</v>
      </c>
      <c r="K11" s="33"/>
      <c r="L11" s="33"/>
      <c r="M11" s="33"/>
      <c r="N11" s="33">
        <f>$C$31*'E Balans VL '!Y11/100/3.6*1000000</f>
        <v>0.45860807115634034</v>
      </c>
      <c r="O11" s="33"/>
      <c r="P11" s="33"/>
      <c r="R11" s="32"/>
    </row>
    <row r="12" spans="1:18">
      <c r="A12" s="32" t="s">
        <v>260</v>
      </c>
      <c r="B12" s="37">
        <f t="shared" si="0"/>
        <v>59.903237230617002</v>
      </c>
      <c r="C12" s="33"/>
      <c r="D12" s="37">
        <f>IF(ISERROR(TER_rest_gas_kWh/1000),0,TER_rest_gas_kWh/1000)*0.902</f>
        <v>0</v>
      </c>
      <c r="E12" s="33">
        <f>$C$32*'E Balans VL '!I8/100/3.6*1000000</f>
        <v>1.2847479444772123</v>
      </c>
      <c r="F12" s="33">
        <f>$C$32*('E Balans VL '!L8+'E Balans VL '!N8)/100/3.6*1000000</f>
        <v>11.819972247578173</v>
      </c>
      <c r="G12" s="34"/>
      <c r="H12" s="33"/>
      <c r="I12" s="33"/>
      <c r="J12" s="33">
        <f>$C$32*('E Balans VL '!D8+'E Balans VL '!E8)/100/3.6*1000000</f>
        <v>0</v>
      </c>
      <c r="K12" s="33"/>
      <c r="L12" s="33"/>
      <c r="M12" s="33"/>
      <c r="N12" s="33">
        <f>$C$32*'E Balans VL '!Y8/100/3.6*1000000</f>
        <v>1.6990190150992071</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10563.636237230618</v>
      </c>
      <c r="C16" s="21">
        <f ca="1">C5+C13+C14</f>
        <v>0</v>
      </c>
      <c r="D16" s="21">
        <f t="shared" ref="D16:N16" ca="1" si="1">MAX((D5+D13+D14),0)</f>
        <v>7742.8103940000001</v>
      </c>
      <c r="E16" s="21">
        <f t="shared" si="1"/>
        <v>175.04670596978991</v>
      </c>
      <c r="F16" s="21">
        <f t="shared" ca="1" si="1"/>
        <v>1878.5437811847378</v>
      </c>
      <c r="G16" s="21">
        <f t="shared" si="1"/>
        <v>0</v>
      </c>
      <c r="H16" s="21">
        <f t="shared" si="1"/>
        <v>0</v>
      </c>
      <c r="I16" s="21">
        <f t="shared" si="1"/>
        <v>0</v>
      </c>
      <c r="J16" s="21">
        <f t="shared" si="1"/>
        <v>0</v>
      </c>
      <c r="K16" s="21">
        <f t="shared" si="1"/>
        <v>0</v>
      </c>
      <c r="L16" s="21">
        <f t="shared" ca="1" si="1"/>
        <v>0</v>
      </c>
      <c r="M16" s="21">
        <f t="shared" si="1"/>
        <v>0</v>
      </c>
      <c r="N16" s="21">
        <f t="shared" ca="1" si="1"/>
        <v>335.15764011527313</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0.21012487820660913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2219.6827777670064</v>
      </c>
      <c r="C20" s="23">
        <f t="shared" ref="C20:P20" ca="1" si="2">C16*C18</f>
        <v>0</v>
      </c>
      <c r="D20" s="23">
        <f t="shared" ca="1" si="2"/>
        <v>1564.0476995880001</v>
      </c>
      <c r="E20" s="23">
        <f t="shared" si="2"/>
        <v>39.735602255142311</v>
      </c>
      <c r="F20" s="23">
        <f t="shared" ca="1" si="2"/>
        <v>501.57118957632503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2617.145</v>
      </c>
      <c r="C26" s="39">
        <f>IF(ISERROR(B26*3.6/1000000/'E Balans VL '!Z12*100),0,B26*3.6/1000000/'E Balans VL '!Z12*100)</f>
        <v>5.5073476316715456E-2</v>
      </c>
      <c r="D26" s="238" t="s">
        <v>719</v>
      </c>
      <c r="F26" s="6"/>
    </row>
    <row r="27" spans="1:18">
      <c r="A27" s="232" t="s">
        <v>53</v>
      </c>
      <c r="B27" s="33">
        <f>IF(ISERROR(TER_horeca_ele_kWh/1000),0,TER_horeca_ele_kWh/1000)</f>
        <v>800.48099999999999</v>
      </c>
      <c r="C27" s="39">
        <f>IF(ISERROR(B27*3.6/1000000/'E Balans VL '!Z9*100),0,B27*3.6/1000000/'E Balans VL '!Z9*100)</f>
        <v>6.7774476939220216E-2</v>
      </c>
      <c r="D27" s="238" t="s">
        <v>719</v>
      </c>
      <c r="F27" s="6"/>
    </row>
    <row r="28" spans="1:18">
      <c r="A28" s="172" t="s">
        <v>52</v>
      </c>
      <c r="B28" s="33">
        <f>IF(ISERROR(TER_handel_ele_kWh/1000),0,TER_handel_ele_kWh/1000)</f>
        <v>5584.7860000000001</v>
      </c>
      <c r="C28" s="39">
        <f>IF(ISERROR(B28*3.6/1000000/'E Balans VL '!Z13*100),0,B28*3.6/1000000/'E Balans VL '!Z13*100)</f>
        <v>0.15461402815112146</v>
      </c>
      <c r="D28" s="238" t="s">
        <v>719</v>
      </c>
      <c r="F28" s="6"/>
    </row>
    <row r="29" spans="1:18">
      <c r="A29" s="232" t="s">
        <v>51</v>
      </c>
      <c r="B29" s="33">
        <f>IF(ISERROR(TER_gezond_ele_kWh/1000),0,TER_gezond_ele_kWh/1000)</f>
        <v>0</v>
      </c>
      <c r="C29" s="39">
        <f>IF(ISERROR(B29*3.6/1000000/'E Balans VL '!Z10*100),0,B29*3.6/1000000/'E Balans VL '!Z10*100)</f>
        <v>0</v>
      </c>
      <c r="D29" s="238" t="s">
        <v>719</v>
      </c>
      <c r="F29" s="6"/>
    </row>
    <row r="30" spans="1:18">
      <c r="A30" s="232" t="s">
        <v>50</v>
      </c>
      <c r="B30" s="33">
        <f>IF(ISERROR(TER_ander_ele_kWh/1000),0,TER_ander_ele_kWh/1000)</f>
        <v>1345.7149999999999</v>
      </c>
      <c r="C30" s="39">
        <f>IF(ISERROR(B30*3.6/1000000/'E Balans VL '!Z14*100),0,B30*3.6/1000000/'E Balans VL '!Z14*100)</f>
        <v>0.10430525364930297</v>
      </c>
      <c r="D30" s="238" t="s">
        <v>719</v>
      </c>
      <c r="F30" s="6"/>
    </row>
    <row r="31" spans="1:18">
      <c r="A31" s="232" t="s">
        <v>55</v>
      </c>
      <c r="B31" s="33">
        <f>IF(ISERROR(TER_onderwijs_ele_kWh/1000),0,TER_onderwijs_ele_kWh/1000)</f>
        <v>155.60599999999999</v>
      </c>
      <c r="C31" s="39">
        <f>IF(ISERROR(B31*3.6/1000000/'E Balans VL '!Z11*100),0,B31*3.6/1000000/'E Balans VL '!Z11*100)</f>
        <v>2.9770079270129205E-2</v>
      </c>
      <c r="D31" s="238" t="s">
        <v>719</v>
      </c>
    </row>
    <row r="32" spans="1:18">
      <c r="A32" s="232" t="s">
        <v>260</v>
      </c>
      <c r="B32" s="33">
        <f>IF(ISERROR(TER_rest_ele_kWh/1000),0,TER_rest_ele_kWh/1000)</f>
        <v>59.903237230617002</v>
      </c>
      <c r="C32" s="39">
        <f>IF(ISERROR(B32*3.6/1000000/'E Balans VL '!Z8*100),0,B32*3.6/1000000/'E Balans VL '!Z8*100)</f>
        <v>4.9394819159459525E-4</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3</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4664.8761479613786</v>
      </c>
      <c r="C5" s="17">
        <f>IF(ISERROR('Eigen informatie GS &amp; warmtenet'!B59),0,'Eigen informatie GS &amp; warmtenet'!B59)</f>
        <v>0</v>
      </c>
      <c r="D5" s="30">
        <f>SUM(D6:D15)</f>
        <v>1349.0708880000002</v>
      </c>
      <c r="E5" s="17">
        <f>SUM(E6:E15)</f>
        <v>92.137539647227783</v>
      </c>
      <c r="F5" s="17">
        <f>SUM(F6:F15)</f>
        <v>1312.0808373918967</v>
      </c>
      <c r="G5" s="18"/>
      <c r="H5" s="17"/>
      <c r="I5" s="17"/>
      <c r="J5" s="17">
        <f>SUM(J6:J15)</f>
        <v>20.625877659450008</v>
      </c>
      <c r="K5" s="17"/>
      <c r="L5" s="17"/>
      <c r="M5" s="17"/>
      <c r="N5" s="17">
        <f>SUM(N6:N15)</f>
        <v>76.759707673837752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654.447</v>
      </c>
      <c r="C8" s="33"/>
      <c r="D8" s="37">
        <f>IF( ISERROR(IND_metaal_Gas_kWH/1000),0,IND_metaal_Gas_kWH/1000)*0.902</f>
        <v>458.88979400000005</v>
      </c>
      <c r="E8" s="33">
        <f>C30*'E Balans VL '!I18/100/3.6*1000000</f>
        <v>4.598654671819344</v>
      </c>
      <c r="F8" s="33">
        <f>C30*'E Balans VL '!L18/100/3.6*1000000+C30*'E Balans VL '!N18/100/3.6*1000000</f>
        <v>71.854451708177777</v>
      </c>
      <c r="G8" s="34"/>
      <c r="H8" s="33"/>
      <c r="I8" s="33"/>
      <c r="J8" s="40">
        <f>C30*'E Balans VL '!D18/100/3.6*1000000+C30*'E Balans VL '!E18/100/3.6*1000000</f>
        <v>13.502652199679277</v>
      </c>
      <c r="K8" s="33"/>
      <c r="L8" s="33"/>
      <c r="M8" s="33"/>
      <c r="N8" s="33">
        <f>C30*'E Balans VL '!Y18/100/3.6*1000000</f>
        <v>2.4529144892223842</v>
      </c>
      <c r="O8" s="33"/>
      <c r="P8" s="33"/>
      <c r="R8" s="32"/>
    </row>
    <row r="9" spans="1:18">
      <c r="A9" s="6" t="s">
        <v>33</v>
      </c>
      <c r="B9" s="37">
        <f t="shared" si="0"/>
        <v>731.96299999999997</v>
      </c>
      <c r="C9" s="33"/>
      <c r="D9" s="37">
        <f>IF( ISERROR(IND_andere_gas_kWh/1000),0,IND_andere_gas_kWh/1000)*0.902</f>
        <v>170.02249</v>
      </c>
      <c r="E9" s="33">
        <f>C31*'E Balans VL '!I19/100/3.6*1000000</f>
        <v>12.294215268304503</v>
      </c>
      <c r="F9" s="33">
        <f>C31*'E Balans VL '!L19/100/3.6*1000000+C31*'E Balans VL '!N19/100/3.6*1000000</f>
        <v>572.20698390037387</v>
      </c>
      <c r="G9" s="34"/>
      <c r="H9" s="33"/>
      <c r="I9" s="33"/>
      <c r="J9" s="40">
        <f>C31*'E Balans VL '!D19/100/3.6*1000000+C31*'E Balans VL '!E19/100/3.6*1000000</f>
        <v>6.6016601280856402E-2</v>
      </c>
      <c r="K9" s="33"/>
      <c r="L9" s="33"/>
      <c r="M9" s="33"/>
      <c r="N9" s="33">
        <f>C31*'E Balans VL '!Y19/100/3.6*1000000</f>
        <v>54.250201612485853</v>
      </c>
      <c r="O9" s="33"/>
      <c r="P9" s="33"/>
      <c r="R9" s="32"/>
    </row>
    <row r="10" spans="1:18">
      <c r="A10" s="6" t="s">
        <v>41</v>
      </c>
      <c r="B10" s="37">
        <f t="shared" si="0"/>
        <v>323.57</v>
      </c>
      <c r="C10" s="33"/>
      <c r="D10" s="37">
        <f>IF( ISERROR(IND_voed_gas_kWh/1000),0,IND_voed_gas_kWh/1000)*0.902</f>
        <v>0</v>
      </c>
      <c r="E10" s="33">
        <f>C32*'E Balans VL '!I20/100/3.6*1000000</f>
        <v>2.9521182204929648</v>
      </c>
      <c r="F10" s="33">
        <f>C32*'E Balans VL '!L20/100/3.6*1000000+C32*'E Balans VL '!N20/100/3.6*1000000</f>
        <v>52.201961677317357</v>
      </c>
      <c r="G10" s="34"/>
      <c r="H10" s="33"/>
      <c r="I10" s="33"/>
      <c r="J10" s="40">
        <f>C32*'E Balans VL '!D20/100/3.6*1000000+C32*'E Balans VL '!E20/100/3.6*1000000</f>
        <v>1.3326734027607874</v>
      </c>
      <c r="K10" s="33"/>
      <c r="L10" s="33"/>
      <c r="M10" s="33"/>
      <c r="N10" s="33">
        <f>C32*'E Balans VL '!Y20/100/3.6*1000000</f>
        <v>4.7335739578941647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2099.7220000000002</v>
      </c>
      <c r="C13" s="33"/>
      <c r="D13" s="37">
        <f>IF( ISERROR(IND_papier_gas_kWh/1000),0,IND_papier_gas_kWh/1000)*0.902</f>
        <v>0</v>
      </c>
      <c r="E13" s="33">
        <f>C35*'E Balans VL '!I23/100/3.6*1000000</f>
        <v>64.602966153623512</v>
      </c>
      <c r="F13" s="33">
        <f>C35*'E Balans VL '!L23/100/3.6*1000000+C35*'E Balans VL '!N23/100/3.6*1000000</f>
        <v>445.8443615483784</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4.9980000000000002</v>
      </c>
      <c r="C14" s="33"/>
      <c r="D14" s="37">
        <f>IF( ISERROR(IND_chemie_gas_kWh/1000),0,IND_chemie_gas_kWh/1000)*0.902</f>
        <v>0</v>
      </c>
      <c r="E14" s="33">
        <f>C36*'E Balans VL '!I24/100/3.6*1000000</f>
        <v>1.6946662455940842E-2</v>
      </c>
      <c r="F14" s="33">
        <f>C36*'E Balans VL '!L24/100/3.6*1000000+C36*'E Balans VL '!N24/100/3.6*1000000</f>
        <v>1.6039792945873488E-2</v>
      </c>
      <c r="G14" s="34"/>
      <c r="H14" s="33"/>
      <c r="I14" s="33"/>
      <c r="J14" s="40">
        <f>C36*'E Balans VL '!D24/100/3.6*1000000+C36*'E Balans VL '!E24/100/3.6*1000000</f>
        <v>0</v>
      </c>
      <c r="K14" s="33"/>
      <c r="L14" s="33"/>
      <c r="M14" s="33"/>
      <c r="N14" s="33">
        <f>C36*'E Balans VL '!Y24/100/3.6*1000000</f>
        <v>2.3369293517900101E-2</v>
      </c>
      <c r="O14" s="33"/>
      <c r="P14" s="33"/>
      <c r="R14" s="32"/>
    </row>
    <row r="15" spans="1:18">
      <c r="A15" s="6" t="s">
        <v>270</v>
      </c>
      <c r="B15" s="37">
        <f t="shared" si="0"/>
        <v>850.17614796137866</v>
      </c>
      <c r="C15" s="33"/>
      <c r="D15" s="37">
        <f>IF( ISERROR(IND_rest_gas_kWh/1000),0,IND_rest_gas_kWh/1000)*0.902</f>
        <v>720.15860400000008</v>
      </c>
      <c r="E15" s="33">
        <f>C37*'E Balans VL '!I15/100/3.6*1000000</f>
        <v>7.6726386705315193</v>
      </c>
      <c r="F15" s="33">
        <f>C37*'E Balans VL '!L15/100/3.6*1000000+C37*'E Balans VL '!N15/100/3.6*1000000</f>
        <v>169.9570387647037</v>
      </c>
      <c r="G15" s="34"/>
      <c r="H15" s="33"/>
      <c r="I15" s="33"/>
      <c r="J15" s="40">
        <f>C37*'E Balans VL '!D15/100/3.6*1000000+C37*'E Balans VL '!E15/100/3.6*1000000</f>
        <v>5.7245354557290877</v>
      </c>
      <c r="K15" s="33"/>
      <c r="L15" s="33"/>
      <c r="M15" s="33"/>
      <c r="N15" s="33">
        <f>C37*'E Balans VL '!Y15/100/3.6*1000000</f>
        <v>15.299648320717445</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4664.8761479613786</v>
      </c>
      <c r="C18" s="21">
        <f>C5+C16</f>
        <v>0</v>
      </c>
      <c r="D18" s="21">
        <f>MAX((D5+D16),0)</f>
        <v>1349.0708880000002</v>
      </c>
      <c r="E18" s="21">
        <f>MAX((E5+E16),0)</f>
        <v>92.137539647227783</v>
      </c>
      <c r="F18" s="21">
        <f>MAX((F5+F16),0)</f>
        <v>1312.0808373918967</v>
      </c>
      <c r="G18" s="21"/>
      <c r="H18" s="21"/>
      <c r="I18" s="21"/>
      <c r="J18" s="21">
        <f>MAX((J5+J16),0)</f>
        <v>20.625877659450008</v>
      </c>
      <c r="K18" s="21"/>
      <c r="L18" s="21">
        <f>MAX((L5+L16),0)</f>
        <v>0</v>
      </c>
      <c r="M18" s="21"/>
      <c r="N18" s="21">
        <f>MAX((N5+N16),0)</f>
        <v>76.759707673837752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0.21012487820660913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980.20653243930064</v>
      </c>
      <c r="C22" s="23">
        <f ca="1">C18*C20</f>
        <v>0</v>
      </c>
      <c r="D22" s="23">
        <f>D18*D20</f>
        <v>272.51231937600005</v>
      </c>
      <c r="E22" s="23">
        <f>E18*E20</f>
        <v>20.915221499920708</v>
      </c>
      <c r="F22" s="23">
        <f>F18*F20</f>
        <v>350.32558358363644</v>
      </c>
      <c r="G22" s="23"/>
      <c r="H22" s="23"/>
      <c r="I22" s="23"/>
      <c r="J22" s="23">
        <f>J18*J20</f>
        <v>7.3015606914453022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654.447</v>
      </c>
      <c r="C30" s="39">
        <f>IF(ISERROR(B30*3.6/1000000/'E Balans VL '!Z18*100),0,B30*3.6/1000000/'E Balans VL '!Z18*100)</f>
        <v>4.3566936428827224E-2</v>
      </c>
      <c r="D30" s="238" t="s">
        <v>719</v>
      </c>
    </row>
    <row r="31" spans="1:18">
      <c r="A31" s="6" t="s">
        <v>33</v>
      </c>
      <c r="B31" s="37">
        <f>IF( ISERROR(IND_ander_ele_kWh/1000),0,IND_ander_ele_kWh/1000)</f>
        <v>731.96299999999997</v>
      </c>
      <c r="C31" s="39">
        <f>IF(ISERROR(B31*3.6/1000000/'E Balans VL '!Z19*100),0,B31*3.6/1000000/'E Balans VL '!Z19*100)</f>
        <v>3.2445019059533522E-2</v>
      </c>
      <c r="D31" s="238" t="s">
        <v>719</v>
      </c>
    </row>
    <row r="32" spans="1:18">
      <c r="A32" s="172" t="s">
        <v>41</v>
      </c>
      <c r="B32" s="37">
        <f>IF( ISERROR(IND_voed_ele_kWh/1000),0,IND_voed_ele_kWh/1000)</f>
        <v>323.57</v>
      </c>
      <c r="C32" s="39">
        <f>IF(ISERROR(B32*3.6/1000000/'E Balans VL '!Z20*100),0,B32*3.6/1000000/'E Balans VL '!Z20*100)</f>
        <v>1.0808166202197159E-2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2099.7220000000002</v>
      </c>
      <c r="C35" s="39">
        <f>IF(ISERROR(B35*3.6/1000000/'E Balans VL '!Z22*100),0,B35*3.6/1000000/'E Balans VL '!Z22*100)</f>
        <v>0.40837286486487478</v>
      </c>
      <c r="D35" s="238" t="s">
        <v>719</v>
      </c>
    </row>
    <row r="36" spans="1:5">
      <c r="A36" s="172" t="s">
        <v>34</v>
      </c>
      <c r="B36" s="37">
        <f>IF( ISERROR(IND_chemie_ele_kWh/1000),0,IND_chemie_ele_kWh/1000)</f>
        <v>4.9980000000000002</v>
      </c>
      <c r="C36" s="39">
        <f>IF(ISERROR(B36*3.6/1000000/'E Balans VL '!Z24*100),0,B36*3.6/1000000/'E Balans VL '!Z24*100)</f>
        <v>1.1736650160517393E-4</v>
      </c>
      <c r="D36" s="238" t="s">
        <v>719</v>
      </c>
    </row>
    <row r="37" spans="1:5">
      <c r="A37" s="172" t="s">
        <v>270</v>
      </c>
      <c r="B37" s="37">
        <f>IF( ISERROR(IND_rest_ele_kWh/1000),0,IND_rest_ele_kWh/1000)</f>
        <v>850.17614796137866</v>
      </c>
      <c r="C37" s="39">
        <f>IF(ISERROR(B37*3.6/1000000/'E Balans VL '!Z15*100),0,B37*3.6/1000000/'E Balans VL '!Z15*100)</f>
        <v>6.3239254854110328E-3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1739.268</v>
      </c>
      <c r="C5" s="17">
        <f>'Eigen informatie GS &amp; warmtenet'!B60</f>
        <v>0</v>
      </c>
      <c r="D5" s="30">
        <f>IF(ISERROR(SUM(LB_lb_gas_kWh,LB_rest_gas_kWh)/1000),0,SUM(LB_lb_gas_kWh,LB_rest_gas_kWh)/1000)*0.902</f>
        <v>69.142809999999997</v>
      </c>
      <c r="E5" s="17">
        <f>B17*'E Balans VL '!I25/3.6*1000000/100</f>
        <v>18.213991032166945</v>
      </c>
      <c r="F5" s="17">
        <f>B17*('E Balans VL '!L25/3.6*1000000+'E Balans VL '!N25/3.6*1000000)/100</f>
        <v>7445.3886030073672</v>
      </c>
      <c r="G5" s="18"/>
      <c r="H5" s="17"/>
      <c r="I5" s="17"/>
      <c r="J5" s="17">
        <f>('E Balans VL '!D25+'E Balans VL '!E25)/3.6*1000000*landbouw!B17/100</f>
        <v>155.33222172503258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1739.268</v>
      </c>
      <c r="C8" s="21">
        <f>C5+C6</f>
        <v>0</v>
      </c>
      <c r="D8" s="21">
        <f>MAX((D5+D6),0)</f>
        <v>69.142809999999997</v>
      </c>
      <c r="E8" s="21">
        <f>MAX((E5+E6),0)</f>
        <v>18.213991032166945</v>
      </c>
      <c r="F8" s="21">
        <f>MAX((F5+F6),0)</f>
        <v>7445.3886030073672</v>
      </c>
      <c r="G8" s="21"/>
      <c r="H8" s="21"/>
      <c r="I8" s="21"/>
      <c r="J8" s="21">
        <f>MAX((J5+J6),0)</f>
        <v>155.33222172503258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0.21012487820660913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365.46347666865267</v>
      </c>
      <c r="C12" s="23">
        <f ca="1">C8*C10</f>
        <v>0</v>
      </c>
      <c r="D12" s="23">
        <f>D8*D10</f>
        <v>13.966847620000001</v>
      </c>
      <c r="E12" s="23">
        <f>E8*E10</f>
        <v>4.1345759643018969</v>
      </c>
      <c r="F12" s="23">
        <f>F8*F10</f>
        <v>1987.9187570029671</v>
      </c>
      <c r="G12" s="23"/>
      <c r="H12" s="23"/>
      <c r="I12" s="23"/>
      <c r="J12" s="23">
        <f>J8*J10</f>
        <v>54.987606490661534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0.26770691927683693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9.7542807244494547</v>
      </c>
      <c r="C26" s="248">
        <f>B26*'GWP N2O_CH4'!B5</f>
        <v>204.83989521343855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0.98998196963893503</v>
      </c>
      <c r="C27" s="248">
        <f>B27*'GWP N2O_CH4'!B5</f>
        <v>20.789621362417634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0.16872598066760708</v>
      </c>
      <c r="C28" s="248">
        <f>B28*'GWP N2O_CH4'!B4</f>
        <v>52.305054006958194</v>
      </c>
      <c r="D28" s="50"/>
    </row>
    <row r="29" spans="1:4">
      <c r="A29" s="41" t="s">
        <v>277</v>
      </c>
      <c r="B29" s="248">
        <f>B34*'ha_N2O bodem landbouw'!B4</f>
        <v>12.280990129329059</v>
      </c>
      <c r="C29" s="248">
        <f>B29*'GWP N2O_CH4'!B4</f>
        <v>3807.1069400920082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2.0295949136715894E-3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1.9193296305644654E-6</v>
      </c>
      <c r="C5" s="446" t="s">
        <v>211</v>
      </c>
      <c r="D5" s="431">
        <f>SUM(D6:D11)</f>
        <v>1.0047919704878943E-5</v>
      </c>
      <c r="E5" s="431">
        <f>SUM(E6:E11)</f>
        <v>1.009175721245532E-3</v>
      </c>
      <c r="F5" s="444" t="s">
        <v>211</v>
      </c>
      <c r="G5" s="431">
        <f>SUM(G6:G11)</f>
        <v>0.17474305911337398</v>
      </c>
      <c r="H5" s="431">
        <f>SUM(H6:H11)</f>
        <v>3.3259477992215007E-2</v>
      </c>
      <c r="I5" s="446" t="s">
        <v>211</v>
      </c>
      <c r="J5" s="446" t="s">
        <v>211</v>
      </c>
      <c r="K5" s="446" t="s">
        <v>211</v>
      </c>
      <c r="L5" s="446" t="s">
        <v>211</v>
      </c>
      <c r="M5" s="431">
        <f>SUM(M6:M11)</f>
        <v>9.084560011351675E-3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1.4010882079988705E-6</v>
      </c>
      <c r="C6" s="432"/>
      <c r="D6" s="432">
        <f>vkm_2011_GW_PW*SUMIFS(TableVerdeelsleutelVkm[CNG],TableVerdeelsleutelVkm[Voertuigtype],"Lichte voertuigen")*SUMIFS(TableECFTransport[EnergieConsumptieFactor (PJ per km)],TableECFTransport[Index],CONCATENATE($A6,"_CNG_CNG"))</f>
        <v>6.0399284023696501E-6</v>
      </c>
      <c r="E6" s="434">
        <f>vkm_2011_GW_PW*SUMIFS(TableVerdeelsleutelVkm[LPG],TableVerdeelsleutelVkm[Voertuigtype],"Lichte voertuigen")*SUMIFS(TableECFTransport[EnergieConsumptieFactor (PJ per km)],TableECFTransport[Index],CONCATENATE($A6,"_LPG_LPG"))</f>
        <v>6.2841749004370953E-4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7.7297076456643618E-2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2.0350718402167348E-2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4.2793945121818444E-3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4.6896694003761945E-2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1.6080226496046756E-5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2.0258493117954052E-3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5.1824142256559491E-7</v>
      </c>
      <c r="C8" s="432"/>
      <c r="D8" s="434">
        <f>vkm_2011_NGW_PW*SUMIFS(TableVerdeelsleutelVkm[CNG],TableVerdeelsleutelVkm[Voertuigtype],"Lichte voertuigen")*SUMIFS(TableECFTransport[EnergieConsumptieFactor (PJ per km)],TableECFTransport[Index],CONCATENATE($A8,"_CNG_CNG"))</f>
        <v>4.0079913025092934E-6</v>
      </c>
      <c r="E8" s="434">
        <f>vkm_2011_NGW_PW*SUMIFS(TableVerdeelsleutelVkm[LPG],TableVerdeelsleutelVkm[Voertuigtype],"Lichte voertuigen")*SUMIFS(TableECFTransport[EnergieConsumptieFactor (PJ per km)],TableECFTransport[Index],CONCATENATE($A8,"_LPG_LPG"))</f>
        <v>3.8075823120182247E-4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4.4421274480242218E-2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1.2890853989119103E-2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2.5146102186849829E-3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6.1280141727261999E-3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1.8253744325112114E-6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2.6470596868944176E-4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0.53314711960124039</v>
      </c>
      <c r="C14" s="21"/>
      <c r="D14" s="21">
        <f t="shared" ref="D14:M14" si="0">((D5)*10^9/3600)+D12</f>
        <v>2.7910888069108175</v>
      </c>
      <c r="E14" s="21">
        <f t="shared" si="0"/>
        <v>280.32658923487003</v>
      </c>
      <c r="F14" s="21"/>
      <c r="G14" s="21">
        <f t="shared" si="0"/>
        <v>48539.738642603887</v>
      </c>
      <c r="H14" s="21">
        <f t="shared" si="0"/>
        <v>9238.7438867263918</v>
      </c>
      <c r="I14" s="21"/>
      <c r="J14" s="21"/>
      <c r="K14" s="21"/>
      <c r="L14" s="21"/>
      <c r="M14" s="21">
        <f t="shared" si="0"/>
        <v>2523.4888920421317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0.21012487820660913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0.11202747357241512</v>
      </c>
      <c r="C18" s="23"/>
      <c r="D18" s="23">
        <f t="shared" ref="D18:M18" si="1">D14*D16</f>
        <v>0.56379993899598513</v>
      </c>
      <c r="E18" s="23">
        <f t="shared" si="1"/>
        <v>63.634135756315501</v>
      </c>
      <c r="F18" s="23"/>
      <c r="G18" s="23">
        <f t="shared" si="1"/>
        <v>12960.110217575238</v>
      </c>
      <c r="H18" s="23">
        <f t="shared" si="1"/>
        <v>2300.4472277948717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1.0928845391442293E-2</v>
      </c>
      <c r="H50" s="322">
        <f t="shared" si="2"/>
        <v>0</v>
      </c>
      <c r="I50" s="322">
        <f t="shared" si="2"/>
        <v>0</v>
      </c>
      <c r="J50" s="322">
        <f t="shared" si="2"/>
        <v>0</v>
      </c>
      <c r="K50" s="322">
        <f t="shared" si="2"/>
        <v>0</v>
      </c>
      <c r="L50" s="322">
        <f t="shared" si="2"/>
        <v>0</v>
      </c>
      <c r="M50" s="322">
        <f t="shared" si="2"/>
        <v>4.658491989244797E-4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1.0928845391442293E-2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4.658491989244797E-4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3035.7903865117482</v>
      </c>
      <c r="H54" s="21">
        <f t="shared" si="3"/>
        <v>0</v>
      </c>
      <c r="I54" s="21">
        <f t="shared" si="3"/>
        <v>0</v>
      </c>
      <c r="J54" s="21">
        <f t="shared" si="3"/>
        <v>0</v>
      </c>
      <c r="K54" s="21">
        <f t="shared" si="3"/>
        <v>0</v>
      </c>
      <c r="L54" s="21">
        <f t="shared" si="3"/>
        <v>0</v>
      </c>
      <c r="M54" s="21">
        <f t="shared" si="3"/>
        <v>129.40255525679993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0.21012487820660913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810.55603319863678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11826.301237230618</v>
      </c>
      <c r="D10" s="687">
        <f ca="1">tertiair!C16</f>
        <v>0</v>
      </c>
      <c r="E10" s="687">
        <f ca="1">tertiair!D16</f>
        <v>7742.8103940000001</v>
      </c>
      <c r="F10" s="687">
        <f>tertiair!E16</f>
        <v>175.04670596978991</v>
      </c>
      <c r="G10" s="687">
        <f ca="1">tertiair!F16</f>
        <v>1878.5437811847378</v>
      </c>
      <c r="H10" s="687">
        <f>tertiair!G16</f>
        <v>0</v>
      </c>
      <c r="I10" s="687">
        <f>tertiair!H16</f>
        <v>0</v>
      </c>
      <c r="J10" s="687">
        <f>tertiair!I16</f>
        <v>0</v>
      </c>
      <c r="K10" s="687">
        <f>tertiair!J16</f>
        <v>0</v>
      </c>
      <c r="L10" s="687">
        <f>tertiair!K16</f>
        <v>0</v>
      </c>
      <c r="M10" s="687">
        <f ca="1">tertiair!L16</f>
        <v>0</v>
      </c>
      <c r="N10" s="687">
        <f>tertiair!M16</f>
        <v>0</v>
      </c>
      <c r="O10" s="687">
        <f ca="1">tertiair!N16</f>
        <v>335.15764011527313</v>
      </c>
      <c r="P10" s="687">
        <f>tertiair!O16</f>
        <v>1.5633333333333335</v>
      </c>
      <c r="Q10" s="688">
        <f>tertiair!P16</f>
        <v>57.2</v>
      </c>
      <c r="R10" s="690">
        <f ca="1">SUM(C10:Q10)</f>
        <v>22016.623091833753</v>
      </c>
      <c r="S10" s="67"/>
    </row>
    <row r="11" spans="1:19" s="456" customFormat="1">
      <c r="A11" s="802" t="s">
        <v>225</v>
      </c>
      <c r="B11" s="807"/>
      <c r="C11" s="687">
        <f>huishoudens!B8</f>
        <v>23324.509004328913</v>
      </c>
      <c r="D11" s="687">
        <f>huishoudens!C8</f>
        <v>0</v>
      </c>
      <c r="E11" s="687">
        <f>huishoudens!D8</f>
        <v>33877.443182000003</v>
      </c>
      <c r="F11" s="687">
        <f>huishoudens!E8</f>
        <v>4171.1018386530122</v>
      </c>
      <c r="G11" s="687">
        <f>huishoudens!F8</f>
        <v>35295.379661678235</v>
      </c>
      <c r="H11" s="687">
        <f>huishoudens!G8</f>
        <v>0</v>
      </c>
      <c r="I11" s="687">
        <f>huishoudens!H8</f>
        <v>0</v>
      </c>
      <c r="J11" s="687">
        <f>huishoudens!I8</f>
        <v>0</v>
      </c>
      <c r="K11" s="687">
        <f>huishoudens!J8</f>
        <v>720.0198137741985</v>
      </c>
      <c r="L11" s="687">
        <f>huishoudens!K8</f>
        <v>0</v>
      </c>
      <c r="M11" s="687">
        <f>huishoudens!L8</f>
        <v>0</v>
      </c>
      <c r="N11" s="687">
        <f>huishoudens!M8</f>
        <v>0</v>
      </c>
      <c r="O11" s="687">
        <f>huishoudens!N8</f>
        <v>4061.4901037635682</v>
      </c>
      <c r="P11" s="687">
        <f>huishoudens!O8</f>
        <v>65.660000000000011</v>
      </c>
      <c r="Q11" s="688">
        <f>huishoudens!P8</f>
        <v>247.86666666666667</v>
      </c>
      <c r="R11" s="690">
        <f>SUM(C11:Q11)</f>
        <v>101763.47027086461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4664.8761479613786</v>
      </c>
      <c r="D13" s="687">
        <f>industrie!C18</f>
        <v>0</v>
      </c>
      <c r="E13" s="687">
        <f>industrie!D18</f>
        <v>1349.0708880000002</v>
      </c>
      <c r="F13" s="687">
        <f>industrie!E18</f>
        <v>92.137539647227783</v>
      </c>
      <c r="G13" s="687">
        <f>industrie!F18</f>
        <v>1312.0808373918967</v>
      </c>
      <c r="H13" s="687">
        <f>industrie!G18</f>
        <v>0</v>
      </c>
      <c r="I13" s="687">
        <f>industrie!H18</f>
        <v>0</v>
      </c>
      <c r="J13" s="687">
        <f>industrie!I18</f>
        <v>0</v>
      </c>
      <c r="K13" s="687">
        <f>industrie!J18</f>
        <v>20.625877659450008</v>
      </c>
      <c r="L13" s="687">
        <f>industrie!K18</f>
        <v>0</v>
      </c>
      <c r="M13" s="687">
        <f>industrie!L18</f>
        <v>0</v>
      </c>
      <c r="N13" s="687">
        <f>industrie!M18</f>
        <v>0</v>
      </c>
      <c r="O13" s="687">
        <f>industrie!N18</f>
        <v>76.759707673837752</v>
      </c>
      <c r="P13" s="687">
        <f>industrie!O18</f>
        <v>0</v>
      </c>
      <c r="Q13" s="688">
        <f>industrie!P18</f>
        <v>0</v>
      </c>
      <c r="R13" s="690">
        <f>SUM(C13:Q13)</f>
        <v>7515.5509983337906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39815.68638952091</v>
      </c>
      <c r="D16" s="720">
        <f t="shared" ref="D16:R16" ca="1" si="0">SUM(D9:D15)</f>
        <v>0</v>
      </c>
      <c r="E16" s="720">
        <f t="shared" ca="1" si="0"/>
        <v>42969.324464000005</v>
      </c>
      <c r="F16" s="720">
        <f t="shared" si="0"/>
        <v>4438.2860842700302</v>
      </c>
      <c r="G16" s="720">
        <f t="shared" ca="1" si="0"/>
        <v>38486.004280254871</v>
      </c>
      <c r="H16" s="720">
        <f t="shared" si="0"/>
        <v>0</v>
      </c>
      <c r="I16" s="720">
        <f t="shared" si="0"/>
        <v>0</v>
      </c>
      <c r="J16" s="720">
        <f t="shared" si="0"/>
        <v>0</v>
      </c>
      <c r="K16" s="720">
        <f t="shared" si="0"/>
        <v>740.64569143364849</v>
      </c>
      <c r="L16" s="720">
        <f t="shared" si="0"/>
        <v>0</v>
      </c>
      <c r="M16" s="720">
        <f t="shared" ca="1" si="0"/>
        <v>0</v>
      </c>
      <c r="N16" s="720">
        <f t="shared" si="0"/>
        <v>0</v>
      </c>
      <c r="O16" s="720">
        <f t="shared" ca="1" si="0"/>
        <v>4473.407451552679</v>
      </c>
      <c r="P16" s="720">
        <f t="shared" si="0"/>
        <v>67.223333333333343</v>
      </c>
      <c r="Q16" s="720">
        <f t="shared" si="0"/>
        <v>305.06666666666666</v>
      </c>
      <c r="R16" s="720">
        <f t="shared" ca="1" si="0"/>
        <v>131295.64436103214</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3035.7903865117482</v>
      </c>
      <c r="I19" s="687">
        <f>transport!H54</f>
        <v>0</v>
      </c>
      <c r="J19" s="687">
        <f>transport!I54</f>
        <v>0</v>
      </c>
      <c r="K19" s="687">
        <f>transport!J54</f>
        <v>0</v>
      </c>
      <c r="L19" s="687">
        <f>transport!K54</f>
        <v>0</v>
      </c>
      <c r="M19" s="687">
        <f>transport!L54</f>
        <v>0</v>
      </c>
      <c r="N19" s="687">
        <f>transport!M54</f>
        <v>129.40255525679993</v>
      </c>
      <c r="O19" s="687">
        <f>transport!N54</f>
        <v>0</v>
      </c>
      <c r="P19" s="687">
        <f>transport!O54</f>
        <v>0</v>
      </c>
      <c r="Q19" s="688">
        <f>transport!P54</f>
        <v>0</v>
      </c>
      <c r="R19" s="690">
        <f>SUM(C19:Q19)</f>
        <v>3165.1929417685483</v>
      </c>
      <c r="S19" s="67"/>
    </row>
    <row r="20" spans="1:19" s="456" customFormat="1">
      <c r="A20" s="802" t="s">
        <v>307</v>
      </c>
      <c r="B20" s="807"/>
      <c r="C20" s="687">
        <f>transport!B14</f>
        <v>0.53314711960124039</v>
      </c>
      <c r="D20" s="687">
        <f>transport!C14</f>
        <v>0</v>
      </c>
      <c r="E20" s="687">
        <f>transport!D14</f>
        <v>2.7910888069108175</v>
      </c>
      <c r="F20" s="687">
        <f>transport!E14</f>
        <v>280.32658923487003</v>
      </c>
      <c r="G20" s="687">
        <f>transport!F14</f>
        <v>0</v>
      </c>
      <c r="H20" s="687">
        <f>transport!G14</f>
        <v>48539.738642603887</v>
      </c>
      <c r="I20" s="687">
        <f>transport!H14</f>
        <v>9238.7438867263918</v>
      </c>
      <c r="J20" s="687">
        <f>transport!I14</f>
        <v>0</v>
      </c>
      <c r="K20" s="687">
        <f>transport!J14</f>
        <v>0</v>
      </c>
      <c r="L20" s="687">
        <f>transport!K14</f>
        <v>0</v>
      </c>
      <c r="M20" s="687">
        <f>transport!L14</f>
        <v>0</v>
      </c>
      <c r="N20" s="687">
        <f>transport!M14</f>
        <v>2523.4888920421317</v>
      </c>
      <c r="O20" s="687">
        <f>transport!N14</f>
        <v>0</v>
      </c>
      <c r="P20" s="687">
        <f>transport!O14</f>
        <v>0</v>
      </c>
      <c r="Q20" s="688">
        <f>transport!P14</f>
        <v>0</v>
      </c>
      <c r="R20" s="690">
        <f>SUM(C20:Q20)</f>
        <v>60585.622246533792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0.53314711960124039</v>
      </c>
      <c r="D22" s="805">
        <f t="shared" ref="D22:R22" si="1">SUM(D18:D21)</f>
        <v>0</v>
      </c>
      <c r="E22" s="805">
        <f t="shared" si="1"/>
        <v>2.7910888069108175</v>
      </c>
      <c r="F22" s="805">
        <f t="shared" si="1"/>
        <v>280.32658923487003</v>
      </c>
      <c r="G22" s="805">
        <f t="shared" si="1"/>
        <v>0</v>
      </c>
      <c r="H22" s="805">
        <f t="shared" si="1"/>
        <v>51575.529029115634</v>
      </c>
      <c r="I22" s="805">
        <f t="shared" si="1"/>
        <v>9238.7438867263918</v>
      </c>
      <c r="J22" s="805">
        <f t="shared" si="1"/>
        <v>0</v>
      </c>
      <c r="K22" s="805">
        <f t="shared" si="1"/>
        <v>0</v>
      </c>
      <c r="L22" s="805">
        <f t="shared" si="1"/>
        <v>0</v>
      </c>
      <c r="M22" s="805">
        <f t="shared" si="1"/>
        <v>0</v>
      </c>
      <c r="N22" s="805">
        <f t="shared" si="1"/>
        <v>2652.8914472989318</v>
      </c>
      <c r="O22" s="805">
        <f t="shared" si="1"/>
        <v>0</v>
      </c>
      <c r="P22" s="805">
        <f t="shared" si="1"/>
        <v>0</v>
      </c>
      <c r="Q22" s="805">
        <f t="shared" si="1"/>
        <v>0</v>
      </c>
      <c r="R22" s="805">
        <f t="shared" si="1"/>
        <v>63750.815188302338</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1739.268</v>
      </c>
      <c r="D24" s="687">
        <f>+landbouw!C8</f>
        <v>0</v>
      </c>
      <c r="E24" s="687">
        <f>+landbouw!D8</f>
        <v>69.142809999999997</v>
      </c>
      <c r="F24" s="687">
        <f>+landbouw!E8</f>
        <v>18.213991032166945</v>
      </c>
      <c r="G24" s="687">
        <f>+landbouw!F8</f>
        <v>7445.3886030073672</v>
      </c>
      <c r="H24" s="687">
        <f>+landbouw!G8</f>
        <v>0</v>
      </c>
      <c r="I24" s="687">
        <f>+landbouw!H8</f>
        <v>0</v>
      </c>
      <c r="J24" s="687">
        <f>+landbouw!I8</f>
        <v>0</v>
      </c>
      <c r="K24" s="687">
        <f>+landbouw!J8</f>
        <v>155.33222172503258</v>
      </c>
      <c r="L24" s="687">
        <f>+landbouw!K8</f>
        <v>0</v>
      </c>
      <c r="M24" s="687">
        <f>+landbouw!L8</f>
        <v>0</v>
      </c>
      <c r="N24" s="687">
        <f>+landbouw!M8</f>
        <v>0</v>
      </c>
      <c r="O24" s="687">
        <f>+landbouw!N8</f>
        <v>0</v>
      </c>
      <c r="P24" s="687">
        <f>+landbouw!O8</f>
        <v>0</v>
      </c>
      <c r="Q24" s="688">
        <f>+landbouw!P8</f>
        <v>0</v>
      </c>
      <c r="R24" s="690">
        <f>SUM(C24:Q24)</f>
        <v>9427.3456257645685</v>
      </c>
      <c r="S24" s="67"/>
    </row>
    <row r="25" spans="1:19" s="456" customFormat="1" ht="15" thickBot="1">
      <c r="A25" s="824" t="s">
        <v>925</v>
      </c>
      <c r="B25" s="988"/>
      <c r="C25" s="989">
        <f>IF(Onbekend_ele_kWh="---",0,Onbekend_ele_kWh)/1000+IF(REST_rest_ele_kWh="---",0,REST_rest_ele_kWh)/1000</f>
        <v>3150.26</v>
      </c>
      <c r="D25" s="989"/>
      <c r="E25" s="989">
        <f>IF(onbekend_gas_kWh="---",0,onbekend_gas_kWh)/1000+IF(REST_rest_gas_kWh="---",0,REST_rest_gas_kWh)/1000</f>
        <v>856.755</v>
      </c>
      <c r="F25" s="989"/>
      <c r="G25" s="989"/>
      <c r="H25" s="989"/>
      <c r="I25" s="989"/>
      <c r="J25" s="989"/>
      <c r="K25" s="989"/>
      <c r="L25" s="989"/>
      <c r="M25" s="989"/>
      <c r="N25" s="989"/>
      <c r="O25" s="989"/>
      <c r="P25" s="989"/>
      <c r="Q25" s="990"/>
      <c r="R25" s="690">
        <f>SUM(C25:Q25)</f>
        <v>4007.0150000000003</v>
      </c>
      <c r="S25" s="67"/>
    </row>
    <row r="26" spans="1:19" s="456" customFormat="1" ht="15.75" thickBot="1">
      <c r="A26" s="693" t="s">
        <v>926</v>
      </c>
      <c r="B26" s="810"/>
      <c r="C26" s="805">
        <f>SUM(C24:C25)</f>
        <v>4889.5280000000002</v>
      </c>
      <c r="D26" s="805">
        <f t="shared" ref="D26:R26" si="2">SUM(D24:D25)</f>
        <v>0</v>
      </c>
      <c r="E26" s="805">
        <f t="shared" si="2"/>
        <v>925.89780999999994</v>
      </c>
      <c r="F26" s="805">
        <f t="shared" si="2"/>
        <v>18.213991032166945</v>
      </c>
      <c r="G26" s="805">
        <f t="shared" si="2"/>
        <v>7445.3886030073672</v>
      </c>
      <c r="H26" s="805">
        <f t="shared" si="2"/>
        <v>0</v>
      </c>
      <c r="I26" s="805">
        <f t="shared" si="2"/>
        <v>0</v>
      </c>
      <c r="J26" s="805">
        <f t="shared" si="2"/>
        <v>0</v>
      </c>
      <c r="K26" s="805">
        <f t="shared" si="2"/>
        <v>155.33222172503258</v>
      </c>
      <c r="L26" s="805">
        <f t="shared" si="2"/>
        <v>0</v>
      </c>
      <c r="M26" s="805">
        <f t="shared" si="2"/>
        <v>0</v>
      </c>
      <c r="N26" s="805">
        <f t="shared" si="2"/>
        <v>0</v>
      </c>
      <c r="O26" s="805">
        <f t="shared" si="2"/>
        <v>0</v>
      </c>
      <c r="P26" s="805">
        <f t="shared" si="2"/>
        <v>0</v>
      </c>
      <c r="Q26" s="805">
        <f t="shared" si="2"/>
        <v>0</v>
      </c>
      <c r="R26" s="805">
        <f t="shared" si="2"/>
        <v>13434.36062576457</v>
      </c>
      <c r="S26" s="67"/>
    </row>
    <row r="27" spans="1:19" s="456" customFormat="1" ht="17.25" thickTop="1" thickBot="1">
      <c r="A27" s="694" t="s">
        <v>116</v>
      </c>
      <c r="B27" s="797"/>
      <c r="C27" s="695">
        <f ca="1">C22+C16+C26</f>
        <v>44705.747536640512</v>
      </c>
      <c r="D27" s="695">
        <f t="shared" ref="D27:R27" ca="1" si="3">D22+D16+D26</f>
        <v>0</v>
      </c>
      <c r="E27" s="695">
        <f t="shared" ca="1" si="3"/>
        <v>43898.013362806916</v>
      </c>
      <c r="F27" s="695">
        <f t="shared" si="3"/>
        <v>4736.8266645370668</v>
      </c>
      <c r="G27" s="695">
        <f t="shared" ca="1" si="3"/>
        <v>45931.392883262241</v>
      </c>
      <c r="H27" s="695">
        <f t="shared" si="3"/>
        <v>51575.529029115634</v>
      </c>
      <c r="I27" s="695">
        <f t="shared" si="3"/>
        <v>9238.7438867263918</v>
      </c>
      <c r="J27" s="695">
        <f t="shared" si="3"/>
        <v>0</v>
      </c>
      <c r="K27" s="695">
        <f t="shared" si="3"/>
        <v>895.97791315868108</v>
      </c>
      <c r="L27" s="695">
        <f t="shared" si="3"/>
        <v>0</v>
      </c>
      <c r="M27" s="695">
        <f t="shared" ca="1" si="3"/>
        <v>0</v>
      </c>
      <c r="N27" s="695">
        <f t="shared" si="3"/>
        <v>2652.8914472989318</v>
      </c>
      <c r="O27" s="695">
        <f t="shared" ca="1" si="3"/>
        <v>4473.407451552679</v>
      </c>
      <c r="P27" s="695">
        <f t="shared" si="3"/>
        <v>67.223333333333343</v>
      </c>
      <c r="Q27" s="695">
        <f t="shared" si="3"/>
        <v>305.06666666666666</v>
      </c>
      <c r="R27" s="695">
        <f t="shared" ca="1" si="3"/>
        <v>208480.82017509904</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2485.0001071077545</v>
      </c>
      <c r="D40" s="687">
        <f ca="1">tertiair!C20</f>
        <v>0</v>
      </c>
      <c r="E40" s="687">
        <f ca="1">tertiair!D20</f>
        <v>1564.0476995880001</v>
      </c>
      <c r="F40" s="687">
        <f>tertiair!E20</f>
        <v>39.735602255142311</v>
      </c>
      <c r="G40" s="687">
        <f ca="1">tertiair!F20</f>
        <v>501.57118957632503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4590.3545985272222</v>
      </c>
    </row>
    <row r="41" spans="1:18">
      <c r="A41" s="815" t="s">
        <v>225</v>
      </c>
      <c r="B41" s="822"/>
      <c r="C41" s="687">
        <f ca="1">huishoudens!B12</f>
        <v>4901.0596137635712</v>
      </c>
      <c r="D41" s="687">
        <f ca="1">huishoudens!C12</f>
        <v>0</v>
      </c>
      <c r="E41" s="687">
        <f>huishoudens!D12</f>
        <v>6843.2435227640008</v>
      </c>
      <c r="F41" s="687">
        <f>huishoudens!E12</f>
        <v>946.84011737423384</v>
      </c>
      <c r="G41" s="687">
        <f>huishoudens!F12</f>
        <v>9423.8663696680887</v>
      </c>
      <c r="H41" s="687">
        <f>huishoudens!G12</f>
        <v>0</v>
      </c>
      <c r="I41" s="687">
        <f>huishoudens!H12</f>
        <v>0</v>
      </c>
      <c r="J41" s="687">
        <f>huishoudens!I12</f>
        <v>0</v>
      </c>
      <c r="K41" s="687">
        <f>huishoudens!J12</f>
        <v>254.88701407606627</v>
      </c>
      <c r="L41" s="687">
        <f>huishoudens!K12</f>
        <v>0</v>
      </c>
      <c r="M41" s="687">
        <f>huishoudens!L12</f>
        <v>0</v>
      </c>
      <c r="N41" s="687">
        <f>huishoudens!M12</f>
        <v>0</v>
      </c>
      <c r="O41" s="687">
        <f>huishoudens!N12</f>
        <v>0</v>
      </c>
      <c r="P41" s="687">
        <f>huishoudens!O12</f>
        <v>0</v>
      </c>
      <c r="Q41" s="762">
        <f>huishoudens!P12</f>
        <v>0</v>
      </c>
      <c r="R41" s="843">
        <f t="shared" ca="1" si="4"/>
        <v>22369.896637645961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980.20653243930064</v>
      </c>
      <c r="D43" s="687">
        <f ca="1">industrie!C22</f>
        <v>0</v>
      </c>
      <c r="E43" s="687">
        <f>industrie!D22</f>
        <v>272.51231937600005</v>
      </c>
      <c r="F43" s="687">
        <f>industrie!E22</f>
        <v>20.915221499920708</v>
      </c>
      <c r="G43" s="687">
        <f>industrie!F22</f>
        <v>350.32558358363644</v>
      </c>
      <c r="H43" s="687">
        <f>industrie!G22</f>
        <v>0</v>
      </c>
      <c r="I43" s="687">
        <f>industrie!H22</f>
        <v>0</v>
      </c>
      <c r="J43" s="687">
        <f>industrie!I22</f>
        <v>0</v>
      </c>
      <c r="K43" s="687">
        <f>industrie!J22</f>
        <v>7.3015606914453022</v>
      </c>
      <c r="L43" s="687">
        <f>industrie!K22</f>
        <v>0</v>
      </c>
      <c r="M43" s="687">
        <f>industrie!L22</f>
        <v>0</v>
      </c>
      <c r="N43" s="687">
        <f>industrie!M22</f>
        <v>0</v>
      </c>
      <c r="O43" s="687">
        <f>industrie!N22</f>
        <v>0</v>
      </c>
      <c r="P43" s="687">
        <f>industrie!O22</f>
        <v>0</v>
      </c>
      <c r="Q43" s="762">
        <f>industrie!P22</f>
        <v>0</v>
      </c>
      <c r="R43" s="842">
        <f t="shared" ca="1" si="4"/>
        <v>1631.2612175903032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8366.2662533106268</v>
      </c>
      <c r="D46" s="720">
        <f t="shared" ref="D46:Q46" ca="1" si="5">SUM(D39:D45)</f>
        <v>0</v>
      </c>
      <c r="E46" s="720">
        <f t="shared" ca="1" si="5"/>
        <v>8679.8035417280007</v>
      </c>
      <c r="F46" s="720">
        <f t="shared" si="5"/>
        <v>1007.4909411292969</v>
      </c>
      <c r="G46" s="720">
        <f t="shared" ca="1" si="5"/>
        <v>10275.763142828051</v>
      </c>
      <c r="H46" s="720">
        <f t="shared" si="5"/>
        <v>0</v>
      </c>
      <c r="I46" s="720">
        <f t="shared" si="5"/>
        <v>0</v>
      </c>
      <c r="J46" s="720">
        <f t="shared" si="5"/>
        <v>0</v>
      </c>
      <c r="K46" s="720">
        <f t="shared" si="5"/>
        <v>262.18857476751157</v>
      </c>
      <c r="L46" s="720">
        <f t="shared" si="5"/>
        <v>0</v>
      </c>
      <c r="M46" s="720">
        <f t="shared" ca="1" si="5"/>
        <v>0</v>
      </c>
      <c r="N46" s="720">
        <f t="shared" si="5"/>
        <v>0</v>
      </c>
      <c r="O46" s="720">
        <f t="shared" ca="1" si="5"/>
        <v>0</v>
      </c>
      <c r="P46" s="720">
        <f t="shared" si="5"/>
        <v>0</v>
      </c>
      <c r="Q46" s="720">
        <f t="shared" si="5"/>
        <v>0</v>
      </c>
      <c r="R46" s="720">
        <f ca="1">SUM(R39:R45)</f>
        <v>28591.512453763484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810.55603319863678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810.55603319863678</v>
      </c>
    </row>
    <row r="50" spans="1:18">
      <c r="A50" s="818" t="s">
        <v>307</v>
      </c>
      <c r="B50" s="828"/>
      <c r="C50" s="995">
        <f ca="1">transport!B18</f>
        <v>0.11202747357241512</v>
      </c>
      <c r="D50" s="995">
        <f>transport!C18</f>
        <v>0</v>
      </c>
      <c r="E50" s="995">
        <f>transport!D18</f>
        <v>0.56379993899598513</v>
      </c>
      <c r="F50" s="995">
        <f>transport!E18</f>
        <v>63.634135756315501</v>
      </c>
      <c r="G50" s="995">
        <f>transport!F18</f>
        <v>0</v>
      </c>
      <c r="H50" s="995">
        <f>transport!G18</f>
        <v>12960.110217575238</v>
      </c>
      <c r="I50" s="995">
        <f>transport!H18</f>
        <v>2300.4472277948717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15324.867408538994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0.11202747357241512</v>
      </c>
      <c r="D52" s="720">
        <f t="shared" ref="D52:Q52" ca="1" si="6">SUM(D48:D51)</f>
        <v>0</v>
      </c>
      <c r="E52" s="720">
        <f t="shared" si="6"/>
        <v>0.56379993899598513</v>
      </c>
      <c r="F52" s="720">
        <f t="shared" si="6"/>
        <v>63.634135756315501</v>
      </c>
      <c r="G52" s="720">
        <f t="shared" si="6"/>
        <v>0</v>
      </c>
      <c r="H52" s="720">
        <f t="shared" si="6"/>
        <v>13770.666250773875</v>
      </c>
      <c r="I52" s="720">
        <f t="shared" si="6"/>
        <v>2300.4472277948717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16135.42344173763</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365.46347666865267</v>
      </c>
      <c r="D54" s="995">
        <f ca="1">+landbouw!C12</f>
        <v>0</v>
      </c>
      <c r="E54" s="995">
        <f>+landbouw!D12</f>
        <v>13.966847620000001</v>
      </c>
      <c r="F54" s="995">
        <f>+landbouw!E12</f>
        <v>4.1345759643018969</v>
      </c>
      <c r="G54" s="995">
        <f>+landbouw!F12</f>
        <v>1987.9187570029671</v>
      </c>
      <c r="H54" s="995">
        <f>+landbouw!G12</f>
        <v>0</v>
      </c>
      <c r="I54" s="995">
        <f>+landbouw!H12</f>
        <v>0</v>
      </c>
      <c r="J54" s="995">
        <f>+landbouw!I12</f>
        <v>0</v>
      </c>
      <c r="K54" s="995">
        <f>+landbouw!J12</f>
        <v>54.987606490661534</v>
      </c>
      <c r="L54" s="995">
        <f>+landbouw!K12</f>
        <v>0</v>
      </c>
      <c r="M54" s="995">
        <f>+landbouw!L12</f>
        <v>0</v>
      </c>
      <c r="N54" s="995">
        <f>+landbouw!M12</f>
        <v>0</v>
      </c>
      <c r="O54" s="995">
        <f>+landbouw!N12</f>
        <v>0</v>
      </c>
      <c r="P54" s="995">
        <f>+landbouw!O12</f>
        <v>0</v>
      </c>
      <c r="Q54" s="996">
        <f>+landbouw!P12</f>
        <v>0</v>
      </c>
      <c r="R54" s="719">
        <f ca="1">SUM(C54:Q54)</f>
        <v>2426.4712637465832</v>
      </c>
    </row>
    <row r="55" spans="1:18" ht="15" thickBot="1">
      <c r="A55" s="818" t="s">
        <v>925</v>
      </c>
      <c r="B55" s="828"/>
      <c r="C55" s="995">
        <f ca="1">C25*'EF ele_warmte'!B12</f>
        <v>661.94799881915253</v>
      </c>
      <c r="D55" s="995"/>
      <c r="E55" s="995">
        <f>E25*EF_CO2_aardgas</f>
        <v>173.06451000000001</v>
      </c>
      <c r="F55" s="995"/>
      <c r="G55" s="995"/>
      <c r="H55" s="995"/>
      <c r="I55" s="995"/>
      <c r="J55" s="995"/>
      <c r="K55" s="995"/>
      <c r="L55" s="995"/>
      <c r="M55" s="995"/>
      <c r="N55" s="995"/>
      <c r="O55" s="995"/>
      <c r="P55" s="995"/>
      <c r="Q55" s="996"/>
      <c r="R55" s="719">
        <f ca="1">SUM(C55:Q55)</f>
        <v>835.01250881915257</v>
      </c>
    </row>
    <row r="56" spans="1:18" ht="15.75" thickBot="1">
      <c r="A56" s="816" t="s">
        <v>926</v>
      </c>
      <c r="B56" s="829"/>
      <c r="C56" s="720">
        <f ca="1">SUM(C54:C55)</f>
        <v>1027.4114754878051</v>
      </c>
      <c r="D56" s="720">
        <f t="shared" ref="D56:Q56" ca="1" si="7">SUM(D54:D55)</f>
        <v>0</v>
      </c>
      <c r="E56" s="720">
        <f t="shared" si="7"/>
        <v>187.03135762000002</v>
      </c>
      <c r="F56" s="720">
        <f t="shared" si="7"/>
        <v>4.1345759643018969</v>
      </c>
      <c r="G56" s="720">
        <f t="shared" si="7"/>
        <v>1987.9187570029671</v>
      </c>
      <c r="H56" s="720">
        <f t="shared" si="7"/>
        <v>0</v>
      </c>
      <c r="I56" s="720">
        <f t="shared" si="7"/>
        <v>0</v>
      </c>
      <c r="J56" s="720">
        <f t="shared" si="7"/>
        <v>0</v>
      </c>
      <c r="K56" s="720">
        <f t="shared" si="7"/>
        <v>54.987606490661534</v>
      </c>
      <c r="L56" s="720">
        <f t="shared" si="7"/>
        <v>0</v>
      </c>
      <c r="M56" s="720">
        <f t="shared" si="7"/>
        <v>0</v>
      </c>
      <c r="N56" s="720">
        <f t="shared" si="7"/>
        <v>0</v>
      </c>
      <c r="O56" s="720">
        <f t="shared" si="7"/>
        <v>0</v>
      </c>
      <c r="P56" s="720">
        <f t="shared" si="7"/>
        <v>0</v>
      </c>
      <c r="Q56" s="721">
        <f t="shared" si="7"/>
        <v>0</v>
      </c>
      <c r="R56" s="722">
        <f ca="1">SUM(R54:R55)</f>
        <v>3261.4837725657358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9393.7897562720045</v>
      </c>
      <c r="D61" s="728">
        <f t="shared" ref="D61:Q61" ca="1" si="8">D46+D52+D56</f>
        <v>0</v>
      </c>
      <c r="E61" s="728">
        <f t="shared" ca="1" si="8"/>
        <v>8867.3986992869977</v>
      </c>
      <c r="F61" s="728">
        <f t="shared" si="8"/>
        <v>1075.2596528499141</v>
      </c>
      <c r="G61" s="728">
        <f t="shared" ca="1" si="8"/>
        <v>12263.681899831019</v>
      </c>
      <c r="H61" s="728">
        <f t="shared" si="8"/>
        <v>13770.666250773875</v>
      </c>
      <c r="I61" s="728">
        <f t="shared" si="8"/>
        <v>2300.4472277948717</v>
      </c>
      <c r="J61" s="728">
        <f t="shared" si="8"/>
        <v>0</v>
      </c>
      <c r="K61" s="728">
        <f t="shared" si="8"/>
        <v>317.17618125817307</v>
      </c>
      <c r="L61" s="728">
        <f t="shared" si="8"/>
        <v>0</v>
      </c>
      <c r="M61" s="728">
        <f t="shared" ca="1" si="8"/>
        <v>0</v>
      </c>
      <c r="N61" s="728">
        <f t="shared" si="8"/>
        <v>0</v>
      </c>
      <c r="O61" s="728">
        <f t="shared" ca="1" si="8"/>
        <v>0</v>
      </c>
      <c r="P61" s="728">
        <f t="shared" si="8"/>
        <v>0</v>
      </c>
      <c r="Q61" s="728">
        <f t="shared" si="8"/>
        <v>0</v>
      </c>
      <c r="R61" s="728">
        <f ca="1">R46+R52+R56</f>
        <v>47988.419668066846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0.21012487820660913</v>
      </c>
      <c r="D63" s="772">
        <f t="shared" ca="1" si="9"/>
        <v>0</v>
      </c>
      <c r="E63" s="997">
        <f t="shared" ca="1" si="9"/>
        <v>0.20200000000000001</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136</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2063.911535409723</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2199.911535409723</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136</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2063.911535409723</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2199.911535409723</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23324.509004328913</v>
      </c>
      <c r="C4" s="460">
        <f>huishoudens!C8</f>
        <v>0</v>
      </c>
      <c r="D4" s="460">
        <f>huishoudens!D8</f>
        <v>33877.443182000003</v>
      </c>
      <c r="E4" s="460">
        <f>huishoudens!E8</f>
        <v>4171.1018386530122</v>
      </c>
      <c r="F4" s="460">
        <f>huishoudens!F8</f>
        <v>35295.379661678235</v>
      </c>
      <c r="G4" s="460">
        <f>huishoudens!G8</f>
        <v>0</v>
      </c>
      <c r="H4" s="460">
        <f>huishoudens!H8</f>
        <v>0</v>
      </c>
      <c r="I4" s="460">
        <f>huishoudens!I8</f>
        <v>0</v>
      </c>
      <c r="J4" s="460">
        <f>huishoudens!J8</f>
        <v>720.0198137741985</v>
      </c>
      <c r="K4" s="460">
        <f>huishoudens!K8</f>
        <v>0</v>
      </c>
      <c r="L4" s="460">
        <f>huishoudens!L8</f>
        <v>0</v>
      </c>
      <c r="M4" s="460">
        <f>huishoudens!M8</f>
        <v>0</v>
      </c>
      <c r="N4" s="460">
        <f>huishoudens!N8</f>
        <v>4061.4901037635682</v>
      </c>
      <c r="O4" s="460">
        <f>huishoudens!O8</f>
        <v>65.660000000000011</v>
      </c>
      <c r="P4" s="461">
        <f>huishoudens!P8</f>
        <v>247.86666666666667</v>
      </c>
      <c r="Q4" s="462">
        <f>SUM(B4:P4)</f>
        <v>101763.47027086461</v>
      </c>
    </row>
    <row r="5" spans="1:17">
      <c r="A5" s="459" t="s">
        <v>156</v>
      </c>
      <c r="B5" s="460">
        <f ca="1">tertiair!B16</f>
        <v>10563.636237230618</v>
      </c>
      <c r="C5" s="460">
        <f ca="1">tertiair!C16</f>
        <v>0</v>
      </c>
      <c r="D5" s="460">
        <f ca="1">tertiair!D16</f>
        <v>7742.8103940000001</v>
      </c>
      <c r="E5" s="460">
        <f>tertiair!E16</f>
        <v>175.04670596978991</v>
      </c>
      <c r="F5" s="460">
        <f ca="1">tertiair!F16</f>
        <v>1878.5437811847378</v>
      </c>
      <c r="G5" s="460">
        <f>tertiair!G16</f>
        <v>0</v>
      </c>
      <c r="H5" s="460">
        <f>tertiair!H16</f>
        <v>0</v>
      </c>
      <c r="I5" s="460">
        <f>tertiair!I16</f>
        <v>0</v>
      </c>
      <c r="J5" s="460">
        <f>tertiair!J16</f>
        <v>0</v>
      </c>
      <c r="K5" s="460">
        <f>tertiair!K16</f>
        <v>0</v>
      </c>
      <c r="L5" s="460">
        <f ca="1">tertiair!L16</f>
        <v>0</v>
      </c>
      <c r="M5" s="460">
        <f>tertiair!M16</f>
        <v>0</v>
      </c>
      <c r="N5" s="460">
        <f ca="1">tertiair!N16</f>
        <v>335.15764011527313</v>
      </c>
      <c r="O5" s="460">
        <f>tertiair!O16</f>
        <v>1.5633333333333335</v>
      </c>
      <c r="P5" s="461">
        <f>tertiair!P16</f>
        <v>57.2</v>
      </c>
      <c r="Q5" s="459">
        <f t="shared" ref="Q5:Q14" ca="1" si="0">SUM(B5:P5)</f>
        <v>20753.958091833752</v>
      </c>
    </row>
    <row r="6" spans="1:17">
      <c r="A6" s="459" t="s">
        <v>194</v>
      </c>
      <c r="B6" s="460">
        <f>'openbare verlichting'!B8</f>
        <v>1262.665</v>
      </c>
      <c r="C6" s="460"/>
      <c r="D6" s="460"/>
      <c r="E6" s="460"/>
      <c r="F6" s="460"/>
      <c r="G6" s="460"/>
      <c r="H6" s="460"/>
      <c r="I6" s="460"/>
      <c r="J6" s="460"/>
      <c r="K6" s="460"/>
      <c r="L6" s="460"/>
      <c r="M6" s="460"/>
      <c r="N6" s="460"/>
      <c r="O6" s="460"/>
      <c r="P6" s="461"/>
      <c r="Q6" s="459">
        <f t="shared" si="0"/>
        <v>1262.665</v>
      </c>
    </row>
    <row r="7" spans="1:17">
      <c r="A7" s="459" t="s">
        <v>112</v>
      </c>
      <c r="B7" s="460">
        <f>landbouw!B8</f>
        <v>1739.268</v>
      </c>
      <c r="C7" s="460">
        <f>landbouw!C8</f>
        <v>0</v>
      </c>
      <c r="D7" s="460">
        <f>landbouw!D8</f>
        <v>69.142809999999997</v>
      </c>
      <c r="E7" s="460">
        <f>landbouw!E8</f>
        <v>18.213991032166945</v>
      </c>
      <c r="F7" s="460">
        <f>landbouw!F8</f>
        <v>7445.3886030073672</v>
      </c>
      <c r="G7" s="460">
        <f>landbouw!G8</f>
        <v>0</v>
      </c>
      <c r="H7" s="460">
        <f>landbouw!H8</f>
        <v>0</v>
      </c>
      <c r="I7" s="460">
        <f>landbouw!I8</f>
        <v>0</v>
      </c>
      <c r="J7" s="460">
        <f>landbouw!J8</f>
        <v>155.33222172503258</v>
      </c>
      <c r="K7" s="460">
        <f>landbouw!K8</f>
        <v>0</v>
      </c>
      <c r="L7" s="460">
        <f>landbouw!L8</f>
        <v>0</v>
      </c>
      <c r="M7" s="460">
        <f>landbouw!M8</f>
        <v>0</v>
      </c>
      <c r="N7" s="460">
        <f>landbouw!N8</f>
        <v>0</v>
      </c>
      <c r="O7" s="460">
        <f>landbouw!O8</f>
        <v>0</v>
      </c>
      <c r="P7" s="461">
        <f>landbouw!P8</f>
        <v>0</v>
      </c>
      <c r="Q7" s="459">
        <f t="shared" si="0"/>
        <v>9427.3456257645685</v>
      </c>
    </row>
    <row r="8" spans="1:17">
      <c r="A8" s="459" t="s">
        <v>655</v>
      </c>
      <c r="B8" s="460">
        <f>industrie!B18</f>
        <v>4664.8761479613786</v>
      </c>
      <c r="C8" s="460">
        <f>industrie!C18</f>
        <v>0</v>
      </c>
      <c r="D8" s="460">
        <f>industrie!D18</f>
        <v>1349.0708880000002</v>
      </c>
      <c r="E8" s="460">
        <f>industrie!E18</f>
        <v>92.137539647227783</v>
      </c>
      <c r="F8" s="460">
        <f>industrie!F18</f>
        <v>1312.0808373918967</v>
      </c>
      <c r="G8" s="460">
        <f>industrie!G18</f>
        <v>0</v>
      </c>
      <c r="H8" s="460">
        <f>industrie!H18</f>
        <v>0</v>
      </c>
      <c r="I8" s="460">
        <f>industrie!I18</f>
        <v>0</v>
      </c>
      <c r="J8" s="460">
        <f>industrie!J18</f>
        <v>20.625877659450008</v>
      </c>
      <c r="K8" s="460">
        <f>industrie!K18</f>
        <v>0</v>
      </c>
      <c r="L8" s="460">
        <f>industrie!L18</f>
        <v>0</v>
      </c>
      <c r="M8" s="460">
        <f>industrie!M18</f>
        <v>0</v>
      </c>
      <c r="N8" s="460">
        <f>industrie!N18</f>
        <v>76.759707673837752</v>
      </c>
      <c r="O8" s="460">
        <f>industrie!O18</f>
        <v>0</v>
      </c>
      <c r="P8" s="461">
        <f>industrie!P18</f>
        <v>0</v>
      </c>
      <c r="Q8" s="459">
        <f t="shared" si="0"/>
        <v>7515.5509983337906</v>
      </c>
    </row>
    <row r="9" spans="1:17" s="465" customFormat="1">
      <c r="A9" s="463" t="s">
        <v>573</v>
      </c>
      <c r="B9" s="464">
        <f>transport!B14</f>
        <v>0.53314711960124039</v>
      </c>
      <c r="C9" s="464">
        <f>transport!C14</f>
        <v>0</v>
      </c>
      <c r="D9" s="464">
        <f>transport!D14</f>
        <v>2.7910888069108175</v>
      </c>
      <c r="E9" s="464">
        <f>transport!E14</f>
        <v>280.32658923487003</v>
      </c>
      <c r="F9" s="464">
        <f>transport!F14</f>
        <v>0</v>
      </c>
      <c r="G9" s="464">
        <f>transport!G14</f>
        <v>48539.738642603887</v>
      </c>
      <c r="H9" s="464">
        <f>transport!H14</f>
        <v>9238.7438867263918</v>
      </c>
      <c r="I9" s="464">
        <f>transport!I14</f>
        <v>0</v>
      </c>
      <c r="J9" s="464">
        <f>transport!J14</f>
        <v>0</v>
      </c>
      <c r="K9" s="464">
        <f>transport!K14</f>
        <v>0</v>
      </c>
      <c r="L9" s="464">
        <f>transport!L14</f>
        <v>0</v>
      </c>
      <c r="M9" s="464">
        <f>transport!M14</f>
        <v>2523.4888920421317</v>
      </c>
      <c r="N9" s="464">
        <f>transport!N14</f>
        <v>0</v>
      </c>
      <c r="O9" s="464">
        <f>transport!O14</f>
        <v>0</v>
      </c>
      <c r="P9" s="464">
        <f>transport!P14</f>
        <v>0</v>
      </c>
      <c r="Q9" s="463">
        <f>SUM(B9:P9)</f>
        <v>60585.622246533792</v>
      </c>
    </row>
    <row r="10" spans="1:17">
      <c r="A10" s="459" t="s">
        <v>563</v>
      </c>
      <c r="B10" s="460">
        <f>transport!B54</f>
        <v>0</v>
      </c>
      <c r="C10" s="460">
        <f>transport!C54</f>
        <v>0</v>
      </c>
      <c r="D10" s="460">
        <f>transport!D54</f>
        <v>0</v>
      </c>
      <c r="E10" s="460">
        <f>transport!E54</f>
        <v>0</v>
      </c>
      <c r="F10" s="460">
        <f>transport!F54</f>
        <v>0</v>
      </c>
      <c r="G10" s="460">
        <f>transport!G54</f>
        <v>3035.7903865117482</v>
      </c>
      <c r="H10" s="460">
        <f>transport!H54</f>
        <v>0</v>
      </c>
      <c r="I10" s="460">
        <f>transport!I54</f>
        <v>0</v>
      </c>
      <c r="J10" s="460">
        <f>transport!J54</f>
        <v>0</v>
      </c>
      <c r="K10" s="460">
        <f>transport!K54</f>
        <v>0</v>
      </c>
      <c r="L10" s="460">
        <f>transport!L54</f>
        <v>0</v>
      </c>
      <c r="M10" s="460">
        <f>transport!M54</f>
        <v>129.40255525679993</v>
      </c>
      <c r="N10" s="460">
        <f>transport!N54</f>
        <v>0</v>
      </c>
      <c r="O10" s="460">
        <f>transport!O54</f>
        <v>0</v>
      </c>
      <c r="P10" s="461">
        <f>transport!P54</f>
        <v>0</v>
      </c>
      <c r="Q10" s="459">
        <f t="shared" si="0"/>
        <v>3165.1929417685483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3150.26</v>
      </c>
      <c r="C14" s="467"/>
      <c r="D14" s="467">
        <f>'SEAP template'!E25</f>
        <v>856.755</v>
      </c>
      <c r="E14" s="467"/>
      <c r="F14" s="467"/>
      <c r="G14" s="467"/>
      <c r="H14" s="467"/>
      <c r="I14" s="467"/>
      <c r="J14" s="467"/>
      <c r="K14" s="467"/>
      <c r="L14" s="467"/>
      <c r="M14" s="467"/>
      <c r="N14" s="467"/>
      <c r="O14" s="467"/>
      <c r="P14" s="468"/>
      <c r="Q14" s="459">
        <f t="shared" si="0"/>
        <v>4007.0150000000003</v>
      </c>
    </row>
    <row r="15" spans="1:17" s="472" customFormat="1">
      <c r="A15" s="469" t="s">
        <v>567</v>
      </c>
      <c r="B15" s="470">
        <f ca="1">SUM(B4:B14)</f>
        <v>44705.747536640512</v>
      </c>
      <c r="C15" s="470">
        <f t="shared" ref="C15:Q15" ca="1" si="1">SUM(C4:C14)</f>
        <v>0</v>
      </c>
      <c r="D15" s="470">
        <f t="shared" ca="1" si="1"/>
        <v>43898.013362806909</v>
      </c>
      <c r="E15" s="470">
        <f t="shared" si="1"/>
        <v>4736.8266645370668</v>
      </c>
      <c r="F15" s="470">
        <f t="shared" ca="1" si="1"/>
        <v>45931.392883262241</v>
      </c>
      <c r="G15" s="470">
        <f t="shared" si="1"/>
        <v>51575.529029115634</v>
      </c>
      <c r="H15" s="470">
        <f t="shared" si="1"/>
        <v>9238.7438867263918</v>
      </c>
      <c r="I15" s="470">
        <f t="shared" si="1"/>
        <v>0</v>
      </c>
      <c r="J15" s="470">
        <f t="shared" si="1"/>
        <v>895.97791315868108</v>
      </c>
      <c r="K15" s="470">
        <f t="shared" si="1"/>
        <v>0</v>
      </c>
      <c r="L15" s="470">
        <f t="shared" ca="1" si="1"/>
        <v>0</v>
      </c>
      <c r="M15" s="470">
        <f t="shared" si="1"/>
        <v>2652.8914472989318</v>
      </c>
      <c r="N15" s="470">
        <f t="shared" ca="1" si="1"/>
        <v>4473.407451552679</v>
      </c>
      <c r="O15" s="470">
        <f t="shared" si="1"/>
        <v>67.223333333333343</v>
      </c>
      <c r="P15" s="470">
        <f t="shared" si="1"/>
        <v>305.06666666666666</v>
      </c>
      <c r="Q15" s="470">
        <f t="shared" ca="1" si="1"/>
        <v>208480.82017509907</v>
      </c>
    </row>
    <row r="17" spans="1:17">
      <c r="A17" s="473" t="s">
        <v>568</v>
      </c>
      <c r="B17" s="777">
        <f ca="1">huishoudens!B10</f>
        <v>0.21012487820660913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4901.0596137635712</v>
      </c>
      <c r="C22" s="460">
        <f t="shared" ref="C22:C32" ca="1" si="3">C4*$C$17</f>
        <v>0</v>
      </c>
      <c r="D22" s="460">
        <f t="shared" ref="D22:D32" si="4">D4*$D$17</f>
        <v>6843.2435227640008</v>
      </c>
      <c r="E22" s="460">
        <f t="shared" ref="E22:E32" si="5">E4*$E$17</f>
        <v>946.84011737423384</v>
      </c>
      <c r="F22" s="460">
        <f t="shared" ref="F22:F32" si="6">F4*$F$17</f>
        <v>9423.8663696680887</v>
      </c>
      <c r="G22" s="460">
        <f t="shared" ref="G22:G32" si="7">G4*$G$17</f>
        <v>0</v>
      </c>
      <c r="H22" s="460">
        <f t="shared" ref="H22:H32" si="8">H4*$H$17</f>
        <v>0</v>
      </c>
      <c r="I22" s="460">
        <f t="shared" ref="I22:I32" si="9">I4*$I$17</f>
        <v>0</v>
      </c>
      <c r="J22" s="460">
        <f t="shared" ref="J22:J32" si="10">J4*$J$17</f>
        <v>254.88701407606627</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22369.896637645961</v>
      </c>
    </row>
    <row r="23" spans="1:17">
      <c r="A23" s="459" t="s">
        <v>156</v>
      </c>
      <c r="B23" s="460">
        <f t="shared" ca="1" si="2"/>
        <v>2219.6827777670064</v>
      </c>
      <c r="C23" s="460">
        <f t="shared" ca="1" si="3"/>
        <v>0</v>
      </c>
      <c r="D23" s="460">
        <f t="shared" ca="1" si="4"/>
        <v>1564.0476995880001</v>
      </c>
      <c r="E23" s="460">
        <f t="shared" si="5"/>
        <v>39.735602255142311</v>
      </c>
      <c r="F23" s="460">
        <f t="shared" ca="1" si="6"/>
        <v>501.57118957632503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4325.0372691864741</v>
      </c>
    </row>
    <row r="24" spans="1:17">
      <c r="A24" s="459" t="s">
        <v>194</v>
      </c>
      <c r="B24" s="460">
        <f t="shared" ca="1" si="2"/>
        <v>265.31732934074813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265.31732934074813</v>
      </c>
    </row>
    <row r="25" spans="1:17">
      <c r="A25" s="459" t="s">
        <v>112</v>
      </c>
      <c r="B25" s="460">
        <f t="shared" ca="1" si="2"/>
        <v>365.46347666865267</v>
      </c>
      <c r="C25" s="460">
        <f t="shared" ca="1" si="3"/>
        <v>0</v>
      </c>
      <c r="D25" s="460">
        <f t="shared" si="4"/>
        <v>13.966847620000001</v>
      </c>
      <c r="E25" s="460">
        <f t="shared" si="5"/>
        <v>4.1345759643018969</v>
      </c>
      <c r="F25" s="460">
        <f t="shared" si="6"/>
        <v>1987.9187570029671</v>
      </c>
      <c r="G25" s="460">
        <f t="shared" si="7"/>
        <v>0</v>
      </c>
      <c r="H25" s="460">
        <f t="shared" si="8"/>
        <v>0</v>
      </c>
      <c r="I25" s="460">
        <f t="shared" si="9"/>
        <v>0</v>
      </c>
      <c r="J25" s="460">
        <f t="shared" si="10"/>
        <v>54.987606490661534</v>
      </c>
      <c r="K25" s="460">
        <f t="shared" si="11"/>
        <v>0</v>
      </c>
      <c r="L25" s="460">
        <f t="shared" si="12"/>
        <v>0</v>
      </c>
      <c r="M25" s="460">
        <f t="shared" si="13"/>
        <v>0</v>
      </c>
      <c r="N25" s="460">
        <f t="shared" si="14"/>
        <v>0</v>
      </c>
      <c r="O25" s="460">
        <f t="shared" si="15"/>
        <v>0</v>
      </c>
      <c r="P25" s="461">
        <f t="shared" si="16"/>
        <v>0</v>
      </c>
      <c r="Q25" s="459">
        <f t="shared" ca="1" si="17"/>
        <v>2426.4712637465832</v>
      </c>
    </row>
    <row r="26" spans="1:17">
      <c r="A26" s="459" t="s">
        <v>655</v>
      </c>
      <c r="B26" s="460">
        <f t="shared" ca="1" si="2"/>
        <v>980.20653243930064</v>
      </c>
      <c r="C26" s="460">
        <f t="shared" ca="1" si="3"/>
        <v>0</v>
      </c>
      <c r="D26" s="460">
        <f t="shared" si="4"/>
        <v>272.51231937600005</v>
      </c>
      <c r="E26" s="460">
        <f t="shared" si="5"/>
        <v>20.915221499920708</v>
      </c>
      <c r="F26" s="460">
        <f t="shared" si="6"/>
        <v>350.32558358363644</v>
      </c>
      <c r="G26" s="460">
        <f t="shared" si="7"/>
        <v>0</v>
      </c>
      <c r="H26" s="460">
        <f t="shared" si="8"/>
        <v>0</v>
      </c>
      <c r="I26" s="460">
        <f t="shared" si="9"/>
        <v>0</v>
      </c>
      <c r="J26" s="460">
        <f t="shared" si="10"/>
        <v>7.3015606914453022</v>
      </c>
      <c r="K26" s="460">
        <f t="shared" si="11"/>
        <v>0</v>
      </c>
      <c r="L26" s="460">
        <f t="shared" si="12"/>
        <v>0</v>
      </c>
      <c r="M26" s="460">
        <f t="shared" si="13"/>
        <v>0</v>
      </c>
      <c r="N26" s="460">
        <f t="shared" si="14"/>
        <v>0</v>
      </c>
      <c r="O26" s="460">
        <f t="shared" si="15"/>
        <v>0</v>
      </c>
      <c r="P26" s="461">
        <f t="shared" si="16"/>
        <v>0</v>
      </c>
      <c r="Q26" s="459">
        <f t="shared" ca="1" si="17"/>
        <v>1631.2612175903032</v>
      </c>
    </row>
    <row r="27" spans="1:17" s="465" customFormat="1">
      <c r="A27" s="463" t="s">
        <v>573</v>
      </c>
      <c r="B27" s="771">
        <f t="shared" ca="1" si="2"/>
        <v>0.11202747357241512</v>
      </c>
      <c r="C27" s="464">
        <f t="shared" ca="1" si="3"/>
        <v>0</v>
      </c>
      <c r="D27" s="464">
        <f t="shared" si="4"/>
        <v>0.56379993899598513</v>
      </c>
      <c r="E27" s="464">
        <f t="shared" si="5"/>
        <v>63.634135756315501</v>
      </c>
      <c r="F27" s="464">
        <f t="shared" si="6"/>
        <v>0</v>
      </c>
      <c r="G27" s="464">
        <f t="shared" si="7"/>
        <v>12960.110217575238</v>
      </c>
      <c r="H27" s="464">
        <f t="shared" si="8"/>
        <v>2300.4472277948717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15324.867408538994</v>
      </c>
    </row>
    <row r="28" spans="1:17">
      <c r="A28" s="459" t="s">
        <v>563</v>
      </c>
      <c r="B28" s="460">
        <f t="shared" ca="1" si="2"/>
        <v>0</v>
      </c>
      <c r="C28" s="460">
        <f t="shared" ca="1" si="3"/>
        <v>0</v>
      </c>
      <c r="D28" s="460">
        <f t="shared" si="4"/>
        <v>0</v>
      </c>
      <c r="E28" s="460">
        <f t="shared" si="5"/>
        <v>0</v>
      </c>
      <c r="F28" s="460">
        <f t="shared" si="6"/>
        <v>0</v>
      </c>
      <c r="G28" s="460">
        <f t="shared" si="7"/>
        <v>810.55603319863678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810.55603319863678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661.94799881915253</v>
      </c>
      <c r="C32" s="460">
        <f t="shared" ca="1" si="3"/>
        <v>0</v>
      </c>
      <c r="D32" s="460">
        <f t="shared" si="4"/>
        <v>173.06451000000001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835.01250881915257</v>
      </c>
    </row>
    <row r="33" spans="1:17" s="472" customFormat="1">
      <c r="A33" s="469" t="s">
        <v>567</v>
      </c>
      <c r="B33" s="470">
        <f ca="1">SUM(B22:B32)</f>
        <v>9393.7897562720045</v>
      </c>
      <c r="C33" s="470">
        <f t="shared" ref="C33:Q33" ca="1" si="19">SUM(C22:C32)</f>
        <v>0</v>
      </c>
      <c r="D33" s="470">
        <f t="shared" ca="1" si="19"/>
        <v>8867.3986992869995</v>
      </c>
      <c r="E33" s="470">
        <f t="shared" si="19"/>
        <v>1075.2596528499143</v>
      </c>
      <c r="F33" s="470">
        <f t="shared" ca="1" si="19"/>
        <v>12263.681899831017</v>
      </c>
      <c r="G33" s="470">
        <f t="shared" si="19"/>
        <v>13770.666250773875</v>
      </c>
      <c r="H33" s="470">
        <f t="shared" si="19"/>
        <v>2300.4472277948717</v>
      </c>
      <c r="I33" s="470">
        <f t="shared" si="19"/>
        <v>0</v>
      </c>
      <c r="J33" s="470">
        <f t="shared" si="19"/>
        <v>317.17618125817307</v>
      </c>
      <c r="K33" s="470">
        <f t="shared" si="19"/>
        <v>0</v>
      </c>
      <c r="L33" s="470">
        <f t="shared" ca="1" si="19"/>
        <v>0</v>
      </c>
      <c r="M33" s="470">
        <f t="shared" si="19"/>
        <v>0</v>
      </c>
      <c r="N33" s="470">
        <f t="shared" ca="1" si="19"/>
        <v>0</v>
      </c>
      <c r="O33" s="470">
        <f t="shared" si="19"/>
        <v>0</v>
      </c>
      <c r="P33" s="470">
        <f t="shared" si="19"/>
        <v>0</v>
      </c>
      <c r="Q33" s="470">
        <f t="shared" ca="1" si="19"/>
        <v>47988.419668066854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136</v>
      </c>
      <c r="C5" s="1028"/>
      <c r="D5" s="1028"/>
      <c r="E5" s="1028"/>
      <c r="F5" s="1028"/>
      <c r="G5" s="1028"/>
      <c r="H5" s="1028"/>
      <c r="I5" s="1028"/>
      <c r="J5" s="1028"/>
      <c r="K5" s="1028"/>
      <c r="L5" s="1028"/>
      <c r="M5" s="1028"/>
      <c r="N5" s="1028"/>
      <c r="O5" s="1028"/>
      <c r="P5" s="1029">
        <f>'SEAP template'!Q73</f>
        <v>0</v>
      </c>
    </row>
    <row r="6" spans="1:16">
      <c r="A6" s="1030" t="s">
        <v>251</v>
      </c>
      <c r="B6" s="1028">
        <f>'SEAP template'!B74</f>
        <v>2063.911535409723</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2199.911535409723</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0.21012487820660913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0.21012487820660913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2019-08-12T09:20:01Z</dcterms:modified>
</cp:coreProperties>
</file>