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L20"/>
  <c r="O19"/>
  <c r="B10"/>
  <c r="I101"/>
  <c r="H8" s="1"/>
  <c r="H10" s="1"/>
  <c r="E101"/>
  <c r="E8" s="1"/>
  <c r="E10" s="1"/>
  <c r="I102"/>
  <c r="H17" s="1"/>
  <c r="H20" s="1"/>
  <c r="E102"/>
  <c r="E17" s="1"/>
  <c r="E20" s="1"/>
  <c r="H102"/>
  <c r="D102"/>
  <c r="G102"/>
  <c r="C102"/>
  <c r="F102"/>
  <c r="B102"/>
  <c r="C17" s="1"/>
  <c r="D14" i="48"/>
  <c r="P7"/>
  <c r="P25" s="1"/>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Q26"/>
  <c r="N26"/>
  <c r="I26"/>
  <c r="J22"/>
  <c r="D5" i="17"/>
  <c r="D8" i="55" l="1"/>
  <c r="L78" i="14"/>
  <c r="L8" i="55"/>
  <c r="G78" i="14"/>
  <c r="G9" i="55"/>
  <c r="G10" s="1"/>
  <c r="O78" i="14"/>
  <c r="O9" i="55"/>
  <c r="C77" i="14"/>
  <c r="C9" i="55" s="1"/>
  <c r="F9"/>
  <c r="N78" i="14"/>
  <c r="N9" i="55"/>
  <c r="R25" i="14"/>
  <c r="M76"/>
  <c r="M8" i="55" s="1"/>
  <c r="M10" s="1"/>
  <c r="L90" i="14"/>
  <c r="H90"/>
  <c r="Q52"/>
  <c r="O32" i="48"/>
  <c r="D101" i="18"/>
  <c r="J8" s="1"/>
  <c r="Q22" i="14"/>
  <c r="M87"/>
  <c r="P32" i="48"/>
  <c r="G101" i="18"/>
  <c r="P22" i="14"/>
  <c r="G20" i="55"/>
  <c r="H101" i="18"/>
  <c r="D22" i="14"/>
  <c r="F76"/>
  <c r="Q76" s="1"/>
  <c r="P8" i="55" s="1"/>
  <c r="D10"/>
  <c r="L10"/>
  <c r="K20"/>
  <c r="F101" i="18"/>
  <c r="E90" i="14"/>
  <c r="E18" i="55"/>
  <c r="F90" i="14"/>
  <c r="F18" i="55"/>
  <c r="F20" s="1"/>
  <c r="N90" i="14"/>
  <c r="N18" i="55"/>
  <c r="N20" s="1"/>
  <c r="N10"/>
  <c r="E20"/>
  <c r="O20"/>
  <c r="K22" i="14"/>
  <c r="L22"/>
  <c r="L20" i="55"/>
  <c r="C101" i="18"/>
  <c r="R9" i="14"/>
  <c r="E10" i="55"/>
  <c r="O10"/>
  <c r="H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M90" i="14"/>
  <c r="M17" i="55"/>
  <c r="M20" s="1"/>
  <c r="O17" i="18"/>
  <c r="O20" s="1"/>
  <c r="F8" i="55"/>
  <c r="F10" s="1"/>
  <c r="F78" i="14"/>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H5" i="48" l="1"/>
  <c r="I10" i="14"/>
  <c r="I16" s="1"/>
  <c r="B78"/>
  <c r="B8" i="55"/>
  <c r="B10" s="1"/>
  <c r="B90" i="14"/>
  <c r="B17" i="55"/>
  <c r="B20" s="1"/>
  <c r="C90" i="14"/>
  <c r="C17" i="55"/>
  <c r="C20" s="1"/>
  <c r="G5" i="48"/>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9"/>
  <c r="F30"/>
  <c r="F27"/>
  <c r="F24"/>
  <c r="F31"/>
  <c r="F28"/>
  <c r="B7"/>
  <c r="C24" i="14"/>
  <c r="C26" s="1"/>
  <c r="E30" i="48"/>
  <c r="E24"/>
  <c r="E32"/>
  <c r="E28"/>
  <c r="E31"/>
  <c r="E29"/>
  <c r="M32"/>
  <c r="M26"/>
  <c r="M30"/>
  <c r="M24"/>
  <c r="M25"/>
  <c r="M22"/>
  <c r="M29"/>
  <c r="K5"/>
  <c r="L10" i="14"/>
  <c r="L16" s="1"/>
  <c r="L27" s="1"/>
  <c r="D22" i="48"/>
  <c r="D29"/>
  <c r="D30"/>
  <c r="D24"/>
  <c r="D32"/>
  <c r="D28"/>
  <c r="D31"/>
  <c r="L29"/>
  <c r="L28"/>
  <c r="L22"/>
  <c r="L24"/>
  <c r="L30"/>
  <c r="L32"/>
  <c r="L27"/>
  <c r="L31"/>
  <c r="Q10" i="14"/>
  <c r="P5" i="48"/>
  <c r="P23" s="1"/>
  <c r="B4"/>
  <c r="C11" i="14"/>
  <c r="N32" i="48"/>
  <c r="N31"/>
  <c r="N29"/>
  <c r="N24"/>
  <c r="N30"/>
  <c r="N28"/>
  <c r="N27"/>
  <c r="I5"/>
  <c r="J10" i="14"/>
  <c r="J16" s="1"/>
  <c r="J27" s="1"/>
  <c r="J32" i="48"/>
  <c r="J27"/>
  <c r="J24"/>
  <c r="J30"/>
  <c r="J28"/>
  <c r="J29"/>
  <c r="J31"/>
  <c r="I31"/>
  <c r="I32"/>
  <c r="I28"/>
  <c r="I30"/>
  <c r="I24"/>
  <c r="I26"/>
  <c r="I27"/>
  <c r="I29"/>
  <c r="I22"/>
  <c r="I25"/>
  <c r="D4"/>
  <c r="E11" i="14"/>
  <c r="C18" i="16"/>
  <c r="K30" i="48"/>
  <c r="K32"/>
  <c r="K29"/>
  <c r="K31"/>
  <c r="K25"/>
  <c r="K26"/>
  <c r="K28"/>
  <c r="K24"/>
  <c r="K22"/>
  <c r="K27"/>
  <c r="B10"/>
  <c r="C19" i="14"/>
  <c r="Q11"/>
  <c r="P4" i="48"/>
  <c r="O4"/>
  <c r="P11" i="14"/>
  <c r="H12" i="22"/>
  <c r="H13" i="48"/>
  <c r="H31" s="1"/>
  <c r="I18" i="14"/>
  <c r="H30" i="48"/>
  <c r="H32"/>
  <c r="H25"/>
  <c r="H22"/>
  <c r="H24"/>
  <c r="H29"/>
  <c r="H28"/>
  <c r="H26"/>
  <c r="H23"/>
  <c r="C4"/>
  <c r="D11" i="14"/>
  <c r="G30" i="48"/>
  <c r="G32"/>
  <c r="G26"/>
  <c r="G29"/>
  <c r="G25"/>
  <c r="G24"/>
  <c r="G22"/>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K15"/>
  <c r="K23"/>
  <c r="O22"/>
  <c r="M23"/>
  <c r="P10" i="14"/>
  <c r="O5" i="48"/>
  <c r="O23" s="1"/>
  <c r="N18" i="14"/>
  <c r="M13" i="48"/>
  <c r="M31" s="1"/>
  <c r="Q16" i="14"/>
  <c r="Q27" s="1"/>
  <c r="F4" i="48"/>
  <c r="F22" s="1"/>
  <c r="G11" i="14"/>
  <c r="I23" i="48"/>
  <c r="I33" s="1"/>
  <c r="I15"/>
  <c r="G12" i="22"/>
  <c r="G13" i="48"/>
  <c r="H18" i="14"/>
  <c r="R18" s="1"/>
  <c r="P22" i="16"/>
  <c r="Q43" i="14" s="1"/>
  <c r="P8" i="48"/>
  <c r="P26" s="1"/>
  <c r="Q13" i="14"/>
  <c r="K33" i="48"/>
  <c r="D16" i="15"/>
  <c r="L46" i="14"/>
  <c r="L61" s="1"/>
  <c r="L63" s="1"/>
  <c r="J63"/>
  <c r="G31" i="20"/>
  <c r="H48" i="14" s="1"/>
  <c r="H9" i="48"/>
  <c r="I20" i="14"/>
  <c r="I22"/>
  <c r="I27"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D9" i="48" l="1"/>
  <c r="D27" s="1"/>
  <c r="E20" i="14"/>
  <c r="E22" s="1"/>
  <c r="O8" i="48"/>
  <c r="O26" s="1"/>
  <c r="O33" s="1"/>
  <c r="P13" i="14"/>
  <c r="P16" s="1"/>
  <c r="P27" s="1"/>
  <c r="H27" i="48"/>
  <c r="H33" s="1"/>
  <c r="H15"/>
  <c r="O11" i="14"/>
  <c r="N4" i="48"/>
  <c r="N22" s="1"/>
  <c r="J4"/>
  <c r="J22" s="1"/>
  <c r="K11" i="14"/>
  <c r="G9" i="48"/>
  <c r="H20" i="14"/>
  <c r="C20"/>
  <c r="B9" i="48"/>
  <c r="F20" i="14"/>
  <c r="F22" s="1"/>
  <c r="E9" i="48"/>
  <c r="E27" s="1"/>
  <c r="G31"/>
  <c r="Q13"/>
  <c r="P46" i="14"/>
  <c r="P61" s="1"/>
  <c r="C15" i="48"/>
  <c r="O15"/>
  <c r="M10"/>
  <c r="M28" s="1"/>
  <c r="N19" i="14"/>
  <c r="E12" i="13"/>
  <c r="F41" i="14" s="1"/>
  <c r="E4" i="48"/>
  <c r="F11"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R22" l="1"/>
  <c r="N52"/>
  <c r="N61" s="1"/>
  <c r="G28" i="48"/>
  <c r="Q10"/>
  <c r="M18" i="22"/>
  <c r="N50" i="14" s="1"/>
  <c r="N20"/>
  <c r="N22" s="1"/>
  <c r="N27" s="1"/>
  <c r="M9" i="48"/>
  <c r="G27"/>
  <c r="G15"/>
  <c r="R20" i="14"/>
  <c r="C22"/>
  <c r="E22" i="48"/>
  <c r="Q4"/>
  <c r="P63" i="14"/>
  <c r="D15" i="48"/>
  <c r="H22" i="14"/>
  <c r="H27" s="1"/>
  <c r="H63" s="1"/>
  <c r="Q9" i="48"/>
  <c r="R11" i="14"/>
  <c r="J5" i="48"/>
  <c r="K10" i="14"/>
  <c r="E20" i="15"/>
  <c r="F40" i="14" s="1"/>
  <c r="E5" i="48"/>
  <c r="F10" i="14"/>
  <c r="L15" i="48"/>
  <c r="Q7"/>
  <c r="R24" i="14"/>
  <c r="R26" s="1"/>
  <c r="J18" i="16"/>
  <c r="N18"/>
  <c r="E18"/>
  <c r="F18"/>
  <c r="F22" s="1"/>
  <c r="G43" i="14" s="1"/>
  <c r="M27" i="48" l="1"/>
  <c r="M33" s="1"/>
  <c r="M15"/>
  <c r="N63" i="14"/>
  <c r="G33" i="48"/>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<sst xmlns="http://schemas.openxmlformats.org/spreadsheetml/2006/main" count="2505" uniqueCount="971">
  <si>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</si>
  <si>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</si>
  <si>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</si>
  <si>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</si>
  <si>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</si>
  <si>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</si>
  <si>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</si>
  <si>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</si>
  <si>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</si>
  <si>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</si>
  <si>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</si>
  <si>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</si>
  <si>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</si>
  <si>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</si>
  <si>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</si>
  <si>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</si>
  <si>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</si>
  <si>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</si>
  <si>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</si>
  <si>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</si>
  <si>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</si>
  <si>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</si>
  <si>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</si>
  <si>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</si>
  <si>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</si>
  <si>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</si>
  <si>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</si>
  <si>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</si>
  <si>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</si>
  <si>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</si>
  <si>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</si>
  <si>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</si>
  <si>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</si>
  <si>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</si>
  <si>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</si>
  <si>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</si>
  <si>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</si>
  <si>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</si>
  <si>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</si>
  <si>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</si>
  <si>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</si>
  <si>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</si>
  <si>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</si>
  <si>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</si>
  <si>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</si>
  <si>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</si>
  <si>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</si>
  <si>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</si>
  <si>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</si>
  <si>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</si>
  <si>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</si>
  <si>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</si>
  <si>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</si>
  <si>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</si>
  <si>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</si>
  <si>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</si>
  <si>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</si>
  <si>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</si>
  <si>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</si>
  <si>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</si>
  <si>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</si>
  <si>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</si>
  <si>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</si>
  <si>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</si>
  <si>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</si>
  <si>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</si>
  <si>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</si>
  <si>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</si>
  <si>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</si>
  <si>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</si>
  <si>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</si>
  <si>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</si>
  <si>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</si>
  <si>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</si>
  <si>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</si>
  <si>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</si>
  <si>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</si>
  <si>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</si>
  <si>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</si>
  <si>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</si>
  <si>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</si>
  <si>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</si>
  <si>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</si>
  <si>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</si>
  <si>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</si>
  <si>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</si>
  <si>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</si>
  <si>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</si>
  <si>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</si>
  <si>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</si>
  <si>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</si>
  <si>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</si>
  <si>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</si>
  <si>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</si>
  <si>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</si>
  <si>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</si>
  <si>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</si>
  <si>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</si>
  <si>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</si>
  <si>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</si>
  <si>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</si>
  <si>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</si>
  <si>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</si>
  <si>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</si>
  <si>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</si>
  <si>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</si>
  <si>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</si>
  <si>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</si>
  <si>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</si>
  <si>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</si>
  <si>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</si>
  <si>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</si>
  <si>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</si>
  <si>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</si>
  <si>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</si>
  <si>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</si>
  <si>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</si>
  <si>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</si>
  <si>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</si>
  <si>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</si>
  <si>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</si>
  <si>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</si>
  <si>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</si>
  <si>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</si>
  <si>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</si>
  <si>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</si>
  <si>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</si>
  <si>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</si>
  <si>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</si>
  <si>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</si>
  <si>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</si>
  <si>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</si>
  <si>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</si>
  <si>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</si>
  <si>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</si>
  <si>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</si>
  <si>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</si>
  <si>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</si>
  <si>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</si>
  <si>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</si>
  <si>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</si>
  <si>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</si>
  <si>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</si>
  <si>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</si>
  <si>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</si>
  <si>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</si>
  <si>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</si>
  <si>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</si>
  <si>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</si>
  <si>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</si>
  <si>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</si>
  <si>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</si>
  <si>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</si>
  <si>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</si>
  <si>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</si>
  <si>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</si>
  <si>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</si>
  <si>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</si>
  <si>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</si>
  <si>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</si>
  <si>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</si>
  <si>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</si>
  <si>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</si>
  <si>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</si>
  <si>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</si>
  <si>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</si>
  <si>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</si>
  <si>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</si>
  <si>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</si>
  <si>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</si>
  <si>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</si>
  <si>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</si>
  <si>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</si>
  <si>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</si>
  <si>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</si>
  <si>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</si>
  <si>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</si>
  <si>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</si>
  <si>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</si>
  <si>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</si>
  <si>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</si>
  <si>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</si>
  <si>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</si>
  <si>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</si>
  <si>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</si>
  <si>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</si>
  <si>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</si>
  <si>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</si>
  <si>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</si>
  <si>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</si>
  <si>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</si>
  <si>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</si>
  <si>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</si>
  <si>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</si>
  <si>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</si>
  <si>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</si>
  <si>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</si>
  <si>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</si>
  <si>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</si>
  <si>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</si>
  <si>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</si>
  <si>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</si>
  <si>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</si>
  <si>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</si>
  <si>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</si>
  <si>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</si>
  <si>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</si>
  <si>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</si>
  <si>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</si>
  <si>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</si>
  <si>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</si>
  <si>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</si>
  <si>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</si>
  <si>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</si>
  <si>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</si>
  <si>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</si>
  <si>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</si>
  <si>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</si>
  <si>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</si>
  <si>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</si>
  <si>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</si>
  <si>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</si>
  <si>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</si>
  <si>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</si>
  <si>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</si>
  <si>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</si>
  <si>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</si>
  <si>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</si>
  <si>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</si>
  <si>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</si>
  <si>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</si>
  <si>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</si>
  <si>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</si>
  <si>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</si>
  <si>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</si>
  <si>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</si>
  <si>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</si>
  <si>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</si>
  <si>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</si>
  <si>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</si>
  <si>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</si>
  <si>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</si>
  <si>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</si>
  <si>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</si>
  <si>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</si>
  <si>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</si>
  <si>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</si>
  <si>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</si>
  <si>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</si>
  <si>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</si>
  <si>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</si>
  <si>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</si>
  <si>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</si>
  <si>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</si>
  <si>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</si>
  <si>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</si>
  <si>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</si>
  <si>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</si>
  <si>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</si>
  <si>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</si>
  <si>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</si>
  <si>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</si>
  <si>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</si>
  <si>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</si>
  <si>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</si>
  <si>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</si>
  <si>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</si>
  <si>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</si>
  <si>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</si>
  <si>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</si>
  <si>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</si>
  <si>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</si>
  <si>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</si>
  <si>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</si>
  <si>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</si>
  <si>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</si>
  <si>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</si>
  <si>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</si>
  <si>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</si>
  <si>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</si>
  <si>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</si>
  <si>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</si>
  <si>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</si>
  <si>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</si>
  <si>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</si>
  <si>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</si>
  <si>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</si>
  <si>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</si>
  <si>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</si>
  <si>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</si>
  <si>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</si>
  <si>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</si>
  <si>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</si>
  <si>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</si>
  <si>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</si>
  <si>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</si>
  <si>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</si>
  <si>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</si>
  <si>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</si>
  <si>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</si>
  <si>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</si>
  <si>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</si>
  <si>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</si>
  <si>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</si>
  <si>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</si>
  <si>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</si>
  <si>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</si>
  <si>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</si>
  <si>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</si>
  <si>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</si>
  <si>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</si>
  <si>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</si>
  <si>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</si>
  <si>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</si>
  <si>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</si>
  <si>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</si>
  <si>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</si>
  <si>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</si>
  <si>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</si>
  <si>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</si>
  <si>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</si>
  <si>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</si>
  <si>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</si>
  <si>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</si>
  <si>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</si>
  <si>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</si>
  <si>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</si>
  <si>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</si>
  <si>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</si>
  <si>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</si>
  <si>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</si>
  <si>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</si>
  <si>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</si>
  <si>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</si>
  <si>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</si>
  <si>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</si>
  <si>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</si>
  <si>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</si>
  <si>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</si>
  <si>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</si>
  <si>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</si>
  <si>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</si>
  <si>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</si>
  <si>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</si>
  <si>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</si>
  <si>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</si>
  <si>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</si>
  <si>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</si>
  <si>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</si>
  <si>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</si>
  <si>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</si>
  <si>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</si>
  <si>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</si>
  <si>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</si>
  <si>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</si>
  <si>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</si>
  <si>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</si>
  <si>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</si>
  <si>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</si>
  <si>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</si>
  <si>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</si>
  <si>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</si>
  <si>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</si>
  <si>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</si>
  <si>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</si>
  <si>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</si>
  <si>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</si>
  <si>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</si>
  <si>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</si>
  <si>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</si>
  <si>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</si>
  <si>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</si>
  <si>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</si>
  <si>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</si>
  <si>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</si>
  <si>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</si>
  <si>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</si>
  <si>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</si>
  <si>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</si>
  <si>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</si>
  <si>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</si>
  <si>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</si>
  <si>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</si>
  <si>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</si>
  <si>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</si>
  <si>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</si>
  <si>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</si>
  <si>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</si>
  <si>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</si>
  <si>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</si>
  <si>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</si>
  <si>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</si>
  <si>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</si>
  <si>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</si>
  <si>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</si>
  <si>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</si>
  <si>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</si>
  <si>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</si>
  <si>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</si>
  <si>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</si>
  <si>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</si>
  <si>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</si>
  <si>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</si>
  <si>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</si>
  <si>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</si>
  <si>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</si>
  <si>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</si>
  <si>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</si>
  <si>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</si>
  <si>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</si>
  <si>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</si>
  <si>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</si>
  <si>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</si>
  <si>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</si>
  <si>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</si>
  <si>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</si>
  <si>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</si>
  <si>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</si>
  <si>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</si>
  <si>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</si>
  <si>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</si>
  <si>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</si>
  <si>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</si>
  <si>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</si>
  <si>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</si>
  <si>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</si>
  <si>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</si>
  <si>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</si>
  <si>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</si>
  <si>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</si>
  <si>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</si>
  <si>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</si>
  <si>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</si>
  <si>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</si>
  <si>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</si>
  <si>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</si>
  <si>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</si>
  <si>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</si>
  <si>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</si>
  <si>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</si>
  <si>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</si>
  <si>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</si>
  <si>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</si>
  <si>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</si>
  <si>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</si>
  <si>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</si>
  <si>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</si>
  <si>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</si>
  <si>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</si>
  <si>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</si>
  <si>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</si>
  <si>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</si>
  <si>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</si>
  <si>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</si>
  <si>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</si>
  <si>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</si>
  <si>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</si>
  <si>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</si>
  <si>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</si>
  <si>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</si>
  <si>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</si>
  <si>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</si>
  <si>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</si>
  <si>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</si>
  <si>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</si>
  <si>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</si>
  <si>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</si>
  <si>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</si>
  <si>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</si>
  <si>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</si>
  <si>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</si>
  <si>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</si>
  <si>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</si>
  <si>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</si>
  <si>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</si>
  <si>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</si>
  <si>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</si>
  <si>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</si>
  <si>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</si>
  <si>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</si>
  <si>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</si>
  <si>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</si>
  <si>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</si>
  <si>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</si>
  <si>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</si>
  <si>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</si>
  <si>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</si>
  <si>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</si>
  <si>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</si>
  <si>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</si>
  <si>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</si>
  <si>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</si>
  <si>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</si>
  <si>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</si>
  <si>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</si>
  <si>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</si>
  <si>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</si>
  <si>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</si>
  <si>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</si>
  <si>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</si>
  <si>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</si>
  <si>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</si>
  <si>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</si>
  <si>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</si>
  <si>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</si>
  <si>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</si>
  <si>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</si>
  <si>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</si>
  <si>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</si>
  <si>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</si>
  <si>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</si>
  <si>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</si>
  <si>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</si>
  <si>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</si>
  <si>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</si>
  <si>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</si>
  <si>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</si>
  <si>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</si>
  <si>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</si>
  <si>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</si>
  <si>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</si>
  <si>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</si>
  <si>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</si>
  <si>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</si>
  <si>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</si>
  <si>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</si>
  <si>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</si>
  <si>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</si>
  <si>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</si>
  <si>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</si>
  <si>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</si>
  <si>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</si>
  <si>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</si>
  <si>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</si>
  <si>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</si>
  <si>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</si>
  <si>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</si>
  <si>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</si>
  <si>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</si>
  <si>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</si>
  <si>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</si>
  <si>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</si>
  <si>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</si>
  <si>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</si>
  <si>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</si>
  <si>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</si>
  <si>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</si>
  <si>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</si>
  <si>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</si>
  <si>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</si>
  <si>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</si>
  <si>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</si>
  <si>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</si>
  <si>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</si>
  <si>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</si>
  <si>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</si>
  <si>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</si>
  <si>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</si>
  <si>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</si>
  <si>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</si>
  <si>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</si>
  <si>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</si>
  <si>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</si>
  <si>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</si>
  <si>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</si>
  <si>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</si>
  <si>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</si>
  <si>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</si>
  <si>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</si>
  <si>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</si>
  <si>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</si>
  <si>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</si>
  <si>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</si>
  <si>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</si>
  <si>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</si>
  <si>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</si>
  <si>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</si>
  <si>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</si>
  <si>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</si>
  <si>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</si>
  <si>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</si>
  <si>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</si>
  <si>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</si>
  <si>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</si>
  <si>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</si>
  <si>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</si>
  <si>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</si>
  <si>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</si>
  <si>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</si>
  <si>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</si>
  <si>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</si>
  <si>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</si>
  <si>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</si>
  <si>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</si>
  <si>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</si>
  <si>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</si>
  <si>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</si>
  <si>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</si>
  <si>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</si>
  <si>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</si>
  <si>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</si>
  <si>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</si>
  <si>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</si>
  <si>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</si>
  <si>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</si>
  <si>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</si>
  <si>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</si>
  <si>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</si>
  <si>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</si>
  <si>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</si>
  <si>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</si>
  <si>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</si>
  <si>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</si>
  <si>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</si>
  <si>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</si>
  <si>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</si>
  <si>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</si>
  <si>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</si>
  <si>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</si>
  <si>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</si>
  <si>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</si>
  <si>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</si>
  <si>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</si>
  <si>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</si>
  <si>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</si>
  <si>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</si>
  <si>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</si>
  <si>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</si>
  <si>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</si>
  <si>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</si>
  <si>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</si>
  <si>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</si>
  <si>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</si>
  <si>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</si>
  <si>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</si>
  <si>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</si>
  <si>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</si>
  <si>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</si>
  <si>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</si>
  <si>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</si>
  <si>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</si>
  <si>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</si>
  <si>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</si>
  <si>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</si>
  <si>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</si>
  <si>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</si>
  <si>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</si>
  <si>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</si>
  <si>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</si>
  <si>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</si>
  <si>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</si>
  <si>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</si>
  <si>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</si>
  <si>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</si>
  <si>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</si>
  <si>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</si>
  <si>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</si>
  <si>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</si>
  <si>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</si>
  <si>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</si>
  <si>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</si>
  <si>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</si>
  <si>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</si>
  <si>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</si>
  <si>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</si>
  <si>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</si>
  <si>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</si>
  <si>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</si>
  <si>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</si>
  <si>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</si>
  <si>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</si>
  <si>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</si>
  <si>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</si>
  <si>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</si>
  <si>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</si>
  <si>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</si>
  <si>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</si>
  <si>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</si>
  <si>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</si>
  <si>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</si>
  <si>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</si>
  <si>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</si>
  <si>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</si>
  <si>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</si>
  <si>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</si>
  <si>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</si>
  <si>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</si>
  <si>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</si>
  <si>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</si>
  <si>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</si>
  <si>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</si>
  <si>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</si>
  <si>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</si>
  <si>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</si>
  <si>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</si>
  <si>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</si>
  <si>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</si>
  <si>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</si>
  <si>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</si>
  <si>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</si>
  <si>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</si>
  <si>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</si>
  <si>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</si>
  <si>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</si>
  <si>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</si>
  <si>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</si>
  <si>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</si>
  <si>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</si>
  <si>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</si>
  <si>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</si>
  <si>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</si>
  <si>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</si>
  <si>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</si>
  <si>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</si>
  <si>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</si>
  <si>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</si>
  <si>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</si>
  <si>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</si>
  <si>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</si>
  <si>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</si>
  <si>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</si>
  <si>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</si>
  <si>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</si>
  <si>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</si>
  <si>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</si>
  <si>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</si>
  <si>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</si>
  <si>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</si>
  <si>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</si>
  <si>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</si>
  <si>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</si>
  <si>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</si>
  <si>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</si>
  <si>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</si>
  <si>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</si>
  <si>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</si>
  <si>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</si>
  <si>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</si>
  <si>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</si>
  <si>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</si>
  <si>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</si>
  <si>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</si>
  <si>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</si>
  <si>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</si>
  <si>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</si>
  <si>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</si>
  <si>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</si>
  <si>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</si>
  <si>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</si>
  <si>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</si>
  <si>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</si>
  <si>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</si>
  <si>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</si>
  <si>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</si>
  <si>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</si>
  <si>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</si>
  <si>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</si>
  <si>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</si>
  <si>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</si>
  <si>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</si>
  <si>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</si>
  <si>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</si>
  <si>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</si>
  <si>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</si>
  <si>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</si>
  <si>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</si>
  <si>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</si>
  <si>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</si>
  <si>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</si>
  <si>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</si>
  <si>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</si>
  <si>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</si>
  <si>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</si>
  <si>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</si>
  <si>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</si>
  <si>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</si>
  <si>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</si>
  <si>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</si>
  <si>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</si>
  <si>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</si>
  <si>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</si>
  <si>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</si>
  <si>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</si>
  <si>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</si>
  <si>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</si>
  <si>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</si>
  <si>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</si>
  <si>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</si>
  <si>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</si>
  <si>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</si>
  <si>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</si>
  <si>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</si>
  <si>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</si>
  <si>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</si>
  <si>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</si>
  <si>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</si>
  <si>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</si>
  <si>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</si>
  <si>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</si>
  <si>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</si>
  <si>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</si>
  <si>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</si>
  <si>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</si>
  <si>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</si>
  <si>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</si>
  <si>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</si>
  <si>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</si>
  <si>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</si>
  <si>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</si>
  <si>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</si>
  <si>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</si>
  <si>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</si>
  <si>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</si>
  <si>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</si>
  <si>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</si>
  <si>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</si>
  <si>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</si>
  <si>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</si>
  <si>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</si>
  <si>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</si>
  <si>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</si>
  <si>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</si>
  <si>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</si>
  <si>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</si>
  <si>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</si>
  <si>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</si>
  <si>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</si>
  <si>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</si>
  <si>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</si>
  <si>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</si>
  <si>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</si>
  <si>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</si>
  <si>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</si>
  <si>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</si>
  <si>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</si>
  <si>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</si>
  <si>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</si>
  <si>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</si>
  <si>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</si>
  <si>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</si>
  <si>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</si>
  <si>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</si>
  <si>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</si>
  <si>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</si>
  <si>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</si>
  <si>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</si>
  <si>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</si>
  <si>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</si>
  <si>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</si>
  <si>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</si>
  <si>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</si>
  <si>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</si>
  <si>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</si>
  <si>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</si>
  <si>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</si>
  <si>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</si>
  <si>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</si>
  <si>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</si>
  <si>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</si>
  <si>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</si>
  <si>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</si>
  <si>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</si>
  <si>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</si>
  <si>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</si>
  <si>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</si>
  <si>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</si>
  <si>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</si>
  <si>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</si>
  <si>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</si>
  <si>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</si>
  <si>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</si>
  <si>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</si>
  <si>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</si>
  <si>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</si>
  <si>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</si>
  <si>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</si>
  <si>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</si>
  <si>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</si>
  <si>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</si>
  <si>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</si>
  <si>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</si>
  <si>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</si>
  <si>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</si>
  <si>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</si>
  <si>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</si>
  <si>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</si>
  <si>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</si>
  <si>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</si>
  <si>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</si>
  <si>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</si>
  <si>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</si>
  <si>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</si>
  <si>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</si>
  <si>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</si>
  <si>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</si>
  <si>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</si>
  <si>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</si>
  <si>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</si>
  <si>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</si>
  <si>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</si>
  <si>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</si>
  <si>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</si>
  <si>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</si>
  <si>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</si>
  <si>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</si>
  <si>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</si>
  <si>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</si>
  <si>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</si>
  <si>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</si>
  <si>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</si>
  <si>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</si>
  <si>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</si>
  <si>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</si>
  <si>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</si>
  <si>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</si>
  <si>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</si>
  <si>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</si>
  <si>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</si>
  <si>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</si>
  <si>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</si>
  <si>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</si>
  <si>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</si>
  <si>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</si>
  <si>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</si>
  <si>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</si>
  <si>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</si>
  <si>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</si>
  <si>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</si>
  <si>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</si>
  <si>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</si>
  <si>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</si>
  <si>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</si>
  <si>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</si>
  <si>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</si>
  <si>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</si>
  <si>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</si>
  <si>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</si>
  <si>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</si>
  <si>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</si>
  <si>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</si>
  <si>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</si>
  <si>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</si>
  <si>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</si>
  <si>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</si>
  <si>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</si>
  <si>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</si>
  <si>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</si>
  <si>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</si>
  <si>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</si>
  <si>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</si>
  <si>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</si>
  <si>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</si>
  <si>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</si>
  <si>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</si>
  <si>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</si>
  <si>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</si>
  <si>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23027</t>
  </si>
  <si>
    <t>HALLE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</si>
  <si>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</si>
  <si>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</si>
  <si>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</si>
  <si>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</si>
  <si>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</si>
  <si>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</si>
  <si>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</si>
  <si>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GSL BVBA</t>
  </si>
  <si>
    <t>Scheyssingen 17 , 1500 Halle</t>
  </si>
  <si>
    <t>WKK-0209 GSL</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</si>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</sst>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23027</v>
      </c>
      <c r="B6" s="396"/>
      <c r="C6" s="397"/>
    </row>
    <row r="7" spans="1:7" s="394" customFormat="1" ht="15.75" customHeight="1">
      <c r="A7" s="398" t="str">
        <f>txtMunicipality</f>
        <v>HALLE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0.21103279975677244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0.21103279975677244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23027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15265</v>
      </c>
      <c r="C9" s="336">
        <v>16341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1636</v>
      </c>
    </row>
    <row r="15" spans="1:6">
      <c r="A15" s="1277" t="s">
        <v>184</v>
      </c>
      <c r="B15" s="333">
        <v>7</v>
      </c>
    </row>
    <row r="16" spans="1:6">
      <c r="A16" s="1277" t="s">
        <v>6</v>
      </c>
      <c r="B16" s="333">
        <v>281</v>
      </c>
    </row>
    <row r="17" spans="1:6">
      <c r="A17" s="1277" t="s">
        <v>7</v>
      </c>
      <c r="B17" s="333">
        <v>238</v>
      </c>
    </row>
    <row r="18" spans="1:6">
      <c r="A18" s="1277" t="s">
        <v>8</v>
      </c>
      <c r="B18" s="333">
        <v>351</v>
      </c>
    </row>
    <row r="19" spans="1:6">
      <c r="A19" s="1277" t="s">
        <v>9</v>
      </c>
      <c r="B19" s="333">
        <v>248</v>
      </c>
    </row>
    <row r="20" spans="1:6">
      <c r="A20" s="1277" t="s">
        <v>10</v>
      </c>
      <c r="B20" s="333">
        <v>349</v>
      </c>
    </row>
    <row r="21" spans="1:6">
      <c r="A21" s="1277" t="s">
        <v>11</v>
      </c>
      <c r="B21" s="333">
        <v>775</v>
      </c>
    </row>
    <row r="22" spans="1:6">
      <c r="A22" s="1277" t="s">
        <v>12</v>
      </c>
      <c r="B22" s="333">
        <v>2043</v>
      </c>
    </row>
    <row r="23" spans="1:6">
      <c r="A23" s="1277" t="s">
        <v>13</v>
      </c>
      <c r="B23" s="333">
        <v>34</v>
      </c>
    </row>
    <row r="24" spans="1:6">
      <c r="A24" s="1277" t="s">
        <v>14</v>
      </c>
      <c r="B24" s="333">
        <v>3</v>
      </c>
    </row>
    <row r="25" spans="1:6">
      <c r="A25" s="1277" t="s">
        <v>15</v>
      </c>
      <c r="B25" s="333">
        <v>202</v>
      </c>
    </row>
    <row r="26" spans="1:6">
      <c r="A26" s="1277" t="s">
        <v>16</v>
      </c>
      <c r="B26" s="333">
        <v>224</v>
      </c>
    </row>
    <row r="27" spans="1:6">
      <c r="A27" s="1277" t="s">
        <v>17</v>
      </c>
      <c r="B27" s="333">
        <v>0</v>
      </c>
    </row>
    <row r="28" spans="1:6">
      <c r="A28" s="1277" t="s">
        <v>18</v>
      </c>
      <c r="B28" s="333">
        <v>607</v>
      </c>
    </row>
    <row r="29" spans="1:6">
      <c r="A29" s="1277" t="s">
        <v>959</v>
      </c>
      <c r="B29" s="333">
        <v>123</v>
      </c>
    </row>
    <row r="30" spans="1:6">
      <c r="A30" s="1273" t="s">
        <v>960</v>
      </c>
      <c r="B30" s="1273">
        <v>30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6</v>
      </c>
      <c r="D36" s="333">
        <v>3071764.6664591399</v>
      </c>
      <c r="E36" s="333">
        <v>8</v>
      </c>
      <c r="F36" s="333">
        <v>16632</v>
      </c>
    </row>
    <row r="37" spans="1:6">
      <c r="A37" s="1277" t="s">
        <v>25</v>
      </c>
      <c r="B37" s="1277" t="s">
        <v>28</v>
      </c>
      <c r="C37" s="333">
        <v>0</v>
      </c>
      <c r="D37" s="333">
        <v>0</v>
      </c>
      <c r="E37" s="333">
        <v>0</v>
      </c>
      <c r="F37" s="333">
        <v>0</v>
      </c>
    </row>
    <row r="38" spans="1:6">
      <c r="A38" s="1277" t="s">
        <v>25</v>
      </c>
      <c r="B38" s="1277" t="s">
        <v>29</v>
      </c>
      <c r="C38" s="333">
        <v>1</v>
      </c>
      <c r="D38" s="333">
        <v>2196.0248181888001</v>
      </c>
      <c r="E38" s="333">
        <v>4</v>
      </c>
      <c r="F38" s="333">
        <v>12985.2051538085</v>
      </c>
    </row>
    <row r="39" spans="1:6">
      <c r="A39" s="1277" t="s">
        <v>30</v>
      </c>
      <c r="B39" s="1277" t="s">
        <v>31</v>
      </c>
      <c r="C39" s="333">
        <v>11018</v>
      </c>
      <c r="D39" s="333">
        <v>178064172.76746899</v>
      </c>
      <c r="E39" s="333">
        <v>15411</v>
      </c>
      <c r="F39" s="333">
        <v>60933110.533674903</v>
      </c>
    </row>
    <row r="40" spans="1:6">
      <c r="A40" s="1277" t="s">
        <v>30</v>
      </c>
      <c r="B40" s="1277" t="s">
        <v>29</v>
      </c>
      <c r="C40" s="333">
        <v>1</v>
      </c>
      <c r="D40" s="333">
        <v>5215.0994684777997</v>
      </c>
      <c r="E40" s="333">
        <v>1</v>
      </c>
      <c r="F40" s="333">
        <v>5275</v>
      </c>
    </row>
    <row r="41" spans="1:6">
      <c r="A41" s="1277" t="s">
        <v>32</v>
      </c>
      <c r="B41" s="1277" t="s">
        <v>33</v>
      </c>
      <c r="C41" s="333">
        <v>53</v>
      </c>
      <c r="D41" s="333">
        <v>1203647.57205944</v>
      </c>
      <c r="E41" s="333">
        <v>143</v>
      </c>
      <c r="F41" s="333">
        <v>22376765.026149798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6</v>
      </c>
      <c r="D44" s="333">
        <v>522888.50692923903</v>
      </c>
      <c r="E44" s="333">
        <v>4</v>
      </c>
      <c r="F44" s="333">
        <v>401524.49395121599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17844.862941292999</v>
      </c>
    </row>
    <row r="48" spans="1:6">
      <c r="A48" s="1277" t="s">
        <v>32</v>
      </c>
      <c r="B48" s="1277" t="s">
        <v>29</v>
      </c>
      <c r="C48" s="333">
        <v>60</v>
      </c>
      <c r="D48" s="333">
        <v>34945941.231971003</v>
      </c>
      <c r="E48" s="333">
        <v>82</v>
      </c>
      <c r="F48" s="333">
        <v>37739994.920125403</v>
      </c>
    </row>
    <row r="49" spans="1:6">
      <c r="A49" s="1277" t="s">
        <v>32</v>
      </c>
      <c r="B49" s="1277" t="s">
        <v>40</v>
      </c>
      <c r="C49" s="333">
        <v>0</v>
      </c>
      <c r="D49" s="333">
        <v>0</v>
      </c>
      <c r="E49" s="333">
        <v>3</v>
      </c>
      <c r="F49" s="333">
        <v>15380.076032294101</v>
      </c>
    </row>
    <row r="50" spans="1:6">
      <c r="A50" s="1277" t="s">
        <v>32</v>
      </c>
      <c r="B50" s="1277" t="s">
        <v>41</v>
      </c>
      <c r="C50" s="333">
        <v>13</v>
      </c>
      <c r="D50" s="333">
        <v>685306.11435937998</v>
      </c>
      <c r="E50" s="333">
        <v>17</v>
      </c>
      <c r="F50" s="333">
        <v>498225.53592522698</v>
      </c>
    </row>
    <row r="51" spans="1:6">
      <c r="A51" s="1277" t="s">
        <v>42</v>
      </c>
      <c r="B51" s="1277" t="s">
        <v>43</v>
      </c>
      <c r="C51" s="333">
        <v>6</v>
      </c>
      <c r="D51" s="333">
        <v>76622.147740295695</v>
      </c>
      <c r="E51" s="333">
        <v>36</v>
      </c>
      <c r="F51" s="333">
        <v>387537.99048536498</v>
      </c>
    </row>
    <row r="52" spans="1:6">
      <c r="A52" s="1277" t="s">
        <v>42</v>
      </c>
      <c r="B52" s="1277" t="s">
        <v>29</v>
      </c>
      <c r="C52" s="333">
        <v>4</v>
      </c>
      <c r="D52" s="333">
        <v>1798569.2054373601</v>
      </c>
      <c r="E52" s="333">
        <v>7</v>
      </c>
      <c r="F52" s="333">
        <v>222272.764541791</v>
      </c>
    </row>
    <row r="53" spans="1:6">
      <c r="A53" s="1277" t="s">
        <v>44</v>
      </c>
      <c r="B53" s="1277" t="s">
        <v>45</v>
      </c>
      <c r="C53" s="333">
        <v>620</v>
      </c>
      <c r="D53" s="333">
        <v>11728912.7514777</v>
      </c>
      <c r="E53" s="333">
        <v>888</v>
      </c>
      <c r="F53" s="333">
        <v>4615716.0519414302</v>
      </c>
    </row>
    <row r="54" spans="1:6">
      <c r="A54" s="1277" t="s">
        <v>46</v>
      </c>
      <c r="B54" s="1277" t="s">
        <v>47</v>
      </c>
      <c r="C54" s="333">
        <v>0</v>
      </c>
      <c r="D54" s="333">
        <v>0</v>
      </c>
      <c r="E54" s="333">
        <v>1</v>
      </c>
      <c r="F54" s="333">
        <v>2933764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55</v>
      </c>
      <c r="D57" s="333">
        <v>2939021.5100992802</v>
      </c>
      <c r="E57" s="333">
        <v>115</v>
      </c>
      <c r="F57" s="333">
        <v>2258078.4741774099</v>
      </c>
    </row>
    <row r="58" spans="1:6">
      <c r="A58" s="1277" t="s">
        <v>49</v>
      </c>
      <c r="B58" s="1277" t="s">
        <v>51</v>
      </c>
      <c r="C58" s="333">
        <v>45</v>
      </c>
      <c r="D58" s="333">
        <v>4630510.7041414399</v>
      </c>
      <c r="E58" s="333">
        <v>83</v>
      </c>
      <c r="F58" s="333">
        <v>3025091.3455466102</v>
      </c>
    </row>
    <row r="59" spans="1:6">
      <c r="A59" s="1277" t="s">
        <v>49</v>
      </c>
      <c r="B59" s="1277" t="s">
        <v>52</v>
      </c>
      <c r="C59" s="333">
        <v>217</v>
      </c>
      <c r="D59" s="333">
        <v>44497381.837384798</v>
      </c>
      <c r="E59" s="333">
        <v>388</v>
      </c>
      <c r="F59" s="333">
        <v>11800407.2598428</v>
      </c>
    </row>
    <row r="60" spans="1:6">
      <c r="A60" s="1277" t="s">
        <v>49</v>
      </c>
      <c r="B60" s="1277" t="s">
        <v>53</v>
      </c>
      <c r="C60" s="333">
        <v>146</v>
      </c>
      <c r="D60" s="333">
        <v>9367215.5624122098</v>
      </c>
      <c r="E60" s="333">
        <v>256</v>
      </c>
      <c r="F60" s="333">
        <v>5425159.7489932701</v>
      </c>
    </row>
    <row r="61" spans="1:6">
      <c r="A61" s="1277" t="s">
        <v>49</v>
      </c>
      <c r="B61" s="1277" t="s">
        <v>54</v>
      </c>
      <c r="C61" s="333">
        <v>230</v>
      </c>
      <c r="D61" s="333">
        <v>8144968.7882899595</v>
      </c>
      <c r="E61" s="333">
        <v>503</v>
      </c>
      <c r="F61" s="333">
        <v>6319559.46673044</v>
      </c>
    </row>
    <row r="62" spans="1:6">
      <c r="A62" s="1277" t="s">
        <v>49</v>
      </c>
      <c r="B62" s="1277" t="s">
        <v>55</v>
      </c>
      <c r="C62" s="333">
        <v>28</v>
      </c>
      <c r="D62" s="333">
        <v>7509780.5555809103</v>
      </c>
      <c r="E62" s="333">
        <v>23</v>
      </c>
      <c r="F62" s="333">
        <v>2020018.2038219699</v>
      </c>
    </row>
    <row r="63" spans="1:6">
      <c r="A63" s="1277" t="s">
        <v>49</v>
      </c>
      <c r="B63" s="1277" t="s">
        <v>29</v>
      </c>
      <c r="C63" s="333">
        <v>175</v>
      </c>
      <c r="D63" s="333">
        <v>16063163.184970099</v>
      </c>
      <c r="E63" s="333">
        <v>206</v>
      </c>
      <c r="F63" s="333">
        <v>71964058.708614305</v>
      </c>
    </row>
    <row r="64" spans="1:6">
      <c r="A64" s="1277" t="s">
        <v>56</v>
      </c>
      <c r="B64" s="1277" t="s">
        <v>57</v>
      </c>
      <c r="C64" s="333">
        <v>0</v>
      </c>
      <c r="D64" s="333">
        <v>0</v>
      </c>
      <c r="E64" s="333">
        <v>0</v>
      </c>
      <c r="F64" s="333">
        <v>0</v>
      </c>
    </row>
    <row r="65" spans="1:6">
      <c r="A65" s="1277" t="s">
        <v>56</v>
      </c>
      <c r="B65" s="1277" t="s">
        <v>29</v>
      </c>
      <c r="C65" s="333">
        <v>5</v>
      </c>
      <c r="D65" s="333">
        <v>140669.25327153699</v>
      </c>
      <c r="E65" s="333">
        <v>8</v>
      </c>
      <c r="F65" s="333">
        <v>75630.228471779206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122742.20621449201</v>
      </c>
      <c r="E68" s="333">
        <v>13</v>
      </c>
      <c r="F68" s="333">
        <v>328355.40132397501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241783404</v>
      </c>
      <c r="E73" s="333">
        <v>232748625.0396001</v>
      </c>
      <c r="F73" s="333">
        <v>252166011</v>
      </c>
    </row>
    <row r="74" spans="1:6">
      <c r="A74" s="1277" t="s">
        <v>64</v>
      </c>
      <c r="B74" s="1277" t="s">
        <v>774</v>
      </c>
      <c r="C74" s="1288" t="s">
        <v>775</v>
      </c>
      <c r="D74" s="333">
        <v>19723977.702196576</v>
      </c>
      <c r="E74" s="333">
        <v>15998052.522750031</v>
      </c>
      <c r="F74" s="333">
        <v>20247863.369147439</v>
      </c>
    </row>
    <row r="75" spans="1:6">
      <c r="A75" s="1277" t="s">
        <v>65</v>
      </c>
      <c r="B75" s="1277" t="s">
        <v>772</v>
      </c>
      <c r="C75" s="1288" t="s">
        <v>776</v>
      </c>
      <c r="D75" s="333">
        <v>154492263</v>
      </c>
      <c r="E75" s="333">
        <v>145198749.90150455</v>
      </c>
      <c r="F75" s="333">
        <v>161534489</v>
      </c>
    </row>
    <row r="76" spans="1:6">
      <c r="A76" s="1277" t="s">
        <v>65</v>
      </c>
      <c r="B76" s="1277" t="s">
        <v>774</v>
      </c>
      <c r="C76" s="1288" t="s">
        <v>777</v>
      </c>
      <c r="D76" s="333">
        <v>7626723.7021965748</v>
      </c>
      <c r="E76" s="333">
        <v>5758174.3751059445</v>
      </c>
      <c r="F76" s="333">
        <v>7867376.3691474386</v>
      </c>
    </row>
    <row r="77" spans="1:6">
      <c r="A77" s="1277" t="s">
        <v>66</v>
      </c>
      <c r="B77" s="1277" t="s">
        <v>772</v>
      </c>
      <c r="C77" s="1288" t="s">
        <v>778</v>
      </c>
      <c r="D77" s="333">
        <v>226375875</v>
      </c>
      <c r="E77" s="333">
        <v>238598959.35756874</v>
      </c>
      <c r="F77" s="333">
        <v>221520891</v>
      </c>
    </row>
    <row r="78" spans="1:6">
      <c r="A78" s="1273" t="s">
        <v>66</v>
      </c>
      <c r="B78" s="1273" t="s">
        <v>774</v>
      </c>
      <c r="C78" s="1273" t="s">
        <v>779</v>
      </c>
      <c r="D78" s="1273">
        <v>20365377</v>
      </c>
      <c r="E78" s="1273">
        <v>20558724.43028523</v>
      </c>
      <c r="F78" s="336">
        <v>20249814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1173576.5956068505</v>
      </c>
      <c r="C83" s="333">
        <v>1080132.0690746997</v>
      </c>
      <c r="D83" s="333">
        <v>1086627.2617051236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2642.9898546116724</v>
      </c>
    </row>
    <row r="91" spans="1:6">
      <c r="A91" s="1277" t="s">
        <v>68</v>
      </c>
      <c r="B91" s="333">
        <v>1530.0901521740795</v>
      </c>
    </row>
    <row r="92" spans="1:6">
      <c r="A92" s="1273" t="s">
        <v>69</v>
      </c>
      <c r="B92" s="336">
        <v>1313.2439068918966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8417</v>
      </c>
    </row>
    <row r="98" spans="1:6">
      <c r="A98" s="1277" t="s">
        <v>72</v>
      </c>
      <c r="B98" s="333">
        <v>12</v>
      </c>
    </row>
    <row r="99" spans="1:6">
      <c r="A99" s="1277" t="s">
        <v>73</v>
      </c>
      <c r="B99" s="333">
        <v>88</v>
      </c>
    </row>
    <row r="100" spans="1:6">
      <c r="A100" s="1277" t="s">
        <v>74</v>
      </c>
      <c r="B100" s="333">
        <v>1444</v>
      </c>
    </row>
    <row r="101" spans="1:6">
      <c r="A101" s="1277" t="s">
        <v>75</v>
      </c>
      <c r="B101" s="333">
        <v>114</v>
      </c>
    </row>
    <row r="102" spans="1:6">
      <c r="A102" s="1277" t="s">
        <v>76</v>
      </c>
      <c r="B102" s="333">
        <v>218</v>
      </c>
    </row>
    <row r="103" spans="1:6">
      <c r="A103" s="1277" t="s">
        <v>77</v>
      </c>
      <c r="B103" s="333">
        <v>298</v>
      </c>
    </row>
    <row r="104" spans="1:6">
      <c r="A104" s="1277" t="s">
        <v>78</v>
      </c>
      <c r="B104" s="333">
        <v>3161</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47</v>
      </c>
    </row>
    <row r="130" spans="1:6">
      <c r="A130" s="1277" t="s">
        <v>295</v>
      </c>
      <c r="B130" s="333">
        <v>0</v>
      </c>
    </row>
    <row r="131" spans="1:6">
      <c r="A131" s="1277" t="s">
        <v>296</v>
      </c>
      <c r="B131" s="333">
        <v>3</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234494.84588321255</v>
      </c>
      <c r="C3" s="43" t="s">
        <v>170</v>
      </c>
      <c r="D3" s="43"/>
      <c r="E3" s="156"/>
      <c r="F3" s="43"/>
      <c r="G3" s="43"/>
      <c r="H3" s="43"/>
      <c r="I3" s="43"/>
      <c r="J3" s="43"/>
      <c r="K3" s="96"/>
    </row>
    <row r="4" spans="1:11">
      <c r="A4" s="364" t="s">
        <v>171</v>
      </c>
      <c r="B4" s="49">
        <f>IF(ISERROR('SEAP template'!B78+'SEAP template'!C78),0,'SEAP template'!B78+'SEAP template'!C78)</f>
        <v>10575.823913677648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0.21103279975677244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7270.7142857142862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2933.7640000000001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2933.7640000000001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0.21103279975677244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619.1204307456278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60938.385533674904</v>
      </c>
      <c r="C5" s="17">
        <f>IF(ISERROR('Eigen informatie GS &amp; warmtenet'!B57),0,'Eigen informatie GS &amp; warmtenet'!B57)</f>
        <v>0</v>
      </c>
      <c r="D5" s="30">
        <f>(SUM(HH_hh_gas_kWh,HH_rest_gas_kWh)/1000)*0.902</f>
        <v>160618.58785597759</v>
      </c>
      <c r="E5" s="17">
        <f>B46*B57</f>
        <v>3713.7397731821111</v>
      </c>
      <c r="F5" s="17">
        <f>B51*B62</f>
        <v>18679.485121032885</v>
      </c>
      <c r="G5" s="18"/>
      <c r="H5" s="17"/>
      <c r="I5" s="17"/>
      <c r="J5" s="17">
        <f>B50*B61+C50*C61</f>
        <v>1084.3326279149289</v>
      </c>
      <c r="K5" s="17"/>
      <c r="L5" s="17"/>
      <c r="M5" s="17"/>
      <c r="N5" s="17">
        <f>B48*B59+C48*C59</f>
        <v>13919.81774371211</v>
      </c>
      <c r="O5" s="17">
        <f>B69*B70*B71</f>
        <v>82.856666666666683</v>
      </c>
      <c r="P5" s="17">
        <f>B77*B78*B79/1000-B77*B78*B79/1000/B80</f>
        <v>228.8</v>
      </c>
    </row>
    <row r="6" spans="1:16">
      <c r="A6" s="16" t="s">
        <v>632</v>
      </c>
      <c r="B6" s="779">
        <f>kWh_PV_kleiner_dan_10kW</f>
        <v>1530.0901521740795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62468.475685848985</v>
      </c>
      <c r="C8" s="21">
        <f>C5</f>
        <v>0</v>
      </c>
      <c r="D8" s="21">
        <f>D5</f>
        <v>160618.58785597759</v>
      </c>
      <c r="E8" s="21">
        <f>E5</f>
        <v>3713.7397731821111</v>
      </c>
      <c r="F8" s="21">
        <f>F5</f>
        <v>18679.485121032885</v>
      </c>
      <c r="G8" s="21"/>
      <c r="H8" s="21"/>
      <c r="I8" s="21"/>
      <c r="J8" s="21">
        <f>J5</f>
        <v>1084.3326279149289</v>
      </c>
      <c r="K8" s="21"/>
      <c r="L8" s="21">
        <f>L5</f>
        <v>0</v>
      </c>
      <c r="M8" s="21">
        <f>M5</f>
        <v>0</v>
      </c>
      <c r="N8" s="21">
        <f>N5</f>
        <v>13919.81774371211</v>
      </c>
      <c r="O8" s="21">
        <f>O5</f>
        <v>82.856666666666683</v>
      </c>
      <c r="P8" s="21">
        <f>P5</f>
        <v>228.8</v>
      </c>
    </row>
    <row r="9" spans="1:16">
      <c r="B9" s="19"/>
      <c r="C9" s="19"/>
      <c r="D9" s="260"/>
      <c r="E9" s="19"/>
      <c r="F9" s="19"/>
      <c r="G9" s="19"/>
      <c r="H9" s="19"/>
      <c r="I9" s="19"/>
      <c r="J9" s="19"/>
      <c r="K9" s="19"/>
      <c r="L9" s="19"/>
      <c r="M9" s="19"/>
      <c r="N9" s="19"/>
      <c r="O9" s="19"/>
      <c r="P9" s="19"/>
    </row>
    <row r="10" spans="1:16">
      <c r="A10" s="24" t="s">
        <v>214</v>
      </c>
      <c r="B10" s="25">
        <f ca="1">'EF ele_warmte'!B12</f>
        <v>0.21103279975677244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13182.897320522578</v>
      </c>
      <c r="C12" s="23">
        <f ca="1">C10*C8</f>
        <v>0</v>
      </c>
      <c r="D12" s="23">
        <f>D8*D10</f>
        <v>32444.954746907475</v>
      </c>
      <c r="E12" s="23">
        <f>E10*E8</f>
        <v>843.01892851233924</v>
      </c>
      <c r="F12" s="23">
        <f>F10*F8</f>
        <v>4987.4225273157808</v>
      </c>
      <c r="G12" s="23"/>
      <c r="H12" s="23"/>
      <c r="I12" s="23"/>
      <c r="J12" s="23">
        <f>J10*J8</f>
        <v>383.8537502818848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8417</v>
      </c>
      <c r="C18" s="167" t="s">
        <v>111</v>
      </c>
      <c r="D18" s="229"/>
      <c r="E18" s="15"/>
    </row>
    <row r="19" spans="1:7">
      <c r="A19" s="172" t="s">
        <v>72</v>
      </c>
      <c r="B19" s="37">
        <f>aantalw2001_ander</f>
        <v>12</v>
      </c>
      <c r="C19" s="167" t="s">
        <v>111</v>
      </c>
      <c r="D19" s="230"/>
      <c r="E19" s="15"/>
    </row>
    <row r="20" spans="1:7">
      <c r="A20" s="172" t="s">
        <v>73</v>
      </c>
      <c r="B20" s="37">
        <f>aantalw2001_propaan</f>
        <v>88</v>
      </c>
      <c r="C20" s="168">
        <f>IF(ISERROR(B20/SUM($B$20,$B$21,$B$22)*100),0,B20/SUM($B$20,$B$21,$B$22)*100)</f>
        <v>5.3462940461725399</v>
      </c>
      <c r="D20" s="230"/>
      <c r="E20" s="15"/>
    </row>
    <row r="21" spans="1:7">
      <c r="A21" s="172" t="s">
        <v>74</v>
      </c>
      <c r="B21" s="37">
        <f>aantalw2001_elektriciteit</f>
        <v>1444</v>
      </c>
      <c r="C21" s="168">
        <f>IF(ISERROR(B21/SUM($B$20,$B$21,$B$22)*100),0,B21/SUM($B$20,$B$21,$B$22)*100)</f>
        <v>87.727825030376678</v>
      </c>
      <c r="D21" s="230"/>
      <c r="E21" s="15"/>
    </row>
    <row r="22" spans="1:7">
      <c r="A22" s="172" t="s">
        <v>75</v>
      </c>
      <c r="B22" s="37">
        <f>aantalw2001_hout</f>
        <v>114</v>
      </c>
      <c r="C22" s="168">
        <f>IF(ISERROR(B22/SUM($B$20,$B$21,$B$22)*100),0,B22/SUM($B$20,$B$21,$B$22)*100)</f>
        <v>6.9258809234507908</v>
      </c>
      <c r="D22" s="230"/>
      <c r="E22" s="15"/>
    </row>
    <row r="23" spans="1:7">
      <c r="A23" s="172" t="s">
        <v>76</v>
      </c>
      <c r="B23" s="37">
        <f>aantalw2001_niet_gespec</f>
        <v>218</v>
      </c>
      <c r="C23" s="167" t="s">
        <v>111</v>
      </c>
      <c r="D23" s="229"/>
      <c r="E23" s="15"/>
    </row>
    <row r="24" spans="1:7">
      <c r="A24" s="172" t="s">
        <v>77</v>
      </c>
      <c r="B24" s="37">
        <f>aantalw2001_steenkool</f>
        <v>298</v>
      </c>
      <c r="C24" s="167" t="s">
        <v>111</v>
      </c>
      <c r="D24" s="230"/>
      <c r="E24" s="15"/>
    </row>
    <row r="25" spans="1:7">
      <c r="A25" s="172" t="s">
        <v>78</v>
      </c>
      <c r="B25" s="37">
        <f>aantalw2001_stookolie</f>
        <v>3161</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15265</v>
      </c>
      <c r="C28" s="36"/>
      <c r="D28" s="229"/>
    </row>
    <row r="29" spans="1:7" s="15" customFormat="1">
      <c r="A29" s="231" t="s">
        <v>713</v>
      </c>
      <c r="B29" s="37">
        <f>SUM(HH_hh_gas_aantal,HH_rest_gas_aantal)</f>
        <v>11019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11019</v>
      </c>
      <c r="C32" s="168">
        <f>IF(ISERROR(B32/SUM($B$32,$B$34,$B$35,$B$36,$B$38,$B$39)*100),0,B32/SUM($B$32,$B$34,$B$35,$B$36,$B$38,$B$39)*100)</f>
        <v>72.241526257129735</v>
      </c>
      <c r="D32" s="234"/>
      <c r="G32" s="15"/>
    </row>
    <row r="33" spans="1:7">
      <c r="A33" s="172" t="s">
        <v>72</v>
      </c>
      <c r="B33" s="34" t="s">
        <v>111</v>
      </c>
      <c r="C33" s="168"/>
      <c r="D33" s="234"/>
      <c r="G33" s="15"/>
    </row>
    <row r="34" spans="1:7">
      <c r="A34" s="172" t="s">
        <v>73</v>
      </c>
      <c r="B34" s="33">
        <f>IF((($B$28-$B$32-$B$39-$B$77-$B$38)*C20/100)&lt;0,0,($B$28-$B$32-$B$39-$B$77-$B$38)*C20/100)</f>
        <v>180.54434993924667</v>
      </c>
      <c r="C34" s="168">
        <f>IF(ISERROR(B34/SUM($B$32,$B$34,$B$35,$B$36,$B$38,$B$39)*100),0,B34/SUM($B$32,$B$34,$B$35,$B$36,$B$38,$B$39)*100)</f>
        <v>1.183664524613169</v>
      </c>
      <c r="D34" s="234"/>
      <c r="G34" s="15"/>
    </row>
    <row r="35" spans="1:7">
      <c r="A35" s="172" t="s">
        <v>74</v>
      </c>
      <c r="B35" s="33">
        <f>IF((($B$28-$B$32-$B$39-$B$77-$B$38)*C21/100)&lt;0,0,($B$28-$B$32-$B$39-$B$77-$B$38)*C21/100)</f>
        <v>2962.5686512758202</v>
      </c>
      <c r="C35" s="168">
        <f>IF(ISERROR(B35/SUM($B$32,$B$34,$B$35,$B$36,$B$38,$B$39)*100),0,B35/SUM($B$32,$B$34,$B$35,$B$36,$B$38,$B$39)*100)</f>
        <v>19.422858790243364</v>
      </c>
      <c r="D35" s="234"/>
      <c r="G35" s="15"/>
    </row>
    <row r="36" spans="1:7">
      <c r="A36" s="172" t="s">
        <v>75</v>
      </c>
      <c r="B36" s="33">
        <f>IF((($B$28-$B$32-$B$39-$B$77-$B$38)*C22/100)&lt;0,0,($B$28-$B$32-$B$39-$B$77-$B$38)*C22/100)</f>
        <v>233.88699878493321</v>
      </c>
      <c r="C36" s="168">
        <f>IF(ISERROR(B36/SUM($B$32,$B$34,$B$35,$B$36,$B$38,$B$39)*100),0,B36/SUM($B$32,$B$34,$B$35,$B$36,$B$38,$B$39)*100)</f>
        <v>1.5333835887034237</v>
      </c>
      <c r="D36" s="234"/>
      <c r="G36" s="15"/>
    </row>
    <row r="37" spans="1:7">
      <c r="A37" s="172" t="s">
        <v>76</v>
      </c>
      <c r="B37" s="34" t="s">
        <v>111</v>
      </c>
      <c r="C37" s="168"/>
      <c r="D37" s="174"/>
      <c r="G37" s="15"/>
    </row>
    <row r="38" spans="1:7">
      <c r="A38" s="172" t="s">
        <v>77</v>
      </c>
      <c r="B38" s="33">
        <f>IF((B24-(B29-B18)*0.1)&lt;0,0,B24-(B29-B18)*0.1)</f>
        <v>37.800000000000011</v>
      </c>
      <c r="C38" s="168">
        <f>IF(ISERROR(B38/SUM($B$32,$B$34,$B$35,$B$36,$B$38,$B$39)*100),0,B38/SUM($B$32,$B$34,$B$35,$B$36,$B$38,$B$39)*100)</f>
        <v>0.2478201009637449</v>
      </c>
      <c r="D38" s="235"/>
      <c r="G38" s="15"/>
    </row>
    <row r="39" spans="1:7">
      <c r="A39" s="172" t="s">
        <v>78</v>
      </c>
      <c r="B39" s="33">
        <f>IF((B25-(B29-B18))&lt;0,0,B25-(B29-B18)*0.9)</f>
        <v>819.19999999999982</v>
      </c>
      <c r="C39" s="168">
        <f>IF(ISERROR(B39/SUM($B$32,$B$34,$B$35,$B$36,$B$38,$B$39)*100),0,B39/SUM($B$32,$B$34,$B$35,$B$36,$B$38,$B$39)*100)</f>
        <v>5.3707467383465541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11019</v>
      </c>
      <c r="C44" s="34" t="s">
        <v>111</v>
      </c>
      <c r="D44" s="175"/>
    </row>
    <row r="45" spans="1:7">
      <c r="A45" s="172" t="s">
        <v>72</v>
      </c>
      <c r="B45" s="33" t="str">
        <f t="shared" si="0"/>
        <v>-</v>
      </c>
      <c r="C45" s="34" t="s">
        <v>111</v>
      </c>
      <c r="D45" s="175"/>
    </row>
    <row r="46" spans="1:7">
      <c r="A46" s="172" t="s">
        <v>73</v>
      </c>
      <c r="B46" s="33">
        <f t="shared" si="0"/>
        <v>180.54434993924667</v>
      </c>
      <c r="C46" s="34" t="s">
        <v>111</v>
      </c>
      <c r="D46" s="175"/>
    </row>
    <row r="47" spans="1:7">
      <c r="A47" s="172" t="s">
        <v>74</v>
      </c>
      <c r="B47" s="33">
        <f t="shared" si="0"/>
        <v>2962.5686512758202</v>
      </c>
      <c r="C47" s="34" t="s">
        <v>111</v>
      </c>
      <c r="D47" s="175"/>
    </row>
    <row r="48" spans="1:7">
      <c r="A48" s="172" t="s">
        <v>75</v>
      </c>
      <c r="B48" s="33">
        <f t="shared" si="0"/>
        <v>233.88699878493321</v>
      </c>
      <c r="C48" s="33">
        <f>B48*10</f>
        <v>2338.8699878493321</v>
      </c>
      <c r="D48" s="235"/>
    </row>
    <row r="49" spans="1:6">
      <c r="A49" s="172" t="s">
        <v>76</v>
      </c>
      <c r="B49" s="33" t="str">
        <f t="shared" si="0"/>
        <v>-</v>
      </c>
      <c r="C49" s="34" t="s">
        <v>111</v>
      </c>
      <c r="D49" s="235"/>
    </row>
    <row r="50" spans="1:6">
      <c r="A50" s="172" t="s">
        <v>77</v>
      </c>
      <c r="B50" s="33">
        <f t="shared" si="0"/>
        <v>37.800000000000011</v>
      </c>
      <c r="C50" s="33">
        <f>B50*2</f>
        <v>75.600000000000023</v>
      </c>
      <c r="D50" s="235"/>
    </row>
    <row r="51" spans="1:6">
      <c r="A51" s="172" t="s">
        <v>78</v>
      </c>
      <c r="B51" s="33">
        <f t="shared" si="0"/>
        <v>819.19999999999982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102812.37320772681</v>
      </c>
      <c r="C5" s="17">
        <f>IF(ISERROR('Eigen informatie GS &amp; warmtenet'!B58),0,'Eigen informatie GS &amp; warmtenet'!B58)</f>
        <v>0</v>
      </c>
      <c r="D5" s="30">
        <f>SUM(D6:D12)</f>
        <v>84023.142012876575</v>
      </c>
      <c r="E5" s="17">
        <f>SUM(E6:E12)</f>
        <v>2147.8182498519523</v>
      </c>
      <c r="F5" s="17">
        <f>SUM(F6:F12)</f>
        <v>20727.980690110588</v>
      </c>
      <c r="G5" s="18"/>
      <c r="H5" s="17"/>
      <c r="I5" s="17"/>
      <c r="J5" s="17">
        <f>SUM(J6:J12)</f>
        <v>0</v>
      </c>
      <c r="K5" s="17"/>
      <c r="L5" s="17"/>
      <c r="M5" s="17"/>
      <c r="N5" s="17">
        <f>SUM(N6:N12)</f>
        <v>2648.0002312680276</v>
      </c>
      <c r="O5" s="17">
        <f>B38*B39*B40</f>
        <v>0</v>
      </c>
      <c r="P5" s="17">
        <f>B46*B47*B48/1000-B46*B47*B48/1000/B49</f>
        <v>57.2</v>
      </c>
      <c r="R5" s="32"/>
    </row>
    <row r="6" spans="1:18">
      <c r="A6" s="32" t="s">
        <v>54</v>
      </c>
      <c r="B6" s="37">
        <f>B26</f>
        <v>6319.5594667304404</v>
      </c>
      <c r="C6" s="33"/>
      <c r="D6" s="37">
        <f>IF(ISERROR(TER_kantoor_gas_kWh/1000),0,TER_kantoor_gas_kWh/1000)*0.902</f>
        <v>7346.7618470375437</v>
      </c>
      <c r="E6" s="33">
        <f>$C$26*'E Balans VL '!I12/100/3.6*1000000</f>
        <v>221.20944088135388</v>
      </c>
      <c r="F6" s="33">
        <f>$C$26*('E Balans VL '!L12+'E Balans VL '!N12)/100/3.6*1000000</f>
        <v>958.18089476854709</v>
      </c>
      <c r="G6" s="34"/>
      <c r="H6" s="33"/>
      <c r="I6" s="33"/>
      <c r="J6" s="33">
        <f>$C$26*('E Balans VL '!D12+'E Balans VL '!E12)/100/3.6*1000000</f>
        <v>0</v>
      </c>
      <c r="K6" s="33"/>
      <c r="L6" s="33"/>
      <c r="M6" s="33"/>
      <c r="N6" s="33">
        <f>$C$26*'E Balans VL '!Y12/100/3.6*1000000</f>
        <v>48.848216710149345</v>
      </c>
      <c r="O6" s="33"/>
      <c r="P6" s="33"/>
      <c r="R6" s="32"/>
    </row>
    <row r="7" spans="1:18">
      <c r="A7" s="32" t="s">
        <v>53</v>
      </c>
      <c r="B7" s="37">
        <f t="shared" ref="B7:B12" si="0">B27</f>
        <v>5425.1597489932701</v>
      </c>
      <c r="C7" s="33"/>
      <c r="D7" s="37">
        <f>IF(ISERROR(TER_horeca_gas_kWh/1000),0,TER_horeca_gas_kWh/1000)*0.902</f>
        <v>8449.2284372958129</v>
      </c>
      <c r="E7" s="33">
        <f>$C$27*'E Balans VL '!I9/100/3.6*1000000</f>
        <v>306.05114689953211</v>
      </c>
      <c r="F7" s="33">
        <f>$C$27*('E Balans VL '!L9+'E Balans VL '!N9)/100/3.6*1000000</f>
        <v>945.09285149415859</v>
      </c>
      <c r="G7" s="34"/>
      <c r="H7" s="33"/>
      <c r="I7" s="33"/>
      <c r="J7" s="33">
        <f>$C$27*('E Balans VL '!D9+'E Balans VL '!E9)/100/3.6*1000000</f>
        <v>0</v>
      </c>
      <c r="K7" s="33"/>
      <c r="L7" s="33"/>
      <c r="M7" s="33"/>
      <c r="N7" s="33">
        <f>$C$27*'E Balans VL '!Y9/100/3.6*1000000</f>
        <v>0</v>
      </c>
      <c r="O7" s="33"/>
      <c r="P7" s="33"/>
      <c r="R7" s="32"/>
    </row>
    <row r="8" spans="1:18">
      <c r="A8" s="6" t="s">
        <v>52</v>
      </c>
      <c r="B8" s="37">
        <f t="shared" si="0"/>
        <v>11800.407259842799</v>
      </c>
      <c r="C8" s="33"/>
      <c r="D8" s="37">
        <f>IF(ISERROR(TER_handel_gas_kWh/1000),0,TER_handel_gas_kWh/1000)*0.902</f>
        <v>40136.63841732109</v>
      </c>
      <c r="E8" s="33">
        <f>$C$28*'E Balans VL '!I13/100/3.6*1000000</f>
        <v>60.582091968043471</v>
      </c>
      <c r="F8" s="33">
        <f>$C$28*('E Balans VL '!L13+'E Balans VL '!N13)/100/3.6*1000000</f>
        <v>1819.4404644580889</v>
      </c>
      <c r="G8" s="34"/>
      <c r="H8" s="33"/>
      <c r="I8" s="33"/>
      <c r="J8" s="33">
        <f>$C$28*('E Balans VL '!D13+'E Balans VL '!E13)/100/3.6*1000000</f>
        <v>0</v>
      </c>
      <c r="K8" s="33"/>
      <c r="L8" s="33"/>
      <c r="M8" s="33"/>
      <c r="N8" s="33">
        <f>$C$28*'E Balans VL '!Y13/100/3.6*1000000</f>
        <v>5.5191945187878586</v>
      </c>
      <c r="O8" s="33"/>
      <c r="P8" s="33"/>
      <c r="R8" s="32"/>
    </row>
    <row r="9" spans="1:18">
      <c r="A9" s="32" t="s">
        <v>51</v>
      </c>
      <c r="B9" s="37">
        <f t="shared" si="0"/>
        <v>3025.0913455466102</v>
      </c>
      <c r="C9" s="33"/>
      <c r="D9" s="37">
        <f>IF(ISERROR(TER_gezond_gas_kWh/1000),0,TER_gezond_gas_kWh/1000)*0.902</f>
        <v>4176.7206551355785</v>
      </c>
      <c r="E9" s="33">
        <f>$C$29*'E Balans VL '!I10/100/3.6*1000000</f>
        <v>1.2538788188006365</v>
      </c>
      <c r="F9" s="33">
        <f>$C$29*('E Balans VL '!L10+'E Balans VL '!N10)/100/3.6*1000000</f>
        <v>745.03661281092036</v>
      </c>
      <c r="G9" s="34"/>
      <c r="H9" s="33"/>
      <c r="I9" s="33"/>
      <c r="J9" s="33">
        <f>$C$29*('E Balans VL '!D10+'E Balans VL '!E10)/100/3.6*1000000</f>
        <v>0</v>
      </c>
      <c r="K9" s="33"/>
      <c r="L9" s="33"/>
      <c r="M9" s="33"/>
      <c r="N9" s="33">
        <f>$C$29*'E Balans VL '!Y10/100/3.6*1000000</f>
        <v>26.144276705095848</v>
      </c>
      <c r="O9" s="33"/>
      <c r="P9" s="33"/>
      <c r="R9" s="32"/>
    </row>
    <row r="10" spans="1:18">
      <c r="A10" s="32" t="s">
        <v>50</v>
      </c>
      <c r="B10" s="37">
        <f t="shared" si="0"/>
        <v>2258.07847417741</v>
      </c>
      <c r="C10" s="33"/>
      <c r="D10" s="37">
        <f>IF(ISERROR(TER_ander_gas_kWh/1000),0,TER_ander_gas_kWh/1000)*0.902</f>
        <v>2650.9974021095509</v>
      </c>
      <c r="E10" s="33">
        <f>$C$30*'E Balans VL '!I14/100/3.6*1000000</f>
        <v>13.765302091472508</v>
      </c>
      <c r="F10" s="33">
        <f>$C$30*('E Balans VL '!L14+'E Balans VL '!N14)/100/3.6*1000000</f>
        <v>598.64753567073967</v>
      </c>
      <c r="G10" s="34"/>
      <c r="H10" s="33"/>
      <c r="I10" s="33"/>
      <c r="J10" s="33">
        <f>$C$30*('E Balans VL '!D14+'E Balans VL '!E14)/100/3.6*1000000</f>
        <v>0</v>
      </c>
      <c r="K10" s="33"/>
      <c r="L10" s="33"/>
      <c r="M10" s="33"/>
      <c r="N10" s="33">
        <f>$C$30*'E Balans VL '!Y14/100/3.6*1000000</f>
        <v>520.43829481347223</v>
      </c>
      <c r="O10" s="33"/>
      <c r="P10" s="33"/>
      <c r="R10" s="32"/>
    </row>
    <row r="11" spans="1:18">
      <c r="A11" s="32" t="s">
        <v>55</v>
      </c>
      <c r="B11" s="37">
        <f t="shared" si="0"/>
        <v>2020.01820382197</v>
      </c>
      <c r="C11" s="33"/>
      <c r="D11" s="37">
        <f>IF(ISERROR(TER_onderwijs_gas_kWh/1000),0,TER_onderwijs_gas_kWh/1000)*0.902</f>
        <v>6773.8220611339812</v>
      </c>
      <c r="E11" s="33">
        <f>$C$31*'E Balans VL '!I11/100/3.6*1000000</f>
        <v>1.5393590547714076</v>
      </c>
      <c r="F11" s="33">
        <f>$C$31*('E Balans VL '!L11+'E Balans VL '!N11)/100/3.6*1000000</f>
        <v>1461.7958738892003</v>
      </c>
      <c r="G11" s="34"/>
      <c r="H11" s="33"/>
      <c r="I11" s="33"/>
      <c r="J11" s="33">
        <f>$C$31*('E Balans VL '!D11+'E Balans VL '!E11)/100/3.6*1000000</f>
        <v>0</v>
      </c>
      <c r="K11" s="33"/>
      <c r="L11" s="33"/>
      <c r="M11" s="33"/>
      <c r="N11" s="33">
        <f>$C$31*'E Balans VL '!Y11/100/3.6*1000000</f>
        <v>5.9534764222169407</v>
      </c>
      <c r="O11" s="33"/>
      <c r="P11" s="33"/>
      <c r="R11" s="32"/>
    </row>
    <row r="12" spans="1:18">
      <c r="A12" s="32" t="s">
        <v>260</v>
      </c>
      <c r="B12" s="37">
        <f t="shared" si="0"/>
        <v>71964.058708614306</v>
      </c>
      <c r="C12" s="33"/>
      <c r="D12" s="37">
        <f>IF(ISERROR(TER_rest_gas_kWh/1000),0,TER_rest_gas_kWh/1000)*0.902</f>
        <v>14488.97319284303</v>
      </c>
      <c r="E12" s="33">
        <f>$C$32*'E Balans VL '!I8/100/3.6*1000000</f>
        <v>1543.4170301379781</v>
      </c>
      <c r="F12" s="33">
        <f>$C$32*('E Balans VL '!L8+'E Balans VL '!N8)/100/3.6*1000000</f>
        <v>14199.786457018932</v>
      </c>
      <c r="G12" s="34"/>
      <c r="H12" s="33"/>
      <c r="I12" s="33"/>
      <c r="J12" s="33">
        <f>$C$32*('E Balans VL '!D8+'E Balans VL '!E8)/100/3.6*1000000</f>
        <v>0</v>
      </c>
      <c r="K12" s="33"/>
      <c r="L12" s="33"/>
      <c r="M12" s="33"/>
      <c r="N12" s="33">
        <f>$C$32*'E Balans VL '!Y8/100/3.6*1000000</f>
        <v>2041.0967720983056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102812.37320772681</v>
      </c>
      <c r="C16" s="21">
        <f ca="1">C5+C13+C14</f>
        <v>0</v>
      </c>
      <c r="D16" s="21">
        <f t="shared" ref="D16:N16" ca="1" si="1">MAX((D5+D13+D14),0)</f>
        <v>84023.142012876575</v>
      </c>
      <c r="E16" s="21">
        <f t="shared" si="1"/>
        <v>2147.8182498519523</v>
      </c>
      <c r="F16" s="21">
        <f t="shared" ca="1" si="1"/>
        <v>20727.980690110588</v>
      </c>
      <c r="G16" s="21">
        <f t="shared" si="1"/>
        <v>0</v>
      </c>
      <c r="H16" s="21">
        <f t="shared" si="1"/>
        <v>0</v>
      </c>
      <c r="I16" s="21">
        <f t="shared" si="1"/>
        <v>0</v>
      </c>
      <c r="J16" s="21">
        <f t="shared" si="1"/>
        <v>0</v>
      </c>
      <c r="K16" s="21">
        <f t="shared" si="1"/>
        <v>0</v>
      </c>
      <c r="L16" s="21">
        <f t="shared" ca="1" si="1"/>
        <v>0</v>
      </c>
      <c r="M16" s="21">
        <f t="shared" si="1"/>
        <v>0</v>
      </c>
      <c r="N16" s="21">
        <f t="shared" ca="1" si="1"/>
        <v>2648.0002312680276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0.21103279975677244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21696.782967664767</v>
      </c>
      <c r="C20" s="23">
        <f t="shared" ref="C20:P20" ca="1" si="2">C16*C18</f>
        <v>0</v>
      </c>
      <c r="D20" s="23">
        <f t="shared" ca="1" si="2"/>
        <v>16972.674686601069</v>
      </c>
      <c r="E20" s="23">
        <f t="shared" si="2"/>
        <v>487.55474271639321</v>
      </c>
      <c r="F20" s="23">
        <f t="shared" ca="1" si="2"/>
        <v>5534.3708442595271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6319.5594667304404</v>
      </c>
      <c r="C26" s="39">
        <f>IF(ISERROR(B26*3.6/1000000/'E Balans VL '!Z12*100),0,B26*3.6/1000000/'E Balans VL '!Z12*100)</f>
        <v>0.13298464877683655</v>
      </c>
      <c r="D26" s="238" t="s">
        <v>719</v>
      </c>
      <c r="F26" s="6"/>
    </row>
    <row r="27" spans="1:18">
      <c r="A27" s="232" t="s">
        <v>53</v>
      </c>
      <c r="B27" s="33">
        <f>IF(ISERROR(TER_horeca_ele_kWh/1000),0,TER_horeca_ele_kWh/1000)</f>
        <v>5425.1597489932701</v>
      </c>
      <c r="C27" s="39">
        <f>IF(ISERROR(B27*3.6/1000000/'E Balans VL '!Z9*100),0,B27*3.6/1000000/'E Balans VL '!Z9*100)</f>
        <v>0.45933303138953974</v>
      </c>
      <c r="D27" s="238" t="s">
        <v>719</v>
      </c>
      <c r="F27" s="6"/>
    </row>
    <row r="28" spans="1:18">
      <c r="A28" s="172" t="s">
        <v>52</v>
      </c>
      <c r="B28" s="33">
        <f>IF(ISERROR(TER_handel_ele_kWh/1000),0,TER_handel_ele_kWh/1000)</f>
        <v>11800.407259842799</v>
      </c>
      <c r="C28" s="39">
        <f>IF(ISERROR(B28*3.6/1000000/'E Balans VL '!Z13*100),0,B28*3.6/1000000/'E Balans VL '!Z13*100)</f>
        <v>0.32669264323969299</v>
      </c>
      <c r="D28" s="238" t="s">
        <v>719</v>
      </c>
      <c r="F28" s="6"/>
    </row>
    <row r="29" spans="1:18">
      <c r="A29" s="232" t="s">
        <v>51</v>
      </c>
      <c r="B29" s="33">
        <f>IF(ISERROR(TER_gezond_ele_kWh/1000),0,TER_gezond_ele_kWh/1000)</f>
        <v>3025.0913455466102</v>
      </c>
      <c r="C29" s="39">
        <f>IF(ISERROR(B29*3.6/1000000/'E Balans VL '!Z10*100),0,B29*3.6/1000000/'E Balans VL '!Z10*100)</f>
        <v>0.39322833787341888</v>
      </c>
      <c r="D29" s="238" t="s">
        <v>719</v>
      </c>
      <c r="F29" s="6"/>
    </row>
    <row r="30" spans="1:18">
      <c r="A30" s="232" t="s">
        <v>50</v>
      </c>
      <c r="B30" s="33">
        <f>IF(ISERROR(TER_ander_ele_kWh/1000),0,TER_ander_ele_kWh/1000)</f>
        <v>2258.07847417741</v>
      </c>
      <c r="C30" s="39">
        <f>IF(ISERROR(B30*3.6/1000000/'E Balans VL '!Z14*100),0,B30*3.6/1000000/'E Balans VL '!Z14*100)</f>
        <v>0.17502178991027503</v>
      </c>
      <c r="D30" s="238" t="s">
        <v>719</v>
      </c>
      <c r="F30" s="6"/>
    </row>
    <row r="31" spans="1:18">
      <c r="A31" s="232" t="s">
        <v>55</v>
      </c>
      <c r="B31" s="33">
        <f>IF(ISERROR(TER_onderwijs_ele_kWh/1000),0,TER_onderwijs_ele_kWh/1000)</f>
        <v>2020.01820382197</v>
      </c>
      <c r="C31" s="39">
        <f>IF(ISERROR(B31*3.6/1000000/'E Balans VL '!Z11*100),0,B31*3.6/1000000/'E Balans VL '!Z11*100)</f>
        <v>0.38646390277292697</v>
      </c>
      <c r="D31" s="238" t="s">
        <v>719</v>
      </c>
    </row>
    <row r="32" spans="1:18">
      <c r="A32" s="232" t="s">
        <v>260</v>
      </c>
      <c r="B32" s="33">
        <f>IF(ISERROR(TER_rest_ele_kWh/1000),0,TER_rest_ele_kWh/1000)</f>
        <v>71964.058708614306</v>
      </c>
      <c r="C32" s="39">
        <f>IF(ISERROR(B32*3.6/1000000/'E Balans VL '!Z8*100),0,B32*3.6/1000000/'E Balans VL '!Z8*100)</f>
        <v>0.59339892637320146</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61049.734915125235</v>
      </c>
      <c r="C5" s="17">
        <f>IF(ISERROR('Eigen informatie GS &amp; warmtenet'!B59),0,'Eigen informatie GS &amp; warmtenet'!B59)</f>
        <v>0</v>
      </c>
      <c r="D5" s="30">
        <f>SUM(D6:D15)</f>
        <v>33696.720649637791</v>
      </c>
      <c r="E5" s="17">
        <f>SUM(E6:E15)</f>
        <v>724.39085549465472</v>
      </c>
      <c r="F5" s="17">
        <f>SUM(F6:F15)</f>
        <v>25165.990697362118</v>
      </c>
      <c r="G5" s="18"/>
      <c r="H5" s="17"/>
      <c r="I5" s="17"/>
      <c r="J5" s="17">
        <f>SUM(J6:J15)</f>
        <v>266.47120052677627</v>
      </c>
      <c r="K5" s="17"/>
      <c r="L5" s="17"/>
      <c r="M5" s="17"/>
      <c r="N5" s="17">
        <f>SUM(N6:N15)</f>
        <v>2346.5435346363997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401.52449395121602</v>
      </c>
      <c r="C8" s="33"/>
      <c r="D8" s="37">
        <f>IF( ISERROR(IND_metaal_Gas_kWH/1000),0,IND_metaal_Gas_kWH/1000)*0.902</f>
        <v>471.64543325017365</v>
      </c>
      <c r="E8" s="33">
        <f>C30*'E Balans VL '!I18/100/3.6*1000000</f>
        <v>2.821424026634177</v>
      </c>
      <c r="F8" s="33">
        <f>C30*'E Balans VL '!L18/100/3.6*1000000+C30*'E Balans VL '!N18/100/3.6*1000000</f>
        <v>44.085040286330546</v>
      </c>
      <c r="G8" s="34"/>
      <c r="H8" s="33"/>
      <c r="I8" s="33"/>
      <c r="J8" s="40">
        <f>C30*'E Balans VL '!D18/100/3.6*1000000+C30*'E Balans VL '!E18/100/3.6*1000000</f>
        <v>8.2843157528042699</v>
      </c>
      <c r="K8" s="33"/>
      <c r="L8" s="33"/>
      <c r="M8" s="33"/>
      <c r="N8" s="33">
        <f>C30*'E Balans VL '!Y18/100/3.6*1000000</f>
        <v>1.5049427210921944</v>
      </c>
      <c r="O8" s="33"/>
      <c r="P8" s="33"/>
      <c r="R8" s="32"/>
    </row>
    <row r="9" spans="1:18">
      <c r="A9" s="6" t="s">
        <v>33</v>
      </c>
      <c r="B9" s="37">
        <f t="shared" si="0"/>
        <v>22376.765026149798</v>
      </c>
      <c r="C9" s="33"/>
      <c r="D9" s="37">
        <f>IF( ISERROR(IND_andere_gas_kWh/1000),0,IND_andere_gas_kWh/1000)*0.902</f>
        <v>1085.6901099976149</v>
      </c>
      <c r="E9" s="33">
        <f>C31*'E Balans VL '!I19/100/3.6*1000000</f>
        <v>375.84518102657256</v>
      </c>
      <c r="F9" s="33">
        <f>C31*'E Balans VL '!L19/100/3.6*1000000+C31*'E Balans VL '!N19/100/3.6*1000000</f>
        <v>17492.880412070757</v>
      </c>
      <c r="G9" s="34"/>
      <c r="H9" s="33"/>
      <c r="I9" s="33"/>
      <c r="J9" s="40">
        <f>C31*'E Balans VL '!D19/100/3.6*1000000+C31*'E Balans VL '!E19/100/3.6*1000000</f>
        <v>2.0181866770407022</v>
      </c>
      <c r="K9" s="33"/>
      <c r="L9" s="33"/>
      <c r="M9" s="33"/>
      <c r="N9" s="33">
        <f>C31*'E Balans VL '!Y19/100/3.6*1000000</f>
        <v>1658.4772920268497</v>
      </c>
      <c r="O9" s="33"/>
      <c r="P9" s="33"/>
      <c r="R9" s="32"/>
    </row>
    <row r="10" spans="1:18">
      <c r="A10" s="6" t="s">
        <v>41</v>
      </c>
      <c r="B10" s="37">
        <f t="shared" si="0"/>
        <v>498.22553592522701</v>
      </c>
      <c r="C10" s="33"/>
      <c r="D10" s="37">
        <f>IF( ISERROR(IND_voed_gas_kWh/1000),0,IND_voed_gas_kWh/1000)*0.902</f>
        <v>618.14611515216075</v>
      </c>
      <c r="E10" s="33">
        <f>C32*'E Balans VL '!I20/100/3.6*1000000</f>
        <v>4.5456027521702724</v>
      </c>
      <c r="F10" s="33">
        <f>C32*'E Balans VL '!L20/100/3.6*1000000+C32*'E Balans VL '!N20/100/3.6*1000000</f>
        <v>80.379362527519845</v>
      </c>
      <c r="G10" s="34"/>
      <c r="H10" s="33"/>
      <c r="I10" s="33"/>
      <c r="J10" s="40">
        <f>C32*'E Balans VL '!D20/100/3.6*1000000+C32*'E Balans VL '!E20/100/3.6*1000000</f>
        <v>2.0520194094130768</v>
      </c>
      <c r="K10" s="33"/>
      <c r="L10" s="33"/>
      <c r="M10" s="33"/>
      <c r="N10" s="33">
        <f>C32*'E Balans VL '!Y20/100/3.6*1000000</f>
        <v>7.2886467287249062</v>
      </c>
      <c r="O10" s="33"/>
      <c r="P10" s="33"/>
      <c r="R10" s="32"/>
    </row>
    <row r="11" spans="1:18">
      <c r="A11" s="6" t="s">
        <v>40</v>
      </c>
      <c r="B11" s="37">
        <f t="shared" si="0"/>
        <v>15.380076032294101</v>
      </c>
      <c r="C11" s="33"/>
      <c r="D11" s="37">
        <f>IF( ISERROR(IND_textiel_gas_kWh/1000),0,IND_textiel_gas_kWh/1000)*0.902</f>
        <v>0</v>
      </c>
      <c r="E11" s="33">
        <f>C33*'E Balans VL '!I21/100/3.6*1000000</f>
        <v>3.5079100547534492E-2</v>
      </c>
      <c r="F11" s="33">
        <f>C33*'E Balans VL '!L21/100/3.6*1000000+C33*'E Balans VL '!N21/100/3.6*1000000</f>
        <v>0.32876339014654071</v>
      </c>
      <c r="G11" s="34"/>
      <c r="H11" s="33"/>
      <c r="I11" s="33"/>
      <c r="J11" s="40">
        <f>C33*'E Balans VL '!D21/100/3.6*1000000+C33*'E Balans VL '!E21/100/3.6*1000000</f>
        <v>0</v>
      </c>
      <c r="K11" s="33"/>
      <c r="L11" s="33"/>
      <c r="M11" s="33"/>
      <c r="N11" s="33">
        <f>C33*'E Balans VL '!Y21/100/3.6*1000000</f>
        <v>0.10910418445402195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17.844862941292998</v>
      </c>
      <c r="C13" s="33"/>
      <c r="D13" s="37">
        <f>IF( ISERROR(IND_papier_gas_kWh/1000),0,IND_papier_gas_kWh/1000)*0.902</f>
        <v>0</v>
      </c>
      <c r="E13" s="33">
        <f>C35*'E Balans VL '!I23/100/3.6*1000000</f>
        <v>0.54903986175903374</v>
      </c>
      <c r="F13" s="33">
        <f>C35*'E Balans VL '!L23/100/3.6*1000000+C35*'E Balans VL '!N23/100/3.6*1000000</f>
        <v>3.789088043550096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37739.994920125406</v>
      </c>
      <c r="C15" s="33"/>
      <c r="D15" s="37">
        <f>IF( ISERROR(IND_rest_gas_kWh/1000),0,IND_rest_gas_kWh/1000)*0.902</f>
        <v>31521.238991237846</v>
      </c>
      <c r="E15" s="33">
        <f>C37*'E Balans VL '!I15/100/3.6*1000000</f>
        <v>340.59452872697108</v>
      </c>
      <c r="F15" s="33">
        <f>C37*'E Balans VL '!L15/100/3.6*1000000+C37*'E Balans VL '!N15/100/3.6*1000000</f>
        <v>7544.5280310438156</v>
      </c>
      <c r="G15" s="34"/>
      <c r="H15" s="33"/>
      <c r="I15" s="33"/>
      <c r="J15" s="40">
        <f>C37*'E Balans VL '!D15/100/3.6*1000000+C37*'E Balans VL '!E15/100/3.6*1000000</f>
        <v>254.11667868751823</v>
      </c>
      <c r="K15" s="33"/>
      <c r="L15" s="33"/>
      <c r="M15" s="33"/>
      <c r="N15" s="33">
        <f>C37*'E Balans VL '!Y15/100/3.6*1000000</f>
        <v>679.16354897527879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61049.734915125235</v>
      </c>
      <c r="C18" s="21">
        <f>C5+C16</f>
        <v>0</v>
      </c>
      <c r="D18" s="21">
        <f>MAX((D5+D16),0)</f>
        <v>33696.720649637791</v>
      </c>
      <c r="E18" s="21">
        <f>MAX((E5+E16),0)</f>
        <v>724.39085549465472</v>
      </c>
      <c r="F18" s="21">
        <f>MAX((F5+F16),0)</f>
        <v>25165.990697362118</v>
      </c>
      <c r="G18" s="21"/>
      <c r="H18" s="21"/>
      <c r="I18" s="21"/>
      <c r="J18" s="21">
        <f>MAX((J5+J16),0)</f>
        <v>266.47120052677627</v>
      </c>
      <c r="K18" s="21"/>
      <c r="L18" s="21">
        <f>MAX((L5+L16),0)</f>
        <v>0</v>
      </c>
      <c r="M18" s="21"/>
      <c r="N18" s="21">
        <f>MAX((N5+N16),0)</f>
        <v>2346.5435346363997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0.21103279975677244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12883.496483547662</v>
      </c>
      <c r="C22" s="23">
        <f ca="1">C18*C20</f>
        <v>0</v>
      </c>
      <c r="D22" s="23">
        <f>D18*D20</f>
        <v>6806.737571226834</v>
      </c>
      <c r="E22" s="23">
        <f>E18*E20</f>
        <v>164.43672419728662</v>
      </c>
      <c r="F22" s="23">
        <f>F18*F20</f>
        <v>6719.3195161956855</v>
      </c>
      <c r="G22" s="23"/>
      <c r="H22" s="23"/>
      <c r="I22" s="23"/>
      <c r="J22" s="23">
        <f>J18*J20</f>
        <v>94.330804986478796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401.52449395121602</v>
      </c>
      <c r="C30" s="39">
        <f>IF(ISERROR(B30*3.6/1000000/'E Balans VL '!Z18*100),0,B30*3.6/1000000/'E Balans VL '!Z18*100)</f>
        <v>2.6729730753735061E-2</v>
      </c>
      <c r="D30" s="238" t="s">
        <v>719</v>
      </c>
    </row>
    <row r="31" spans="1:18">
      <c r="A31" s="6" t="s">
        <v>33</v>
      </c>
      <c r="B31" s="37">
        <f>IF( ISERROR(IND_ander_ele_kWh/1000),0,IND_ander_ele_kWh/1000)</f>
        <v>22376.765026149798</v>
      </c>
      <c r="C31" s="39">
        <f>IF(ISERROR(B31*3.6/1000000/'E Balans VL '!Z19*100),0,B31*3.6/1000000/'E Balans VL '!Z19*100)</f>
        <v>0.99187331567870707</v>
      </c>
      <c r="D31" s="238" t="s">
        <v>719</v>
      </c>
    </row>
    <row r="32" spans="1:18">
      <c r="A32" s="172" t="s">
        <v>41</v>
      </c>
      <c r="B32" s="37">
        <f>IF( ISERROR(IND_voed_ele_kWh/1000),0,IND_voed_ele_kWh/1000)</f>
        <v>498.22553592522701</v>
      </c>
      <c r="C32" s="39">
        <f>IF(ISERROR(B32*3.6/1000000/'E Balans VL '!Z20*100),0,B32*3.6/1000000/'E Balans VL '!Z20*100)</f>
        <v>1.6642162123987406E-2</v>
      </c>
      <c r="D32" s="238" t="s">
        <v>719</v>
      </c>
    </row>
    <row r="33" spans="1:5">
      <c r="A33" s="172" t="s">
        <v>40</v>
      </c>
      <c r="B33" s="37">
        <f>IF( ISERROR(IND_textiel_ele_kWh/1000),0,IND_textiel_ele_kWh/1000)</f>
        <v>15.380076032294101</v>
      </c>
      <c r="C33" s="39">
        <f>IF(ISERROR(B33*3.6/1000000/'E Balans VL '!Z21*100),0,B33*3.6/1000000/'E Balans VL '!Z21*100)</f>
        <v>2.0248224767217193E-3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17.844862941292998</v>
      </c>
      <c r="C35" s="39">
        <f>IF(ISERROR(B35*3.6/1000000/'E Balans VL '!Z22*100),0,B35*3.6/1000000/'E Balans VL '!Z22*100)</f>
        <v>3.4706298274042261E-3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37739.994920125406</v>
      </c>
      <c r="C37" s="39">
        <f>IF(ISERROR(B37*3.6/1000000/'E Balans VL '!Z15*100),0,B37*3.6/1000000/'E Balans VL '!Z15*100)</f>
        <v>0.28072407849473796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609.81075502715601</v>
      </c>
      <c r="C5" s="17">
        <f>'Eigen informatie GS &amp; warmtenet'!B60</f>
        <v>0</v>
      </c>
      <c r="D5" s="30">
        <f>IF(ISERROR(SUM(LB_lb_gas_kWh,LB_rest_gas_kWh)/1000),0,SUM(LB_lb_gas_kWh,LB_rest_gas_kWh)/1000)*0.902</f>
        <v>1691.4226005662454</v>
      </c>
      <c r="E5" s="17">
        <f>B17*'E Balans VL '!I25/3.6*1000000/100</f>
        <v>6.3860702452891527</v>
      </c>
      <c r="F5" s="17">
        <f>B17*('E Balans VL '!L25/3.6*1000000+'E Balans VL '!N25/3.6*1000000)/100</f>
        <v>2610.4533892824488</v>
      </c>
      <c r="G5" s="18"/>
      <c r="H5" s="17"/>
      <c r="I5" s="17"/>
      <c r="J5" s="17">
        <f>('E Balans VL '!D25+'E Balans VL '!E25)/3.6*1000000*landbouw!B17/100</f>
        <v>54.4615662509675</v>
      </c>
      <c r="K5" s="17"/>
      <c r="L5" s="17">
        <f>L6*(-1)</f>
        <v>0</v>
      </c>
      <c r="M5" s="17"/>
      <c r="N5" s="17">
        <f>N6*(-1)</f>
        <v>14541.428571428572</v>
      </c>
      <c r="O5" s="17"/>
      <c r="P5" s="17"/>
      <c r="R5" s="32"/>
    </row>
    <row r="6" spans="1:18">
      <c r="A6" s="16" t="s">
        <v>496</v>
      </c>
      <c r="B6" s="17" t="s">
        <v>211</v>
      </c>
      <c r="C6" s="17">
        <f>'lokale energieproductie'!O92+'lokale energieproductie'!O61</f>
        <v>7270.7142857142862</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-14541.428571428572</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609.81075502715601</v>
      </c>
      <c r="C8" s="21">
        <f>C5+C6</f>
        <v>7270.7142857142862</v>
      </c>
      <c r="D8" s="21">
        <f>MAX((D5+D6),0)</f>
        <v>1691.4226005662454</v>
      </c>
      <c r="E8" s="21">
        <f>MAX((E5+E6),0)</f>
        <v>6.3860702452891527</v>
      </c>
      <c r="F8" s="21">
        <f>MAX((F5+F6),0)</f>
        <v>2610.4533892824488</v>
      </c>
      <c r="G8" s="21"/>
      <c r="H8" s="21"/>
      <c r="I8" s="21"/>
      <c r="J8" s="21">
        <f>MAX((J5+J6),0)</f>
        <v>54.4615662509675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0.21103279975677244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128.69007095517202</v>
      </c>
      <c r="C12" s="23">
        <f ca="1">C8*C10</f>
        <v>0</v>
      </c>
      <c r="D12" s="23">
        <f>D8*D10</f>
        <v>341.66736531438158</v>
      </c>
      <c r="E12" s="23">
        <f>E8*E10</f>
        <v>1.4496379456806376</v>
      </c>
      <c r="F12" s="23">
        <f>F8*F10</f>
        <v>696.99105493841387</v>
      </c>
      <c r="G12" s="23"/>
      <c r="H12" s="23"/>
      <c r="I12" s="23"/>
      <c r="J12" s="23">
        <f>J8*J10</f>
        <v>19.279394452842496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9.3861646721610389E-2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109.13986264860883</v>
      </c>
      <c r="C26" s="248">
        <f>B26*'GWP N2O_CH4'!B5</f>
        <v>2291.9371156207853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29.053286339740609</v>
      </c>
      <c r="C27" s="248">
        <f>B27*'GWP N2O_CH4'!B5</f>
        <v>610.1190131345528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1.4515275990060308</v>
      </c>
      <c r="C28" s="248">
        <f>B28*'GWP N2O_CH4'!B4</f>
        <v>449.97355569186954</v>
      </c>
      <c r="D28" s="50"/>
    </row>
    <row r="29" spans="1:4">
      <c r="A29" s="41" t="s">
        <v>277</v>
      </c>
      <c r="B29" s="248">
        <f>B34*'ha_N2O bodem landbouw'!B4</f>
        <v>14.719194030463253</v>
      </c>
      <c r="C29" s="248">
        <f>B29*'GWP N2O_CH4'!B4</f>
        <v>4562.9501494436081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2.4325401309646302E-3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1.7896563154533134E-5</v>
      </c>
      <c r="C5" s="446" t="s">
        <v>211</v>
      </c>
      <c r="D5" s="431">
        <f>SUM(D6:D11)</f>
        <v>9.3361411268781891E-5</v>
      </c>
      <c r="E5" s="431">
        <f>SUM(E6:E11)</f>
        <v>1.0164852280171416E-2</v>
      </c>
      <c r="F5" s="444" t="s">
        <v>211</v>
      </c>
      <c r="G5" s="431">
        <f>SUM(G6:G11)</f>
        <v>1.6593392538583918</v>
      </c>
      <c r="H5" s="431">
        <f>SUM(H6:H11)</f>
        <v>0.31487410274439226</v>
      </c>
      <c r="I5" s="446" t="s">
        <v>211</v>
      </c>
      <c r="J5" s="446" t="s">
        <v>211</v>
      </c>
      <c r="K5" s="446" t="s">
        <v>211</v>
      </c>
      <c r="L5" s="446" t="s">
        <v>211</v>
      </c>
      <c r="M5" s="431">
        <f>SUM(M6:M11)</f>
        <v>8.6221764612178384E-2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6.9494599587838154E-6</v>
      </c>
      <c r="C6" s="432"/>
      <c r="D6" s="432">
        <f>vkm_2011_GW_PW*SUMIFS(TableVerdeelsleutelVkm[CNG],TableVerdeelsleutelVkm[Voertuigtype],"Lichte voertuigen")*SUMIFS(TableECFTransport[EnergieConsumptieFactor (PJ per km)],TableECFTransport[Index],CONCATENATE($A6,"_CNG_CNG"))</f>
        <v>2.9958314077983321E-5</v>
      </c>
      <c r="E6" s="434">
        <f>vkm_2011_GW_PW*SUMIFS(TableVerdeelsleutelVkm[LPG],TableVerdeelsleutelVkm[Voertuigtype],"Lichte voertuigen")*SUMIFS(TableECFTransport[EnergieConsumptieFactor (PJ per km)],TableECFTransport[Index],CONCATENATE($A6,"_LPG_LPG"))</f>
        <v>3.1169787594570253E-3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0.3833969443891922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0.10094047031510019</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2.1225987514892353E-2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0.18445300348234048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6.3246378809436033E-5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7.9680241454401814E-3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4.4404941691547957E-6</v>
      </c>
      <c r="C8" s="432"/>
      <c r="D8" s="434">
        <f>vkm_2011_NGW_PW*SUMIFS(TableVerdeelsleutelVkm[CNG],TableVerdeelsleutelVkm[Voertuigtype],"Lichte voertuigen")*SUMIFS(TableECFTransport[EnergieConsumptieFactor (PJ per km)],TableECFTransport[Index],CONCATENATE($A8,"_CNG_CNG"))</f>
        <v>3.4342029088890501E-5</v>
      </c>
      <c r="E8" s="434">
        <f>vkm_2011_NGW_PW*SUMIFS(TableVerdeelsleutelVkm[LPG],TableVerdeelsleutelVkm[Voertuigtype],"Lichte voertuigen")*SUMIFS(TableECFTransport[EnergieConsumptieFactor (PJ per km)],TableECFTransport[Index],CONCATENATE($A8,"_LPG_LPG"))</f>
        <v>3.2624846874245834E-3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0.38061876516822352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0.11045385313032172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2.1546158851002327E-2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9.9105555100275133E-2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2.9520941254513017E-5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4.2809679001855842E-3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6.5066090265945223E-6</v>
      </c>
      <c r="C10" s="432"/>
      <c r="D10" s="434">
        <f>vkm_2011_SW_PW*SUMIFS(TableVerdeelsleutelVkm[CNG],TableVerdeelsleutelVkm[Voertuigtype],"Lichte voertuigen")*SUMIFS(TableECFTransport[EnergieConsumptieFactor (PJ per km)],TableECFTransport[Index],CONCATENATE($A10,"_CNG_CNG"))</f>
        <v>2.906106810190808E-5</v>
      </c>
      <c r="E10" s="434">
        <f>vkm_2011_SW_PW*SUMIFS(TableVerdeelsleutelVkm[LPG],TableVerdeelsleutelVkm[Voertuigtype],"Lichte voertuigen")*SUMIFS(TableECFTransport[EnergieConsumptieFactor (PJ per km)],TableECFTransport[Index],CONCATENATE($A10,"_LPG_LPG"))</f>
        <v>3.7853888332898085E-3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0.42805707047566666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0.10331980324891668</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2.3264593331920734E-2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0.18370791524269373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6.7208729989724658E-5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7.9360328687372063E-3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4.9712675429258706</v>
      </c>
      <c r="C14" s="21"/>
      <c r="D14" s="21">
        <f t="shared" ref="D14:M14" si="0">((D5)*10^9/3600)+D12</f>
        <v>25.933725352439414</v>
      </c>
      <c r="E14" s="21">
        <f t="shared" si="0"/>
        <v>2823.5700778253936</v>
      </c>
      <c r="F14" s="21"/>
      <c r="G14" s="21">
        <f t="shared" si="0"/>
        <v>460927.57051621994</v>
      </c>
      <c r="H14" s="21">
        <f t="shared" si="0"/>
        <v>87465.028540108964</v>
      </c>
      <c r="I14" s="21"/>
      <c r="J14" s="21"/>
      <c r="K14" s="21"/>
      <c r="L14" s="21"/>
      <c r="M14" s="21">
        <f t="shared" si="0"/>
        <v>23950.49017004955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0.21103279975677244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1.0491005079236173</v>
      </c>
      <c r="C18" s="23"/>
      <c r="D18" s="23">
        <f t="shared" ref="D18:M18" si="1">D14*D16</f>
        <v>5.2386125211927617</v>
      </c>
      <c r="E18" s="23">
        <f t="shared" si="1"/>
        <v>640.95040766636441</v>
      </c>
      <c r="F18" s="23"/>
      <c r="G18" s="23">
        <f t="shared" si="1"/>
        <v>123067.66132783073</v>
      </c>
      <c r="H18" s="23">
        <f t="shared" si="1"/>
        <v>21778.792106487133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1.5409512364181099E-2</v>
      </c>
      <c r="H50" s="322">
        <f t="shared" si="2"/>
        <v>0</v>
      </c>
      <c r="I50" s="322">
        <f t="shared" si="2"/>
        <v>0</v>
      </c>
      <c r="J50" s="322">
        <f t="shared" si="2"/>
        <v>0</v>
      </c>
      <c r="K50" s="322">
        <f t="shared" si="2"/>
        <v>0</v>
      </c>
      <c r="L50" s="322">
        <f t="shared" si="2"/>
        <v>0</v>
      </c>
      <c r="M50" s="322">
        <f t="shared" si="2"/>
        <v>6.5684056581966836E-4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1.5409512364181099E-2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6.5684056581966836E-4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4280.4201011614168</v>
      </c>
      <c r="H54" s="21">
        <f t="shared" si="3"/>
        <v>0</v>
      </c>
      <c r="I54" s="21">
        <f t="shared" si="3"/>
        <v>0</v>
      </c>
      <c r="J54" s="21">
        <f t="shared" si="3"/>
        <v>0</v>
      </c>
      <c r="K54" s="21">
        <f t="shared" si="3"/>
        <v>0</v>
      </c>
      <c r="L54" s="21">
        <f t="shared" si="3"/>
        <v>0</v>
      </c>
      <c r="M54" s="21">
        <f t="shared" si="3"/>
        <v>182.45571272768566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0.21103279975677244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1142.8721670100983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105746.1372077268</v>
      </c>
      <c r="D10" s="687">
        <f ca="1">tertiair!C16</f>
        <v>0</v>
      </c>
      <c r="E10" s="687">
        <f ca="1">tertiair!D16</f>
        <v>84023.142012876575</v>
      </c>
      <c r="F10" s="687">
        <f>tertiair!E16</f>
        <v>2147.8182498519523</v>
      </c>
      <c r="G10" s="687">
        <f ca="1">tertiair!F16</f>
        <v>20727.980690110588</v>
      </c>
      <c r="H10" s="687">
        <f>tertiair!G16</f>
        <v>0</v>
      </c>
      <c r="I10" s="687">
        <f>tertiair!H16</f>
        <v>0</v>
      </c>
      <c r="J10" s="687">
        <f>tertiair!I16</f>
        <v>0</v>
      </c>
      <c r="K10" s="687">
        <f>tertiair!J16</f>
        <v>0</v>
      </c>
      <c r="L10" s="687">
        <f>tertiair!K16</f>
        <v>0</v>
      </c>
      <c r="M10" s="687">
        <f ca="1">tertiair!L16</f>
        <v>0</v>
      </c>
      <c r="N10" s="687">
        <f>tertiair!M16</f>
        <v>0</v>
      </c>
      <c r="O10" s="687">
        <f ca="1">tertiair!N16</f>
        <v>2648.0002312680276</v>
      </c>
      <c r="P10" s="687">
        <f>tertiair!O16</f>
        <v>0</v>
      </c>
      <c r="Q10" s="688">
        <f>tertiair!P16</f>
        <v>57.2</v>
      </c>
      <c r="R10" s="690">
        <f ca="1">SUM(C10:Q10)</f>
        <v>215350.27839183397</v>
      </c>
      <c r="S10" s="67"/>
    </row>
    <row r="11" spans="1:19" s="456" customFormat="1">
      <c r="A11" s="802" t="s">
        <v>225</v>
      </c>
      <c r="B11" s="807"/>
      <c r="C11" s="687">
        <f>huishoudens!B8</f>
        <v>62468.475685848985</v>
      </c>
      <c r="D11" s="687">
        <f>huishoudens!C8</f>
        <v>0</v>
      </c>
      <c r="E11" s="687">
        <f>huishoudens!D8</f>
        <v>160618.58785597759</v>
      </c>
      <c r="F11" s="687">
        <f>huishoudens!E8</f>
        <v>3713.7397731821111</v>
      </c>
      <c r="G11" s="687">
        <f>huishoudens!F8</f>
        <v>18679.485121032885</v>
      </c>
      <c r="H11" s="687">
        <f>huishoudens!G8</f>
        <v>0</v>
      </c>
      <c r="I11" s="687">
        <f>huishoudens!H8</f>
        <v>0</v>
      </c>
      <c r="J11" s="687">
        <f>huishoudens!I8</f>
        <v>0</v>
      </c>
      <c r="K11" s="687">
        <f>huishoudens!J8</f>
        <v>1084.3326279149289</v>
      </c>
      <c r="L11" s="687">
        <f>huishoudens!K8</f>
        <v>0</v>
      </c>
      <c r="M11" s="687">
        <f>huishoudens!L8</f>
        <v>0</v>
      </c>
      <c r="N11" s="687">
        <f>huishoudens!M8</f>
        <v>0</v>
      </c>
      <c r="O11" s="687">
        <f>huishoudens!N8</f>
        <v>13919.81774371211</v>
      </c>
      <c r="P11" s="687">
        <f>huishoudens!O8</f>
        <v>82.856666666666683</v>
      </c>
      <c r="Q11" s="688">
        <f>huishoudens!P8</f>
        <v>228.8</v>
      </c>
      <c r="R11" s="690">
        <f>SUM(C11:Q11)</f>
        <v>260796.09547433525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61049.734915125235</v>
      </c>
      <c r="D13" s="687">
        <f>industrie!C18</f>
        <v>0</v>
      </c>
      <c r="E13" s="687">
        <f>industrie!D18</f>
        <v>33696.720649637791</v>
      </c>
      <c r="F13" s="687">
        <f>industrie!E18</f>
        <v>724.39085549465472</v>
      </c>
      <c r="G13" s="687">
        <f>industrie!F18</f>
        <v>25165.990697362118</v>
      </c>
      <c r="H13" s="687">
        <f>industrie!G18</f>
        <v>0</v>
      </c>
      <c r="I13" s="687">
        <f>industrie!H18</f>
        <v>0</v>
      </c>
      <c r="J13" s="687">
        <f>industrie!I18</f>
        <v>0</v>
      </c>
      <c r="K13" s="687">
        <f>industrie!J18</f>
        <v>266.47120052677627</v>
      </c>
      <c r="L13" s="687">
        <f>industrie!K18</f>
        <v>0</v>
      </c>
      <c r="M13" s="687">
        <f>industrie!L18</f>
        <v>0</v>
      </c>
      <c r="N13" s="687">
        <f>industrie!M18</f>
        <v>0</v>
      </c>
      <c r="O13" s="687">
        <f>industrie!N18</f>
        <v>2346.5435346363997</v>
      </c>
      <c r="P13" s="687">
        <f>industrie!O18</f>
        <v>0</v>
      </c>
      <c r="Q13" s="688">
        <f>industrie!P18</f>
        <v>0</v>
      </c>
      <c r="R13" s="690">
        <f>SUM(C13:Q13)</f>
        <v>123249.85185278296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229264.34780870104</v>
      </c>
      <c r="D16" s="720">
        <f t="shared" ref="D16:R16" ca="1" si="0">SUM(D9:D15)</f>
        <v>0</v>
      </c>
      <c r="E16" s="720">
        <f t="shared" ca="1" si="0"/>
        <v>278338.45051849197</v>
      </c>
      <c r="F16" s="720">
        <f t="shared" si="0"/>
        <v>6585.9488785287185</v>
      </c>
      <c r="G16" s="720">
        <f t="shared" ca="1" si="0"/>
        <v>64573.456508505587</v>
      </c>
      <c r="H16" s="720">
        <f t="shared" si="0"/>
        <v>0</v>
      </c>
      <c r="I16" s="720">
        <f t="shared" si="0"/>
        <v>0</v>
      </c>
      <c r="J16" s="720">
        <f t="shared" si="0"/>
        <v>0</v>
      </c>
      <c r="K16" s="720">
        <f t="shared" si="0"/>
        <v>1350.8038284417053</v>
      </c>
      <c r="L16" s="720">
        <f t="shared" si="0"/>
        <v>0</v>
      </c>
      <c r="M16" s="720">
        <f t="shared" ca="1" si="0"/>
        <v>0</v>
      </c>
      <c r="N16" s="720">
        <f t="shared" si="0"/>
        <v>0</v>
      </c>
      <c r="O16" s="720">
        <f t="shared" ca="1" si="0"/>
        <v>18914.361509616538</v>
      </c>
      <c r="P16" s="720">
        <f t="shared" si="0"/>
        <v>82.856666666666683</v>
      </c>
      <c r="Q16" s="720">
        <f t="shared" si="0"/>
        <v>286</v>
      </c>
      <c r="R16" s="720">
        <f t="shared" ca="1" si="0"/>
        <v>599396.22571895225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4280.4201011614168</v>
      </c>
      <c r="I19" s="687">
        <f>transport!H54</f>
        <v>0</v>
      </c>
      <c r="J19" s="687">
        <f>transport!I54</f>
        <v>0</v>
      </c>
      <c r="K19" s="687">
        <f>transport!J54</f>
        <v>0</v>
      </c>
      <c r="L19" s="687">
        <f>transport!K54</f>
        <v>0</v>
      </c>
      <c r="M19" s="687">
        <f>transport!L54</f>
        <v>0</v>
      </c>
      <c r="N19" s="687">
        <f>transport!M54</f>
        <v>182.45571272768566</v>
      </c>
      <c r="O19" s="687">
        <f>transport!N54</f>
        <v>0</v>
      </c>
      <c r="P19" s="687">
        <f>transport!O54</f>
        <v>0</v>
      </c>
      <c r="Q19" s="688">
        <f>transport!P54</f>
        <v>0</v>
      </c>
      <c r="R19" s="690">
        <f>SUM(C19:Q19)</f>
        <v>4462.8758138891026</v>
      </c>
      <c r="S19" s="67"/>
    </row>
    <row r="20" spans="1:19" s="456" customFormat="1">
      <c r="A20" s="802" t="s">
        <v>307</v>
      </c>
      <c r="B20" s="807"/>
      <c r="C20" s="687">
        <f>transport!B14</f>
        <v>4.9712675429258706</v>
      </c>
      <c r="D20" s="687">
        <f>transport!C14</f>
        <v>0</v>
      </c>
      <c r="E20" s="687">
        <f>transport!D14</f>
        <v>25.933725352439414</v>
      </c>
      <c r="F20" s="687">
        <f>transport!E14</f>
        <v>2823.5700778253936</v>
      </c>
      <c r="G20" s="687">
        <f>transport!F14</f>
        <v>0</v>
      </c>
      <c r="H20" s="687">
        <f>transport!G14</f>
        <v>460927.57051621994</v>
      </c>
      <c r="I20" s="687">
        <f>transport!H14</f>
        <v>87465.028540108964</v>
      </c>
      <c r="J20" s="687">
        <f>transport!I14</f>
        <v>0</v>
      </c>
      <c r="K20" s="687">
        <f>transport!J14</f>
        <v>0</v>
      </c>
      <c r="L20" s="687">
        <f>transport!K14</f>
        <v>0</v>
      </c>
      <c r="M20" s="687">
        <f>transport!L14</f>
        <v>0</v>
      </c>
      <c r="N20" s="687">
        <f>transport!M14</f>
        <v>23950.49017004955</v>
      </c>
      <c r="O20" s="687">
        <f>transport!N14</f>
        <v>0</v>
      </c>
      <c r="P20" s="687">
        <f>transport!O14</f>
        <v>0</v>
      </c>
      <c r="Q20" s="688">
        <f>transport!P14</f>
        <v>0</v>
      </c>
      <c r="R20" s="690">
        <f>SUM(C20:Q20)</f>
        <v>575197.56429709925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4.9712675429258706</v>
      </c>
      <c r="D22" s="805">
        <f t="shared" ref="D22:R22" si="1">SUM(D18:D21)</f>
        <v>0</v>
      </c>
      <c r="E22" s="805">
        <f t="shared" si="1"/>
        <v>25.933725352439414</v>
      </c>
      <c r="F22" s="805">
        <f t="shared" si="1"/>
        <v>2823.5700778253936</v>
      </c>
      <c r="G22" s="805">
        <f t="shared" si="1"/>
        <v>0</v>
      </c>
      <c r="H22" s="805">
        <f t="shared" si="1"/>
        <v>465207.99061738135</v>
      </c>
      <c r="I22" s="805">
        <f t="shared" si="1"/>
        <v>87465.028540108964</v>
      </c>
      <c r="J22" s="805">
        <f t="shared" si="1"/>
        <v>0</v>
      </c>
      <c r="K22" s="805">
        <f t="shared" si="1"/>
        <v>0</v>
      </c>
      <c r="L22" s="805">
        <f t="shared" si="1"/>
        <v>0</v>
      </c>
      <c r="M22" s="805">
        <f t="shared" si="1"/>
        <v>0</v>
      </c>
      <c r="N22" s="805">
        <f t="shared" si="1"/>
        <v>24132.945882777236</v>
      </c>
      <c r="O22" s="805">
        <f t="shared" si="1"/>
        <v>0</v>
      </c>
      <c r="P22" s="805">
        <f t="shared" si="1"/>
        <v>0</v>
      </c>
      <c r="Q22" s="805">
        <f t="shared" si="1"/>
        <v>0</v>
      </c>
      <c r="R22" s="805">
        <f t="shared" si="1"/>
        <v>579660.44011098833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609.81075502715601</v>
      </c>
      <c r="D24" s="687">
        <f>+landbouw!C8</f>
        <v>7270.7142857142862</v>
      </c>
      <c r="E24" s="687">
        <f>+landbouw!D8</f>
        <v>1691.4226005662454</v>
      </c>
      <c r="F24" s="687">
        <f>+landbouw!E8</f>
        <v>6.3860702452891527</v>
      </c>
      <c r="G24" s="687">
        <f>+landbouw!F8</f>
        <v>2610.4533892824488</v>
      </c>
      <c r="H24" s="687">
        <f>+landbouw!G8</f>
        <v>0</v>
      </c>
      <c r="I24" s="687">
        <f>+landbouw!H8</f>
        <v>0</v>
      </c>
      <c r="J24" s="687">
        <f>+landbouw!I8</f>
        <v>0</v>
      </c>
      <c r="K24" s="687">
        <f>+landbouw!J8</f>
        <v>54.4615662509675</v>
      </c>
      <c r="L24" s="687">
        <f>+landbouw!K8</f>
        <v>0</v>
      </c>
      <c r="M24" s="687">
        <f>+landbouw!L8</f>
        <v>0</v>
      </c>
      <c r="N24" s="687">
        <f>+landbouw!M8</f>
        <v>0</v>
      </c>
      <c r="O24" s="687">
        <f>+landbouw!N8</f>
        <v>0</v>
      </c>
      <c r="P24" s="687">
        <f>+landbouw!O8</f>
        <v>0</v>
      </c>
      <c r="Q24" s="688">
        <f>+landbouw!P8</f>
        <v>0</v>
      </c>
      <c r="R24" s="690">
        <f>SUM(C24:Q24)</f>
        <v>12243.248667086395</v>
      </c>
      <c r="S24" s="67"/>
    </row>
    <row r="25" spans="1:19" s="456" customFormat="1" ht="15" thickBot="1">
      <c r="A25" s="824" t="s">
        <v>925</v>
      </c>
      <c r="B25" s="988"/>
      <c r="C25" s="989">
        <f>IF(Onbekend_ele_kWh="---",0,Onbekend_ele_kWh)/1000+IF(REST_rest_ele_kWh="---",0,REST_rest_ele_kWh)/1000</f>
        <v>4615.7160519414301</v>
      </c>
      <c r="D25" s="989"/>
      <c r="E25" s="989">
        <f>IF(onbekend_gas_kWh="---",0,onbekend_gas_kWh)/1000+IF(REST_rest_gas_kWh="---",0,REST_rest_gas_kWh)/1000</f>
        <v>11728.912751477699</v>
      </c>
      <c r="F25" s="989"/>
      <c r="G25" s="989"/>
      <c r="H25" s="989"/>
      <c r="I25" s="989"/>
      <c r="J25" s="989"/>
      <c r="K25" s="989"/>
      <c r="L25" s="989"/>
      <c r="M25" s="989"/>
      <c r="N25" s="989"/>
      <c r="O25" s="989"/>
      <c r="P25" s="989"/>
      <c r="Q25" s="990"/>
      <c r="R25" s="690">
        <f>SUM(C25:Q25)</f>
        <v>16344.628803419129</v>
      </c>
      <c r="S25" s="67"/>
    </row>
    <row r="26" spans="1:19" s="456" customFormat="1" ht="15.75" thickBot="1">
      <c r="A26" s="693" t="s">
        <v>926</v>
      </c>
      <c r="B26" s="810"/>
      <c r="C26" s="805">
        <f>SUM(C24:C25)</f>
        <v>5225.5268069685862</v>
      </c>
      <c r="D26" s="805">
        <f t="shared" ref="D26:R26" si="2">SUM(D24:D25)</f>
        <v>7270.7142857142862</v>
      </c>
      <c r="E26" s="805">
        <f t="shared" si="2"/>
        <v>13420.335352043945</v>
      </c>
      <c r="F26" s="805">
        <f t="shared" si="2"/>
        <v>6.3860702452891527</v>
      </c>
      <c r="G26" s="805">
        <f t="shared" si="2"/>
        <v>2610.4533892824488</v>
      </c>
      <c r="H26" s="805">
        <f t="shared" si="2"/>
        <v>0</v>
      </c>
      <c r="I26" s="805">
        <f t="shared" si="2"/>
        <v>0</v>
      </c>
      <c r="J26" s="805">
        <f t="shared" si="2"/>
        <v>0</v>
      </c>
      <c r="K26" s="805">
        <f t="shared" si="2"/>
        <v>54.4615662509675</v>
      </c>
      <c r="L26" s="805">
        <f t="shared" si="2"/>
        <v>0</v>
      </c>
      <c r="M26" s="805">
        <f t="shared" si="2"/>
        <v>0</v>
      </c>
      <c r="N26" s="805">
        <f t="shared" si="2"/>
        <v>0</v>
      </c>
      <c r="O26" s="805">
        <f t="shared" si="2"/>
        <v>0</v>
      </c>
      <c r="P26" s="805">
        <f t="shared" si="2"/>
        <v>0</v>
      </c>
      <c r="Q26" s="805">
        <f t="shared" si="2"/>
        <v>0</v>
      </c>
      <c r="R26" s="805">
        <f t="shared" si="2"/>
        <v>28587.877470505526</v>
      </c>
      <c r="S26" s="67"/>
    </row>
    <row r="27" spans="1:19" s="456" customFormat="1" ht="17.25" thickTop="1" thickBot="1">
      <c r="A27" s="694" t="s">
        <v>116</v>
      </c>
      <c r="B27" s="797"/>
      <c r="C27" s="695">
        <f ca="1">C22+C16+C26</f>
        <v>234494.84588321255</v>
      </c>
      <c r="D27" s="695">
        <f t="shared" ref="D27:R27" ca="1" si="3">D22+D16+D26</f>
        <v>7270.7142857142862</v>
      </c>
      <c r="E27" s="695">
        <f t="shared" ca="1" si="3"/>
        <v>291784.7195958884</v>
      </c>
      <c r="F27" s="695">
        <f t="shared" si="3"/>
        <v>9415.905026599401</v>
      </c>
      <c r="G27" s="695">
        <f t="shared" ca="1" si="3"/>
        <v>67183.909897788035</v>
      </c>
      <c r="H27" s="695">
        <f t="shared" si="3"/>
        <v>465207.99061738135</v>
      </c>
      <c r="I27" s="695">
        <f t="shared" si="3"/>
        <v>87465.028540108964</v>
      </c>
      <c r="J27" s="695">
        <f t="shared" si="3"/>
        <v>0</v>
      </c>
      <c r="K27" s="695">
        <f t="shared" si="3"/>
        <v>1405.2653946926728</v>
      </c>
      <c r="L27" s="695">
        <f t="shared" si="3"/>
        <v>0</v>
      </c>
      <c r="M27" s="695">
        <f t="shared" ca="1" si="3"/>
        <v>0</v>
      </c>
      <c r="N27" s="695">
        <f t="shared" si="3"/>
        <v>24132.945882777236</v>
      </c>
      <c r="O27" s="695">
        <f t="shared" ca="1" si="3"/>
        <v>18914.361509616538</v>
      </c>
      <c r="P27" s="695">
        <f t="shared" si="3"/>
        <v>82.856666666666683</v>
      </c>
      <c r="Q27" s="695">
        <f t="shared" si="3"/>
        <v>286</v>
      </c>
      <c r="R27" s="695">
        <f t="shared" ca="1" si="3"/>
        <v>1207644.5433004461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22315.903398410395</v>
      </c>
      <c r="D40" s="687">
        <f ca="1">tertiair!C20</f>
        <v>0</v>
      </c>
      <c r="E40" s="687">
        <f ca="1">tertiair!D20</f>
        <v>16972.674686601069</v>
      </c>
      <c r="F40" s="687">
        <f>tertiair!E20</f>
        <v>487.55474271639321</v>
      </c>
      <c r="G40" s="687">
        <f ca="1">tertiair!F20</f>
        <v>5534.3708442595271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45310.50367198739</v>
      </c>
    </row>
    <row r="41" spans="1:18">
      <c r="A41" s="815" t="s">
        <v>225</v>
      </c>
      <c r="B41" s="822"/>
      <c r="C41" s="687">
        <f ca="1">huishoudens!B12</f>
        <v>13182.897320522578</v>
      </c>
      <c r="D41" s="687">
        <f ca="1">huishoudens!C12</f>
        <v>0</v>
      </c>
      <c r="E41" s="687">
        <f>huishoudens!D12</f>
        <v>32444.954746907475</v>
      </c>
      <c r="F41" s="687">
        <f>huishoudens!E12</f>
        <v>843.01892851233924</v>
      </c>
      <c r="G41" s="687">
        <f>huishoudens!F12</f>
        <v>4987.4225273157808</v>
      </c>
      <c r="H41" s="687">
        <f>huishoudens!G12</f>
        <v>0</v>
      </c>
      <c r="I41" s="687">
        <f>huishoudens!H12</f>
        <v>0</v>
      </c>
      <c r="J41" s="687">
        <f>huishoudens!I12</f>
        <v>0</v>
      </c>
      <c r="K41" s="687">
        <f>huishoudens!J12</f>
        <v>383.8537502818848</v>
      </c>
      <c r="L41" s="687">
        <f>huishoudens!K12</f>
        <v>0</v>
      </c>
      <c r="M41" s="687">
        <f>huishoudens!L12</f>
        <v>0</v>
      </c>
      <c r="N41" s="687">
        <f>huishoudens!M12</f>
        <v>0</v>
      </c>
      <c r="O41" s="687">
        <f>huishoudens!N12</f>
        <v>0</v>
      </c>
      <c r="P41" s="687">
        <f>huishoudens!O12</f>
        <v>0</v>
      </c>
      <c r="Q41" s="762">
        <f>huishoudens!P12</f>
        <v>0</v>
      </c>
      <c r="R41" s="843">
        <f t="shared" ca="1" si="4"/>
        <v>51842.14727354006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12883.496483547662</v>
      </c>
      <c r="D43" s="687">
        <f ca="1">industrie!C22</f>
        <v>0</v>
      </c>
      <c r="E43" s="687">
        <f>industrie!D22</f>
        <v>6806.737571226834</v>
      </c>
      <c r="F43" s="687">
        <f>industrie!E22</f>
        <v>164.43672419728662</v>
      </c>
      <c r="G43" s="687">
        <f>industrie!F22</f>
        <v>6719.3195161956855</v>
      </c>
      <c r="H43" s="687">
        <f>industrie!G22</f>
        <v>0</v>
      </c>
      <c r="I43" s="687">
        <f>industrie!H22</f>
        <v>0</v>
      </c>
      <c r="J43" s="687">
        <f>industrie!I22</f>
        <v>0</v>
      </c>
      <c r="K43" s="687">
        <f>industrie!J22</f>
        <v>94.330804986478796</v>
      </c>
      <c r="L43" s="687">
        <f>industrie!K22</f>
        <v>0</v>
      </c>
      <c r="M43" s="687">
        <f>industrie!L22</f>
        <v>0</v>
      </c>
      <c r="N43" s="687">
        <f>industrie!M22</f>
        <v>0</v>
      </c>
      <c r="O43" s="687">
        <f>industrie!N22</f>
        <v>0</v>
      </c>
      <c r="P43" s="687">
        <f>industrie!O22</f>
        <v>0</v>
      </c>
      <c r="Q43" s="762">
        <f>industrie!P22</f>
        <v>0</v>
      </c>
      <c r="R43" s="842">
        <f t="shared" ca="1" si="4"/>
        <v>26668.321100153949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48382.297202480637</v>
      </c>
      <c r="D46" s="720">
        <f t="shared" ref="D46:Q46" ca="1" si="5">SUM(D39:D45)</f>
        <v>0</v>
      </c>
      <c r="E46" s="720">
        <f t="shared" ca="1" si="5"/>
        <v>56224.367004735373</v>
      </c>
      <c r="F46" s="720">
        <f t="shared" si="5"/>
        <v>1495.0103954260192</v>
      </c>
      <c r="G46" s="720">
        <f t="shared" ca="1" si="5"/>
        <v>17241.112887770993</v>
      </c>
      <c r="H46" s="720">
        <f t="shared" si="5"/>
        <v>0</v>
      </c>
      <c r="I46" s="720">
        <f t="shared" si="5"/>
        <v>0</v>
      </c>
      <c r="J46" s="720">
        <f t="shared" si="5"/>
        <v>0</v>
      </c>
      <c r="K46" s="720">
        <f t="shared" si="5"/>
        <v>478.18455526836362</v>
      </c>
      <c r="L46" s="720">
        <f t="shared" si="5"/>
        <v>0</v>
      </c>
      <c r="M46" s="720">
        <f t="shared" ca="1" si="5"/>
        <v>0</v>
      </c>
      <c r="N46" s="720">
        <f t="shared" si="5"/>
        <v>0</v>
      </c>
      <c r="O46" s="720">
        <f t="shared" ca="1" si="5"/>
        <v>0</v>
      </c>
      <c r="P46" s="720">
        <f t="shared" si="5"/>
        <v>0</v>
      </c>
      <c r="Q46" s="720">
        <f t="shared" si="5"/>
        <v>0</v>
      </c>
      <c r="R46" s="720">
        <f ca="1">SUM(R39:R45)</f>
        <v>123820.9720456814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1142.8721670100983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1142.8721670100983</v>
      </c>
    </row>
    <row r="50" spans="1:18">
      <c r="A50" s="818" t="s">
        <v>307</v>
      </c>
      <c r="B50" s="828"/>
      <c r="C50" s="995">
        <f ca="1">transport!B18</f>
        <v>1.0491005079236173</v>
      </c>
      <c r="D50" s="995">
        <f>transport!C18</f>
        <v>0</v>
      </c>
      <c r="E50" s="995">
        <f>transport!D18</f>
        <v>5.2386125211927617</v>
      </c>
      <c r="F50" s="995">
        <f>transport!E18</f>
        <v>640.95040766636441</v>
      </c>
      <c r="G50" s="995">
        <f>transport!F18</f>
        <v>0</v>
      </c>
      <c r="H50" s="995">
        <f>transport!G18</f>
        <v>123067.66132783073</v>
      </c>
      <c r="I50" s="995">
        <f>transport!H18</f>
        <v>21778.792106487133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145493.69155501336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1.0491005079236173</v>
      </c>
      <c r="D52" s="720">
        <f t="shared" ref="D52:Q52" ca="1" si="6">SUM(D48:D51)</f>
        <v>0</v>
      </c>
      <c r="E52" s="720">
        <f t="shared" si="6"/>
        <v>5.2386125211927617</v>
      </c>
      <c r="F52" s="720">
        <f t="shared" si="6"/>
        <v>640.95040766636441</v>
      </c>
      <c r="G52" s="720">
        <f t="shared" si="6"/>
        <v>0</v>
      </c>
      <c r="H52" s="720">
        <f t="shared" si="6"/>
        <v>124210.53349484083</v>
      </c>
      <c r="I52" s="720">
        <f t="shared" si="6"/>
        <v>21778.792106487133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146636.56372202345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128.69007095517202</v>
      </c>
      <c r="D54" s="995">
        <f ca="1">+landbouw!C12</f>
        <v>0</v>
      </c>
      <c r="E54" s="995">
        <f>+landbouw!D12</f>
        <v>341.66736531438158</v>
      </c>
      <c r="F54" s="995">
        <f>+landbouw!E12</f>
        <v>1.4496379456806376</v>
      </c>
      <c r="G54" s="995">
        <f>+landbouw!F12</f>
        <v>696.99105493841387</v>
      </c>
      <c r="H54" s="995">
        <f>+landbouw!G12</f>
        <v>0</v>
      </c>
      <c r="I54" s="995">
        <f>+landbouw!H12</f>
        <v>0</v>
      </c>
      <c r="J54" s="995">
        <f>+landbouw!I12</f>
        <v>0</v>
      </c>
      <c r="K54" s="995">
        <f>+landbouw!J12</f>
        <v>19.279394452842496</v>
      </c>
      <c r="L54" s="995">
        <f>+landbouw!K12</f>
        <v>0</v>
      </c>
      <c r="M54" s="995">
        <f>+landbouw!L12</f>
        <v>0</v>
      </c>
      <c r="N54" s="995">
        <f>+landbouw!M12</f>
        <v>0</v>
      </c>
      <c r="O54" s="995">
        <f>+landbouw!N12</f>
        <v>0</v>
      </c>
      <c r="P54" s="995">
        <f>+landbouw!O12</f>
        <v>0</v>
      </c>
      <c r="Q54" s="996">
        <f>+landbouw!P12</f>
        <v>0</v>
      </c>
      <c r="R54" s="719">
        <f ca="1">SUM(C54:Q54)</f>
        <v>1188.0775236064906</v>
      </c>
    </row>
    <row r="55" spans="1:18" ht="15" thickBot="1">
      <c r="A55" s="818" t="s">
        <v>925</v>
      </c>
      <c r="B55" s="828"/>
      <c r="C55" s="995">
        <f ca="1">C25*'EF ele_warmte'!B12</f>
        <v>974.06748132347604</v>
      </c>
      <c r="D55" s="995"/>
      <c r="E55" s="995">
        <f>E25*EF_CO2_aardgas</f>
        <v>2369.2403757984953</v>
      </c>
      <c r="F55" s="995"/>
      <c r="G55" s="995"/>
      <c r="H55" s="995"/>
      <c r="I55" s="995"/>
      <c r="J55" s="995"/>
      <c r="K55" s="995"/>
      <c r="L55" s="995"/>
      <c r="M55" s="995"/>
      <c r="N55" s="995"/>
      <c r="O55" s="995"/>
      <c r="P55" s="995"/>
      <c r="Q55" s="996"/>
      <c r="R55" s="719">
        <f ca="1">SUM(C55:Q55)</f>
        <v>3343.3078571219712</v>
      </c>
    </row>
    <row r="56" spans="1:18" ht="15.75" thickBot="1">
      <c r="A56" s="816" t="s">
        <v>926</v>
      </c>
      <c r="B56" s="829"/>
      <c r="C56" s="720">
        <f ca="1">SUM(C54:C55)</f>
        <v>1102.7575522786481</v>
      </c>
      <c r="D56" s="720">
        <f t="shared" ref="D56:Q56" ca="1" si="7">SUM(D54:D55)</f>
        <v>0</v>
      </c>
      <c r="E56" s="720">
        <f t="shared" si="7"/>
        <v>2710.9077411128769</v>
      </c>
      <c r="F56" s="720">
        <f t="shared" si="7"/>
        <v>1.4496379456806376</v>
      </c>
      <c r="G56" s="720">
        <f t="shared" si="7"/>
        <v>696.99105493841387</v>
      </c>
      <c r="H56" s="720">
        <f t="shared" si="7"/>
        <v>0</v>
      </c>
      <c r="I56" s="720">
        <f t="shared" si="7"/>
        <v>0</v>
      </c>
      <c r="J56" s="720">
        <f t="shared" si="7"/>
        <v>0</v>
      </c>
      <c r="K56" s="720">
        <f t="shared" si="7"/>
        <v>19.279394452842496</v>
      </c>
      <c r="L56" s="720">
        <f t="shared" si="7"/>
        <v>0</v>
      </c>
      <c r="M56" s="720">
        <f t="shared" si="7"/>
        <v>0</v>
      </c>
      <c r="N56" s="720">
        <f t="shared" si="7"/>
        <v>0</v>
      </c>
      <c r="O56" s="720">
        <f t="shared" si="7"/>
        <v>0</v>
      </c>
      <c r="P56" s="720">
        <f t="shared" si="7"/>
        <v>0</v>
      </c>
      <c r="Q56" s="721">
        <f t="shared" si="7"/>
        <v>0</v>
      </c>
      <c r="R56" s="722">
        <f ca="1">SUM(R54:R55)</f>
        <v>4531.3853807284613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49486.103855267211</v>
      </c>
      <c r="D61" s="728">
        <f t="shared" ref="D61:Q61" ca="1" si="8">D46+D52+D56</f>
        <v>0</v>
      </c>
      <c r="E61" s="728">
        <f t="shared" ca="1" si="8"/>
        <v>58940.513358369441</v>
      </c>
      <c r="F61" s="728">
        <f t="shared" si="8"/>
        <v>2137.4104410380642</v>
      </c>
      <c r="G61" s="728">
        <f t="shared" ca="1" si="8"/>
        <v>17938.103942709407</v>
      </c>
      <c r="H61" s="728">
        <f t="shared" si="8"/>
        <v>124210.53349484083</v>
      </c>
      <c r="I61" s="728">
        <f t="shared" si="8"/>
        <v>21778.792106487133</v>
      </c>
      <c r="J61" s="728">
        <f t="shared" si="8"/>
        <v>0</v>
      </c>
      <c r="K61" s="728">
        <f t="shared" si="8"/>
        <v>497.46394972120612</v>
      </c>
      <c r="L61" s="728">
        <f t="shared" si="8"/>
        <v>0</v>
      </c>
      <c r="M61" s="728">
        <f t="shared" ca="1" si="8"/>
        <v>0</v>
      </c>
      <c r="N61" s="728">
        <f t="shared" si="8"/>
        <v>0</v>
      </c>
      <c r="O61" s="728">
        <f t="shared" ca="1" si="8"/>
        <v>0</v>
      </c>
      <c r="P61" s="728">
        <f t="shared" si="8"/>
        <v>0</v>
      </c>
      <c r="Q61" s="728">
        <f t="shared" si="8"/>
        <v>0</v>
      </c>
      <c r="R61" s="728">
        <f ca="1">R46+R52+R56</f>
        <v>274988.92114843329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0.21103279975677244</v>
      </c>
      <c r="D63" s="772">
        <f t="shared" ca="1" si="9"/>
        <v>0</v>
      </c>
      <c r="E63" s="997">
        <f t="shared" ca="1" si="9"/>
        <v>0.20199999999999996</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2642.9898546116724</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2843.3340590659764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5089.5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5987.6470588235297</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10575.823913677648</v>
      </c>
      <c r="C78" s="743">
        <f>SUM(C72:C77)</f>
        <v>0</v>
      </c>
      <c r="D78" s="744">
        <f t="shared" ref="D78:H78" si="10">SUM(D76:D77)</f>
        <v>0</v>
      </c>
      <c r="E78" s="744">
        <f t="shared" si="10"/>
        <v>0</v>
      </c>
      <c r="F78" s="744">
        <f t="shared" si="10"/>
        <v>0</v>
      </c>
      <c r="G78" s="744">
        <f t="shared" si="10"/>
        <v>0</v>
      </c>
      <c r="H78" s="744">
        <f t="shared" si="10"/>
        <v>0</v>
      </c>
      <c r="I78" s="744">
        <f>SUM(I76:I77)</f>
        <v>0</v>
      </c>
      <c r="J78" s="744">
        <f>SUM(J76:J77)</f>
        <v>5987.6470588235297</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7270.7142857142862</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8553.7815126050427</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7270.7142857142862</v>
      </c>
      <c r="C90" s="743">
        <f>SUM(C87:C89)</f>
        <v>0</v>
      </c>
      <c r="D90" s="743">
        <f t="shared" ref="D90:H90" si="12">SUM(D87:D89)</f>
        <v>0</v>
      </c>
      <c r="E90" s="743">
        <f t="shared" si="12"/>
        <v>0</v>
      </c>
      <c r="F90" s="743">
        <f t="shared" si="12"/>
        <v>0</v>
      </c>
      <c r="G90" s="743">
        <f t="shared" si="12"/>
        <v>0</v>
      </c>
      <c r="H90" s="743">
        <f t="shared" si="12"/>
        <v>0</v>
      </c>
      <c r="I90" s="743">
        <f>SUM(I87:I89)</f>
        <v>0</v>
      </c>
      <c r="J90" s="743">
        <f>SUM(J87:J89)</f>
        <v>8553.7815126050427</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2642.9898546116724</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2843.3340590659764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5089.5</v>
      </c>
      <c r="C8" s="557">
        <f>B101</f>
        <v>0</v>
      </c>
      <c r="D8" s="985"/>
      <c r="E8" s="985">
        <f>E101</f>
        <v>0</v>
      </c>
      <c r="F8" s="986"/>
      <c r="G8" s="558"/>
      <c r="H8" s="985">
        <f>I101</f>
        <v>0</v>
      </c>
      <c r="I8" s="985">
        <f>G101+F101</f>
        <v>0</v>
      </c>
      <c r="J8" s="985">
        <f>H101+D101+C101</f>
        <v>5987.6470588235297</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10575.823913677648</v>
      </c>
      <c r="C10" s="569">
        <f t="shared" ref="C10:L10" si="0">SUM(C8:C9)</f>
        <v>0</v>
      </c>
      <c r="D10" s="569">
        <f t="shared" si="0"/>
        <v>0</v>
      </c>
      <c r="E10" s="569">
        <f t="shared" si="0"/>
        <v>0</v>
      </c>
      <c r="F10" s="569">
        <f t="shared" si="0"/>
        <v>0</v>
      </c>
      <c r="G10" s="569">
        <f t="shared" si="0"/>
        <v>0</v>
      </c>
      <c r="H10" s="569">
        <f t="shared" si="0"/>
        <v>0</v>
      </c>
      <c r="I10" s="569">
        <f t="shared" si="0"/>
        <v>0</v>
      </c>
      <c r="J10" s="569">
        <f t="shared" si="0"/>
        <v>5987.6470588235297</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7270.7142857142862</v>
      </c>
      <c r="C17" s="581">
        <f>B102</f>
        <v>0</v>
      </c>
      <c r="D17" s="582"/>
      <c r="E17" s="582">
        <f>E102</f>
        <v>0</v>
      </c>
      <c r="F17" s="583"/>
      <c r="G17" s="584"/>
      <c r="H17" s="581">
        <f>I102</f>
        <v>0</v>
      </c>
      <c r="I17" s="582">
        <f>G102+F102</f>
        <v>0</v>
      </c>
      <c r="J17" s="582">
        <f>H102+D102+C102</f>
        <v>8553.7815126050427</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7270.7142857142862</v>
      </c>
      <c r="C20" s="568">
        <f>SUM(C17:C19)</f>
        <v>0</v>
      </c>
      <c r="D20" s="568">
        <f t="shared" ref="D20:L20" si="1">SUM(D17:D19)</f>
        <v>0</v>
      </c>
      <c r="E20" s="568">
        <f t="shared" si="1"/>
        <v>0</v>
      </c>
      <c r="F20" s="568">
        <f t="shared" si="1"/>
        <v>0</v>
      </c>
      <c r="G20" s="568">
        <f t="shared" si="1"/>
        <v>0</v>
      </c>
      <c r="H20" s="568">
        <f t="shared" si="1"/>
        <v>0</v>
      </c>
      <c r="I20" s="568">
        <f t="shared" si="1"/>
        <v>0</v>
      </c>
      <c r="J20" s="568">
        <f t="shared" si="1"/>
        <v>8553.7815126050427</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23027</v>
      </c>
      <c r="C28" s="788">
        <v>1500</v>
      </c>
      <c r="D28" s="641" t="s">
        <v>965</v>
      </c>
      <c r="E28" s="640" t="s">
        <v>966</v>
      </c>
      <c r="F28" s="640" t="s">
        <v>967</v>
      </c>
      <c r="G28" s="640" t="s">
        <v>968</v>
      </c>
      <c r="H28" s="640" t="s">
        <v>969</v>
      </c>
      <c r="I28" s="640" t="s">
        <v>966</v>
      </c>
      <c r="J28" s="787">
        <v>40101</v>
      </c>
      <c r="K28" s="787">
        <v>40101</v>
      </c>
      <c r="L28" s="640" t="s">
        <v>970</v>
      </c>
      <c r="M28" s="640">
        <v>1131</v>
      </c>
      <c r="N28" s="640">
        <v>5089.5</v>
      </c>
      <c r="O28" s="640">
        <v>7270.7142857142862</v>
      </c>
      <c r="P28" s="640">
        <v>0</v>
      </c>
      <c r="Q28" s="640">
        <v>14541.428571428572</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1131</v>
      </c>
      <c r="N58" s="598">
        <f>SUM(N28:N57)</f>
        <v>5089.5</v>
      </c>
      <c r="O58" s="598">
        <f t="shared" ref="O58:W58" si="2">SUM(O28:O57)</f>
        <v>7270.7142857142862</v>
      </c>
      <c r="P58" s="598">
        <f t="shared" si="2"/>
        <v>0</v>
      </c>
      <c r="Q58" s="598">
        <f t="shared" si="2"/>
        <v>14541.428571428572</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1131</v>
      </c>
      <c r="N61" s="603">
        <f t="shared" si="4"/>
        <v>5089.5</v>
      </c>
      <c r="O61" s="603">
        <f t="shared" si="4"/>
        <v>7270.7142857142862</v>
      </c>
      <c r="P61" s="603">
        <f t="shared" si="4"/>
        <v>0</v>
      </c>
      <c r="Q61" s="603">
        <f t="shared" si="4"/>
        <v>14541.428571428572</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5987.6470588235297</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8553.7815126050427</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62468.475685848985</v>
      </c>
      <c r="C4" s="460">
        <f>huishoudens!C8</f>
        <v>0</v>
      </c>
      <c r="D4" s="460">
        <f>huishoudens!D8</f>
        <v>160618.58785597759</v>
      </c>
      <c r="E4" s="460">
        <f>huishoudens!E8</f>
        <v>3713.7397731821111</v>
      </c>
      <c r="F4" s="460">
        <f>huishoudens!F8</f>
        <v>18679.485121032885</v>
      </c>
      <c r="G4" s="460">
        <f>huishoudens!G8</f>
        <v>0</v>
      </c>
      <c r="H4" s="460">
        <f>huishoudens!H8</f>
        <v>0</v>
      </c>
      <c r="I4" s="460">
        <f>huishoudens!I8</f>
        <v>0</v>
      </c>
      <c r="J4" s="460">
        <f>huishoudens!J8</f>
        <v>1084.3326279149289</v>
      </c>
      <c r="K4" s="460">
        <f>huishoudens!K8</f>
        <v>0</v>
      </c>
      <c r="L4" s="460">
        <f>huishoudens!L8</f>
        <v>0</v>
      </c>
      <c r="M4" s="460">
        <f>huishoudens!M8</f>
        <v>0</v>
      </c>
      <c r="N4" s="460">
        <f>huishoudens!N8</f>
        <v>13919.81774371211</v>
      </c>
      <c r="O4" s="460">
        <f>huishoudens!O8</f>
        <v>82.856666666666683</v>
      </c>
      <c r="P4" s="461">
        <f>huishoudens!P8</f>
        <v>228.8</v>
      </c>
      <c r="Q4" s="462">
        <f>SUM(B4:P4)</f>
        <v>260796.09547433525</v>
      </c>
    </row>
    <row r="5" spans="1:17">
      <c r="A5" s="459" t="s">
        <v>156</v>
      </c>
      <c r="B5" s="460">
        <f ca="1">tertiair!B16</f>
        <v>102812.37320772681</v>
      </c>
      <c r="C5" s="460">
        <f ca="1">tertiair!C16</f>
        <v>0</v>
      </c>
      <c r="D5" s="460">
        <f ca="1">tertiair!D16</f>
        <v>84023.142012876575</v>
      </c>
      <c r="E5" s="460">
        <f>tertiair!E16</f>
        <v>2147.8182498519523</v>
      </c>
      <c r="F5" s="460">
        <f ca="1">tertiair!F16</f>
        <v>20727.980690110588</v>
      </c>
      <c r="G5" s="460">
        <f>tertiair!G16</f>
        <v>0</v>
      </c>
      <c r="H5" s="460">
        <f>tertiair!H16</f>
        <v>0</v>
      </c>
      <c r="I5" s="460">
        <f>tertiair!I16</f>
        <v>0</v>
      </c>
      <c r="J5" s="460">
        <f>tertiair!J16</f>
        <v>0</v>
      </c>
      <c r="K5" s="460">
        <f>tertiair!K16</f>
        <v>0</v>
      </c>
      <c r="L5" s="460">
        <f ca="1">tertiair!L16</f>
        <v>0</v>
      </c>
      <c r="M5" s="460">
        <f>tertiair!M16</f>
        <v>0</v>
      </c>
      <c r="N5" s="460">
        <f ca="1">tertiair!N16</f>
        <v>2648.0002312680276</v>
      </c>
      <c r="O5" s="460">
        <f>tertiair!O16</f>
        <v>0</v>
      </c>
      <c r="P5" s="461">
        <f>tertiair!P16</f>
        <v>57.2</v>
      </c>
      <c r="Q5" s="459">
        <f t="shared" ref="Q5:Q14" ca="1" si="0">SUM(B5:P5)</f>
        <v>212416.51439183397</v>
      </c>
    </row>
    <row r="6" spans="1:17">
      <c r="A6" s="459" t="s">
        <v>194</v>
      </c>
      <c r="B6" s="460">
        <f>'openbare verlichting'!B8</f>
        <v>2933.7640000000001</v>
      </c>
      <c r="C6" s="460"/>
      <c r="D6" s="460"/>
      <c r="E6" s="460"/>
      <c r="F6" s="460"/>
      <c r="G6" s="460"/>
      <c r="H6" s="460"/>
      <c r="I6" s="460"/>
      <c r="J6" s="460"/>
      <c r="K6" s="460"/>
      <c r="L6" s="460"/>
      <c r="M6" s="460"/>
      <c r="N6" s="460"/>
      <c r="O6" s="460"/>
      <c r="P6" s="461"/>
      <c r="Q6" s="459">
        <f t="shared" si="0"/>
        <v>2933.7640000000001</v>
      </c>
    </row>
    <row r="7" spans="1:17">
      <c r="A7" s="459" t="s">
        <v>112</v>
      </c>
      <c r="B7" s="460">
        <f>landbouw!B8</f>
        <v>609.81075502715601</v>
      </c>
      <c r="C7" s="460">
        <f>landbouw!C8</f>
        <v>7270.7142857142862</v>
      </c>
      <c r="D7" s="460">
        <f>landbouw!D8</f>
        <v>1691.4226005662454</v>
      </c>
      <c r="E7" s="460">
        <f>landbouw!E8</f>
        <v>6.3860702452891527</v>
      </c>
      <c r="F7" s="460">
        <f>landbouw!F8</f>
        <v>2610.4533892824488</v>
      </c>
      <c r="G7" s="460">
        <f>landbouw!G8</f>
        <v>0</v>
      </c>
      <c r="H7" s="460">
        <f>landbouw!H8</f>
        <v>0</v>
      </c>
      <c r="I7" s="460">
        <f>landbouw!I8</f>
        <v>0</v>
      </c>
      <c r="J7" s="460">
        <f>landbouw!J8</f>
        <v>54.4615662509675</v>
      </c>
      <c r="K7" s="460">
        <f>landbouw!K8</f>
        <v>0</v>
      </c>
      <c r="L7" s="460">
        <f>landbouw!L8</f>
        <v>0</v>
      </c>
      <c r="M7" s="460">
        <f>landbouw!M8</f>
        <v>0</v>
      </c>
      <c r="N7" s="460">
        <f>landbouw!N8</f>
        <v>0</v>
      </c>
      <c r="O7" s="460">
        <f>landbouw!O8</f>
        <v>0</v>
      </c>
      <c r="P7" s="461">
        <f>landbouw!P8</f>
        <v>0</v>
      </c>
      <c r="Q7" s="459">
        <f t="shared" si="0"/>
        <v>12243.248667086395</v>
      </c>
    </row>
    <row r="8" spans="1:17">
      <c r="A8" s="459" t="s">
        <v>655</v>
      </c>
      <c r="B8" s="460">
        <f>industrie!B18</f>
        <v>61049.734915125235</v>
      </c>
      <c r="C8" s="460">
        <f>industrie!C18</f>
        <v>0</v>
      </c>
      <c r="D8" s="460">
        <f>industrie!D18</f>
        <v>33696.720649637791</v>
      </c>
      <c r="E8" s="460">
        <f>industrie!E18</f>
        <v>724.39085549465472</v>
      </c>
      <c r="F8" s="460">
        <f>industrie!F18</f>
        <v>25165.990697362118</v>
      </c>
      <c r="G8" s="460">
        <f>industrie!G18</f>
        <v>0</v>
      </c>
      <c r="H8" s="460">
        <f>industrie!H18</f>
        <v>0</v>
      </c>
      <c r="I8" s="460">
        <f>industrie!I18</f>
        <v>0</v>
      </c>
      <c r="J8" s="460">
        <f>industrie!J18</f>
        <v>266.47120052677627</v>
      </c>
      <c r="K8" s="460">
        <f>industrie!K18</f>
        <v>0</v>
      </c>
      <c r="L8" s="460">
        <f>industrie!L18</f>
        <v>0</v>
      </c>
      <c r="M8" s="460">
        <f>industrie!M18</f>
        <v>0</v>
      </c>
      <c r="N8" s="460">
        <f>industrie!N18</f>
        <v>2346.5435346363997</v>
      </c>
      <c r="O8" s="460">
        <f>industrie!O18</f>
        <v>0</v>
      </c>
      <c r="P8" s="461">
        <f>industrie!P18</f>
        <v>0</v>
      </c>
      <c r="Q8" s="459">
        <f t="shared" si="0"/>
        <v>123249.85185278296</v>
      </c>
    </row>
    <row r="9" spans="1:17" s="465" customFormat="1">
      <c r="A9" s="463" t="s">
        <v>573</v>
      </c>
      <c r="B9" s="464">
        <f>transport!B14</f>
        <v>4.9712675429258706</v>
      </c>
      <c r="C9" s="464">
        <f>transport!C14</f>
        <v>0</v>
      </c>
      <c r="D9" s="464">
        <f>transport!D14</f>
        <v>25.933725352439414</v>
      </c>
      <c r="E9" s="464">
        <f>transport!E14</f>
        <v>2823.5700778253936</v>
      </c>
      <c r="F9" s="464">
        <f>transport!F14</f>
        <v>0</v>
      </c>
      <c r="G9" s="464">
        <f>transport!G14</f>
        <v>460927.57051621994</v>
      </c>
      <c r="H9" s="464">
        <f>transport!H14</f>
        <v>87465.028540108964</v>
      </c>
      <c r="I9" s="464">
        <f>transport!I14</f>
        <v>0</v>
      </c>
      <c r="J9" s="464">
        <f>transport!J14</f>
        <v>0</v>
      </c>
      <c r="K9" s="464">
        <f>transport!K14</f>
        <v>0</v>
      </c>
      <c r="L9" s="464">
        <f>transport!L14</f>
        <v>0</v>
      </c>
      <c r="M9" s="464">
        <f>transport!M14</f>
        <v>23950.49017004955</v>
      </c>
      <c r="N9" s="464">
        <f>transport!N14</f>
        <v>0</v>
      </c>
      <c r="O9" s="464">
        <f>transport!O14</f>
        <v>0</v>
      </c>
      <c r="P9" s="464">
        <f>transport!P14</f>
        <v>0</v>
      </c>
      <c r="Q9" s="463">
        <f>SUM(B9:P9)</f>
        <v>575197.56429709925</v>
      </c>
    </row>
    <row r="10" spans="1:17">
      <c r="A10" s="459" t="s">
        <v>563</v>
      </c>
      <c r="B10" s="460">
        <f>transport!B54</f>
        <v>0</v>
      </c>
      <c r="C10" s="460">
        <f>transport!C54</f>
        <v>0</v>
      </c>
      <c r="D10" s="460">
        <f>transport!D54</f>
        <v>0</v>
      </c>
      <c r="E10" s="460">
        <f>transport!E54</f>
        <v>0</v>
      </c>
      <c r="F10" s="460">
        <f>transport!F54</f>
        <v>0</v>
      </c>
      <c r="G10" s="460">
        <f>transport!G54</f>
        <v>4280.4201011614168</v>
      </c>
      <c r="H10" s="460">
        <f>transport!H54</f>
        <v>0</v>
      </c>
      <c r="I10" s="460">
        <f>transport!I54</f>
        <v>0</v>
      </c>
      <c r="J10" s="460">
        <f>transport!J54</f>
        <v>0</v>
      </c>
      <c r="K10" s="460">
        <f>transport!K54</f>
        <v>0</v>
      </c>
      <c r="L10" s="460">
        <f>transport!L54</f>
        <v>0</v>
      </c>
      <c r="M10" s="460">
        <f>transport!M54</f>
        <v>182.45571272768566</v>
      </c>
      <c r="N10" s="460">
        <f>transport!N54</f>
        <v>0</v>
      </c>
      <c r="O10" s="460">
        <f>transport!O54</f>
        <v>0</v>
      </c>
      <c r="P10" s="461">
        <f>transport!P54</f>
        <v>0</v>
      </c>
      <c r="Q10" s="459">
        <f t="shared" si="0"/>
        <v>4462.8758138891026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4615.7160519414301</v>
      </c>
      <c r="C14" s="467"/>
      <c r="D14" s="467">
        <f>'SEAP template'!E25</f>
        <v>11728.912751477699</v>
      </c>
      <c r="E14" s="467"/>
      <c r="F14" s="467"/>
      <c r="G14" s="467"/>
      <c r="H14" s="467"/>
      <c r="I14" s="467"/>
      <c r="J14" s="467"/>
      <c r="K14" s="467"/>
      <c r="L14" s="467"/>
      <c r="M14" s="467"/>
      <c r="N14" s="467"/>
      <c r="O14" s="467"/>
      <c r="P14" s="468"/>
      <c r="Q14" s="459">
        <f t="shared" si="0"/>
        <v>16344.628803419129</v>
      </c>
    </row>
    <row r="15" spans="1:17" s="472" customFormat="1">
      <c r="A15" s="469" t="s">
        <v>567</v>
      </c>
      <c r="B15" s="470">
        <f ca="1">SUM(B4:B14)</f>
        <v>234494.84588321252</v>
      </c>
      <c r="C15" s="470">
        <f t="shared" ref="C15:Q15" ca="1" si="1">SUM(C4:C14)</f>
        <v>7270.7142857142862</v>
      </c>
      <c r="D15" s="470">
        <f t="shared" ca="1" si="1"/>
        <v>291784.71959588834</v>
      </c>
      <c r="E15" s="470">
        <f t="shared" si="1"/>
        <v>9415.905026599401</v>
      </c>
      <c r="F15" s="470">
        <f t="shared" ca="1" si="1"/>
        <v>67183.909897788035</v>
      </c>
      <c r="G15" s="470">
        <f t="shared" si="1"/>
        <v>465207.99061738135</v>
      </c>
      <c r="H15" s="470">
        <f t="shared" si="1"/>
        <v>87465.028540108964</v>
      </c>
      <c r="I15" s="470">
        <f t="shared" si="1"/>
        <v>0</v>
      </c>
      <c r="J15" s="470">
        <f t="shared" si="1"/>
        <v>1405.2653946926728</v>
      </c>
      <c r="K15" s="470">
        <f t="shared" si="1"/>
        <v>0</v>
      </c>
      <c r="L15" s="470">
        <f t="shared" ca="1" si="1"/>
        <v>0</v>
      </c>
      <c r="M15" s="470">
        <f t="shared" si="1"/>
        <v>24132.945882777236</v>
      </c>
      <c r="N15" s="470">
        <f t="shared" ca="1" si="1"/>
        <v>18914.361509616538</v>
      </c>
      <c r="O15" s="470">
        <f t="shared" si="1"/>
        <v>82.856666666666683</v>
      </c>
      <c r="P15" s="470">
        <f t="shared" si="1"/>
        <v>286</v>
      </c>
      <c r="Q15" s="470">
        <f t="shared" ca="1" si="1"/>
        <v>1207644.5433004461</v>
      </c>
    </row>
    <row r="17" spans="1:17">
      <c r="A17" s="473" t="s">
        <v>568</v>
      </c>
      <c r="B17" s="777">
        <f ca="1">huishoudens!B10</f>
        <v>0.21103279975677244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13182.897320522578</v>
      </c>
      <c r="C22" s="460">
        <f t="shared" ref="C22:C32" ca="1" si="3">C4*$C$17</f>
        <v>0</v>
      </c>
      <c r="D22" s="460">
        <f t="shared" ref="D22:D32" si="4">D4*$D$17</f>
        <v>32444.954746907475</v>
      </c>
      <c r="E22" s="460">
        <f t="shared" ref="E22:E32" si="5">E4*$E$17</f>
        <v>843.01892851233924</v>
      </c>
      <c r="F22" s="460">
        <f t="shared" ref="F22:F32" si="6">F4*$F$17</f>
        <v>4987.4225273157808</v>
      </c>
      <c r="G22" s="460">
        <f t="shared" ref="G22:G32" si="7">G4*$G$17</f>
        <v>0</v>
      </c>
      <c r="H22" s="460">
        <f t="shared" ref="H22:H32" si="8">H4*$H$17</f>
        <v>0</v>
      </c>
      <c r="I22" s="460">
        <f t="shared" ref="I22:I32" si="9">I4*$I$17</f>
        <v>0</v>
      </c>
      <c r="J22" s="460">
        <f t="shared" ref="J22:J32" si="10">J4*$J$17</f>
        <v>383.8537502818848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51842.14727354006</v>
      </c>
    </row>
    <row r="23" spans="1:17">
      <c r="A23" s="459" t="s">
        <v>156</v>
      </c>
      <c r="B23" s="460">
        <f t="shared" ca="1" si="2"/>
        <v>21696.782967664767</v>
      </c>
      <c r="C23" s="460">
        <f t="shared" ca="1" si="3"/>
        <v>0</v>
      </c>
      <c r="D23" s="460">
        <f t="shared" ca="1" si="4"/>
        <v>16972.674686601069</v>
      </c>
      <c r="E23" s="460">
        <f t="shared" si="5"/>
        <v>487.55474271639321</v>
      </c>
      <c r="F23" s="460">
        <f t="shared" ca="1" si="6"/>
        <v>5534.3708442595271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44691.383241241754</v>
      </c>
    </row>
    <row r="24" spans="1:17">
      <c r="A24" s="459" t="s">
        <v>194</v>
      </c>
      <c r="B24" s="460">
        <f t="shared" ca="1" si="2"/>
        <v>619.1204307456278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619.1204307456278</v>
      </c>
    </row>
    <row r="25" spans="1:17">
      <c r="A25" s="459" t="s">
        <v>112</v>
      </c>
      <c r="B25" s="460">
        <f t="shared" ca="1" si="2"/>
        <v>128.69007095517202</v>
      </c>
      <c r="C25" s="460">
        <f t="shared" ca="1" si="3"/>
        <v>0</v>
      </c>
      <c r="D25" s="460">
        <f t="shared" si="4"/>
        <v>341.66736531438158</v>
      </c>
      <c r="E25" s="460">
        <f t="shared" si="5"/>
        <v>1.4496379456806376</v>
      </c>
      <c r="F25" s="460">
        <f t="shared" si="6"/>
        <v>696.99105493841387</v>
      </c>
      <c r="G25" s="460">
        <f t="shared" si="7"/>
        <v>0</v>
      </c>
      <c r="H25" s="460">
        <f t="shared" si="8"/>
        <v>0</v>
      </c>
      <c r="I25" s="460">
        <f t="shared" si="9"/>
        <v>0</v>
      </c>
      <c r="J25" s="460">
        <f t="shared" si="10"/>
        <v>19.279394452842496</v>
      </c>
      <c r="K25" s="460">
        <f t="shared" si="11"/>
        <v>0</v>
      </c>
      <c r="L25" s="460">
        <f t="shared" si="12"/>
        <v>0</v>
      </c>
      <c r="M25" s="460">
        <f t="shared" si="13"/>
        <v>0</v>
      </c>
      <c r="N25" s="460">
        <f t="shared" si="14"/>
        <v>0</v>
      </c>
      <c r="O25" s="460">
        <f t="shared" si="15"/>
        <v>0</v>
      </c>
      <c r="P25" s="461">
        <f t="shared" si="16"/>
        <v>0</v>
      </c>
      <c r="Q25" s="459">
        <f t="shared" ca="1" si="17"/>
        <v>1188.0775236064906</v>
      </c>
    </row>
    <row r="26" spans="1:17">
      <c r="A26" s="459" t="s">
        <v>655</v>
      </c>
      <c r="B26" s="460">
        <f t="shared" ca="1" si="2"/>
        <v>12883.496483547662</v>
      </c>
      <c r="C26" s="460">
        <f t="shared" ca="1" si="3"/>
        <v>0</v>
      </c>
      <c r="D26" s="460">
        <f t="shared" si="4"/>
        <v>6806.737571226834</v>
      </c>
      <c r="E26" s="460">
        <f t="shared" si="5"/>
        <v>164.43672419728662</v>
      </c>
      <c r="F26" s="460">
        <f t="shared" si="6"/>
        <v>6719.3195161956855</v>
      </c>
      <c r="G26" s="460">
        <f t="shared" si="7"/>
        <v>0</v>
      </c>
      <c r="H26" s="460">
        <f t="shared" si="8"/>
        <v>0</v>
      </c>
      <c r="I26" s="460">
        <f t="shared" si="9"/>
        <v>0</v>
      </c>
      <c r="J26" s="460">
        <f t="shared" si="10"/>
        <v>94.330804986478796</v>
      </c>
      <c r="K26" s="460">
        <f t="shared" si="11"/>
        <v>0</v>
      </c>
      <c r="L26" s="460">
        <f t="shared" si="12"/>
        <v>0</v>
      </c>
      <c r="M26" s="460">
        <f t="shared" si="13"/>
        <v>0</v>
      </c>
      <c r="N26" s="460">
        <f t="shared" si="14"/>
        <v>0</v>
      </c>
      <c r="O26" s="460">
        <f t="shared" si="15"/>
        <v>0</v>
      </c>
      <c r="P26" s="461">
        <f t="shared" si="16"/>
        <v>0</v>
      </c>
      <c r="Q26" s="459">
        <f t="shared" ca="1" si="17"/>
        <v>26668.321100153949</v>
      </c>
    </row>
    <row r="27" spans="1:17" s="465" customFormat="1">
      <c r="A27" s="463" t="s">
        <v>573</v>
      </c>
      <c r="B27" s="771">
        <f t="shared" ca="1" si="2"/>
        <v>1.0491005079236173</v>
      </c>
      <c r="C27" s="464">
        <f t="shared" ca="1" si="3"/>
        <v>0</v>
      </c>
      <c r="D27" s="464">
        <f t="shared" si="4"/>
        <v>5.2386125211927617</v>
      </c>
      <c r="E27" s="464">
        <f t="shared" si="5"/>
        <v>640.95040766636441</v>
      </c>
      <c r="F27" s="464">
        <f t="shared" si="6"/>
        <v>0</v>
      </c>
      <c r="G27" s="464">
        <f t="shared" si="7"/>
        <v>123067.66132783073</v>
      </c>
      <c r="H27" s="464">
        <f t="shared" si="8"/>
        <v>21778.792106487133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145493.69155501336</v>
      </c>
    </row>
    <row r="28" spans="1:17">
      <c r="A28" s="459" t="s">
        <v>563</v>
      </c>
      <c r="B28" s="460">
        <f t="shared" ca="1" si="2"/>
        <v>0</v>
      </c>
      <c r="C28" s="460">
        <f t="shared" ca="1" si="3"/>
        <v>0</v>
      </c>
      <c r="D28" s="460">
        <f t="shared" si="4"/>
        <v>0</v>
      </c>
      <c r="E28" s="460">
        <f t="shared" si="5"/>
        <v>0</v>
      </c>
      <c r="F28" s="460">
        <f t="shared" si="6"/>
        <v>0</v>
      </c>
      <c r="G28" s="460">
        <f t="shared" si="7"/>
        <v>1142.8721670100983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1142.8721670100983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974.06748132347604</v>
      </c>
      <c r="C32" s="460">
        <f t="shared" ca="1" si="3"/>
        <v>0</v>
      </c>
      <c r="D32" s="460">
        <f t="shared" si="4"/>
        <v>2369.2403757984953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3343.3078571219712</v>
      </c>
    </row>
    <row r="33" spans="1:17" s="472" customFormat="1">
      <c r="A33" s="469" t="s">
        <v>567</v>
      </c>
      <c r="B33" s="470">
        <f ca="1">SUM(B22:B32)</f>
        <v>49486.103855267203</v>
      </c>
      <c r="C33" s="470">
        <f t="shared" ref="C33:Q33" ca="1" si="19">SUM(C22:C32)</f>
        <v>0</v>
      </c>
      <c r="D33" s="470">
        <f t="shared" ca="1" si="19"/>
        <v>58940.513358369441</v>
      </c>
      <c r="E33" s="470">
        <f t="shared" si="19"/>
        <v>2137.4104410380642</v>
      </c>
      <c r="F33" s="470">
        <f t="shared" ca="1" si="19"/>
        <v>17938.103942709407</v>
      </c>
      <c r="G33" s="470">
        <f t="shared" si="19"/>
        <v>124210.53349484083</v>
      </c>
      <c r="H33" s="470">
        <f t="shared" si="19"/>
        <v>21778.792106487133</v>
      </c>
      <c r="I33" s="470">
        <f t="shared" si="19"/>
        <v>0</v>
      </c>
      <c r="J33" s="470">
        <f t="shared" si="19"/>
        <v>497.46394972120606</v>
      </c>
      <c r="K33" s="470">
        <f t="shared" si="19"/>
        <v>0</v>
      </c>
      <c r="L33" s="470">
        <f t="shared" ca="1" si="19"/>
        <v>0</v>
      </c>
      <c r="M33" s="470">
        <f t="shared" si="19"/>
        <v>0</v>
      </c>
      <c r="N33" s="470">
        <f t="shared" ca="1" si="19"/>
        <v>0</v>
      </c>
      <c r="O33" s="470">
        <f t="shared" si="19"/>
        <v>0</v>
      </c>
      <c r="P33" s="470">
        <f t="shared" si="19"/>
        <v>0</v>
      </c>
      <c r="Q33" s="470">
        <f t="shared" ca="1" si="19"/>
        <v>274988.92114843329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2642.9898546116724</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2843.3340590659764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5089.5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5987.6470588235297</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10575.823913677648</v>
      </c>
      <c r="C10" s="1032">
        <f>SUM(C4:C9)</f>
        <v>0</v>
      </c>
      <c r="D10" s="1032">
        <f t="shared" ref="D10:H10" si="0">SUM(D8:D9)</f>
        <v>0</v>
      </c>
      <c r="E10" s="1032">
        <f t="shared" si="0"/>
        <v>0</v>
      </c>
      <c r="F10" s="1032">
        <f t="shared" si="0"/>
        <v>0</v>
      </c>
      <c r="G10" s="1032">
        <f t="shared" si="0"/>
        <v>0</v>
      </c>
      <c r="H10" s="1032">
        <f t="shared" si="0"/>
        <v>0</v>
      </c>
      <c r="I10" s="1032">
        <f>SUM(I8:I9)</f>
        <v>0</v>
      </c>
      <c r="J10" s="1032">
        <f>SUM(J8:J9)</f>
        <v>5987.6470588235297</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0.21103279975677244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7270.7142857142862</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8553.7815126050427</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7270.7142857142862</v>
      </c>
      <c r="C20" s="1032">
        <f>SUM(C17:C19)</f>
        <v>0</v>
      </c>
      <c r="D20" s="1032">
        <f t="shared" ref="D20:H20" si="2">SUM(D17:D19)</f>
        <v>0</v>
      </c>
      <c r="E20" s="1032">
        <f t="shared" si="2"/>
        <v>0</v>
      </c>
      <c r="F20" s="1032">
        <f t="shared" si="2"/>
        <v>0</v>
      </c>
      <c r="G20" s="1032">
        <f t="shared" si="2"/>
        <v>0</v>
      </c>
      <c r="H20" s="1032">
        <f t="shared" si="2"/>
        <v>0</v>
      </c>
      <c r="I20" s="1032">
        <f>SUM(I17:I19)</f>
        <v>0</v>
      </c>
      <c r="J20" s="1032">
        <f>SUM(J17:J19)</f>
        <v>8553.7815126050427</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0.21103279975677244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2019-08-12T09:19:59Z</dcterms:modified>
</cp:coreProperties>
</file>