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B17"/>
  <c r="B20" s="1"/>
  <c r="L20"/>
  <c r="O19"/>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Q56"/>
  <c r="P56"/>
  <c r="I56"/>
  <c r="P52"/>
  <c r="R44"/>
  <c r="P26"/>
  <c r="L26"/>
  <c r="H26"/>
  <c r="E25"/>
  <c r="D14" i="48" s="1"/>
  <c r="Q26" i="14"/>
  <c r="N26"/>
  <c r="J22"/>
  <c r="D5" i="17"/>
  <c r="D8" i="55" l="1"/>
  <c r="O78" i="14"/>
  <c r="O9" i="55"/>
  <c r="O10" s="1"/>
  <c r="C77" i="14"/>
  <c r="C9" i="55" s="1"/>
  <c r="F9"/>
  <c r="M90" i="14"/>
  <c r="M17" i="55"/>
  <c r="M20" s="1"/>
  <c r="E90" i="14"/>
  <c r="E18" i="55"/>
  <c r="E20"/>
  <c r="D101" i="18"/>
  <c r="P32" i="48"/>
  <c r="G101" i="18"/>
  <c r="K22" i="14"/>
  <c r="L22"/>
  <c r="L20" i="55"/>
  <c r="C101" i="18"/>
  <c r="E55" i="14"/>
  <c r="M22"/>
  <c r="O28" i="48"/>
  <c r="O25"/>
  <c r="R25" i="14"/>
  <c r="I101" i="18"/>
  <c r="H8" s="1"/>
  <c r="L78" i="14"/>
  <c r="L8" i="55"/>
  <c r="G78" i="14"/>
  <c r="G9" i="55"/>
  <c r="N78" i="14"/>
  <c r="N9" i="55"/>
  <c r="N10" s="1"/>
  <c r="F20"/>
  <c r="E101" i="18"/>
  <c r="E8" s="1"/>
  <c r="L90" i="14"/>
  <c r="O20" i="55"/>
  <c r="H101" i="18"/>
  <c r="J8" s="1"/>
  <c r="H90" i="14"/>
  <c r="D22"/>
  <c r="G10" i="55"/>
  <c r="P31" i="48"/>
  <c r="D10" i="55"/>
  <c r="L10"/>
  <c r="K20"/>
  <c r="F101" i="18"/>
  <c r="F90" i="14"/>
  <c r="F18" i="55"/>
  <c r="N90" i="14"/>
  <c r="N18" i="55"/>
  <c r="N20" s="1"/>
  <c r="R9" i="14"/>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O17" i="18"/>
  <c r="O20" s="1"/>
  <c r="E10"/>
  <c r="F76" i="14"/>
  <c r="H10" i="18"/>
  <c r="M76" i="14"/>
  <c r="I10" i="18"/>
  <c r="I76" i="14"/>
  <c r="I8" i="55" s="1"/>
  <c r="I10" s="1"/>
  <c r="J20" i="18"/>
  <c r="J87" i="14"/>
  <c r="I20" i="18"/>
  <c r="I87" i="14"/>
  <c r="I17" i="55" s="1"/>
  <c r="I20" s="1"/>
  <c r="O8" i="18"/>
  <c r="O10" s="1"/>
  <c r="J10"/>
  <c r="J76" i="14"/>
  <c r="Q87"/>
  <c r="D90"/>
  <c r="J78" l="1"/>
  <c r="J8" i="55"/>
  <c r="J10" s="1"/>
  <c r="M8"/>
  <c r="M10" s="1"/>
  <c r="M78" i="14"/>
  <c r="Q90"/>
  <c r="B17" i="6" s="1"/>
  <c r="P17" i="55"/>
  <c r="P20" s="1"/>
  <c r="J90" i="14"/>
  <c r="J17" i="55"/>
  <c r="J20" s="1"/>
  <c r="F8"/>
  <c r="F10" s="1"/>
  <c r="F78" i="14"/>
  <c r="Q76"/>
  <c r="I78"/>
  <c r="C76"/>
  <c r="B76"/>
  <c r="I90"/>
  <c r="B87"/>
  <c r="C87"/>
  <c r="H14" i="15"/>
  <c r="H16" s="1"/>
  <c r="G14"/>
  <c r="G16" s="1"/>
  <c r="C90" i="14" l="1"/>
  <c r="C17" i="55"/>
  <c r="C20" s="1"/>
  <c r="P8"/>
  <c r="P10" s="1"/>
  <c r="Q78" i="14"/>
  <c r="B9" i="6" s="1"/>
  <c r="B90" i="14"/>
  <c r="B17" i="55"/>
  <c r="B20" s="1"/>
  <c r="I10" i="14"/>
  <c r="I16" s="1"/>
  <c r="H5" i="48"/>
  <c r="G5"/>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30"/>
  <c r="F29"/>
  <c r="F24"/>
  <c r="F31"/>
  <c r="E30"/>
  <c r="E32"/>
  <c r="E24"/>
  <c r="E31"/>
  <c r="E29"/>
  <c r="E28"/>
  <c r="K5"/>
  <c r="L10" i="14"/>
  <c r="L16" s="1"/>
  <c r="L27" s="1"/>
  <c r="D30" i="48"/>
  <c r="D24"/>
  <c r="D28"/>
  <c r="D31"/>
  <c r="D29"/>
  <c r="D32"/>
  <c r="C19" i="14"/>
  <c r="B10" i="48"/>
  <c r="I5"/>
  <c r="J10" i="14"/>
  <c r="J16" s="1"/>
  <c r="J27" s="1"/>
  <c r="J32" i="48"/>
  <c r="J30"/>
  <c r="J28"/>
  <c r="J29"/>
  <c r="J27"/>
  <c r="J31"/>
  <c r="J24"/>
  <c r="Q11" i="14"/>
  <c r="P4" i="48"/>
  <c r="B8" i="9"/>
  <c r="B6" i="48" s="1"/>
  <c r="Q6" s="1"/>
  <c r="B4"/>
  <c r="C11" i="14"/>
  <c r="C24"/>
  <c r="C26" s="1"/>
  <c r="B7" i="48"/>
  <c r="M30"/>
  <c r="M24"/>
  <c r="M32"/>
  <c r="M26"/>
  <c r="M29"/>
  <c r="M25"/>
  <c r="M22"/>
  <c r="Q10" i="14"/>
  <c r="P5" i="48"/>
  <c r="P23" s="1"/>
  <c r="K30"/>
  <c r="K32"/>
  <c r="K25"/>
  <c r="K22"/>
  <c r="K27"/>
  <c r="K29"/>
  <c r="K31"/>
  <c r="K26"/>
  <c r="K24"/>
  <c r="K28"/>
  <c r="I30"/>
  <c r="I24"/>
  <c r="I28"/>
  <c r="I32"/>
  <c r="I26"/>
  <c r="I29"/>
  <c r="I22"/>
  <c r="I25"/>
  <c r="I31"/>
  <c r="I27"/>
  <c r="H12" i="22"/>
  <c r="H14" s="1"/>
  <c r="H13" i="48"/>
  <c r="H31" s="1"/>
  <c r="I18" i="14"/>
  <c r="H30" i="48"/>
  <c r="H32"/>
  <c r="H26"/>
  <c r="H22"/>
  <c r="H28"/>
  <c r="H25"/>
  <c r="H24"/>
  <c r="H29"/>
  <c r="H23"/>
  <c r="C18" i="16"/>
  <c r="D13" i="14" s="1"/>
  <c r="N10"/>
  <c r="N16" s="1"/>
  <c r="M5" i="48"/>
  <c r="N32"/>
  <c r="N28"/>
  <c r="N27"/>
  <c r="N29"/>
  <c r="N31"/>
  <c r="N24"/>
  <c r="N30"/>
  <c r="L30"/>
  <c r="L28"/>
  <c r="L24"/>
  <c r="L32"/>
  <c r="L22"/>
  <c r="L31"/>
  <c r="L27"/>
  <c r="L29"/>
  <c r="O4"/>
  <c r="P11" i="14"/>
  <c r="E11"/>
  <c r="D4" i="48"/>
  <c r="D22" s="1"/>
  <c r="C4"/>
  <c r="D11" i="14"/>
  <c r="G30" i="48"/>
  <c r="G32"/>
  <c r="G24"/>
  <c r="G22"/>
  <c r="G26"/>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O22" i="48"/>
  <c r="M23"/>
  <c r="F4"/>
  <c r="F22" s="1"/>
  <c r="G11" i="14"/>
  <c r="C8" i="48"/>
  <c r="D16" i="15"/>
  <c r="L46" i="14"/>
  <c r="L61" s="1"/>
  <c r="L63" s="1"/>
  <c r="K15" i="48"/>
  <c r="K23"/>
  <c r="K33" s="1"/>
  <c r="P22" i="16"/>
  <c r="Q43" i="14" s="1"/>
  <c r="P8" i="48"/>
  <c r="P26" s="1"/>
  <c r="Q13" i="14"/>
  <c r="I15" i="48"/>
  <c r="I23"/>
  <c r="P10" i="14"/>
  <c r="O5" i="48"/>
  <c r="O23" s="1"/>
  <c r="N18" i="14"/>
  <c r="M13" i="48"/>
  <c r="M31" s="1"/>
  <c r="P22"/>
  <c r="G12" i="22"/>
  <c r="H18" i="14"/>
  <c r="R18" s="1"/>
  <c r="G13" i="48"/>
  <c r="I33"/>
  <c r="J63" i="14"/>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F20"/>
  <c r="F22" s="1"/>
  <c r="E9" i="48"/>
  <c r="E27" s="1"/>
  <c r="G31"/>
  <c r="Q13"/>
  <c r="E20" i="14"/>
  <c r="E22" s="1"/>
  <c r="D9" i="48"/>
  <c r="D27" s="1"/>
  <c r="P13" i="14"/>
  <c r="P16" s="1"/>
  <c r="P27" s="1"/>
  <c r="O8" i="48"/>
  <c r="O26" s="1"/>
  <c r="O33" s="1"/>
  <c r="N4"/>
  <c r="N22" s="1"/>
  <c r="O11" i="14"/>
  <c r="J4" i="48"/>
  <c r="J22" s="1"/>
  <c r="K11" i="14"/>
  <c r="H27" i="48"/>
  <c r="H33" s="1"/>
  <c r="H15"/>
  <c r="G9"/>
  <c r="H20" i="14"/>
  <c r="H22" s="1"/>
  <c r="H27" s="1"/>
  <c r="C20"/>
  <c r="B9" i="48"/>
  <c r="Q63" i="14"/>
  <c r="P15" i="48"/>
  <c r="P33"/>
  <c r="O15"/>
  <c r="M10"/>
  <c r="M28" s="1"/>
  <c r="N19" i="14"/>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G28" i="48"/>
  <c r="Q10"/>
  <c r="H52" i="14"/>
  <c r="H61" s="1"/>
  <c r="G27" i="48"/>
  <c r="G15"/>
  <c r="E22"/>
  <c r="Q4"/>
  <c r="R20" i="14"/>
  <c r="R22" s="1"/>
  <c r="C22"/>
  <c r="M18" i="22"/>
  <c r="N50" i="14" s="1"/>
  <c r="N52" s="1"/>
  <c r="N61" s="1"/>
  <c r="N20"/>
  <c r="N22" s="1"/>
  <c r="N27" s="1"/>
  <c r="M9" i="48"/>
  <c r="H63" i="14"/>
  <c r="D15" i="48"/>
  <c r="J5"/>
  <c r="K10" i="14"/>
  <c r="E20" i="15"/>
  <c r="F40" i="14" s="1"/>
  <c r="E5" i="48"/>
  <c r="F10" i="14"/>
  <c r="L15" i="48"/>
  <c r="Q7"/>
  <c r="R24" i="14"/>
  <c r="R26" s="1"/>
  <c r="J18" i="16"/>
  <c r="N18"/>
  <c r="E18"/>
  <c r="F18"/>
  <c r="F22"/>
  <c r="G43" i="14" s="1"/>
  <c r="M27" i="48" l="1"/>
  <c r="M33" s="1"/>
  <c r="M15"/>
  <c r="Q9"/>
  <c r="N63" i="14"/>
  <c r="G33"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<sst xmlns="http://schemas.openxmlformats.org/spreadsheetml/2006/main" count="2514" uniqueCount="973">
  <si>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</si>
  <si>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</si>
  <si>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</si>
  <si>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</si>
  <si>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</si>
  <si>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</si>
  <si>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</si>
  <si>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</si>
  <si>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</si>
  <si>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</si>
  <si>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</si>
  <si>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</si>
  <si>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</si>
  <si>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</si>
  <si>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</si>
  <si>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</si>
  <si>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</si>
  <si>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</si>
  <si>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</si>
  <si>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</si>
  <si>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</si>
  <si>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</si>
  <si>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</si>
  <si>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</si>
  <si>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</si>
  <si>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</si>
  <si>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</si>
  <si>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</si>
  <si>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</si>
  <si>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</si>
  <si>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</si>
  <si>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</si>
  <si>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</si>
  <si>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</si>
  <si>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</si>
  <si>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</si>
  <si>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</si>
  <si>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</si>
  <si>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</si>
  <si>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</si>
  <si>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</si>
  <si>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</si>
  <si>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</si>
  <si>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</si>
  <si>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</si>
  <si>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</si>
  <si>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</si>
  <si>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</si>
  <si>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</si>
  <si>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</si>
  <si>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</si>
  <si>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</si>
  <si>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</si>
  <si>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</si>
  <si>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</si>
  <si>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</si>
  <si>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</si>
  <si>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</si>
  <si>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</si>
  <si>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</si>
  <si>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</si>
  <si>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</si>
  <si>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</si>
  <si>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</si>
  <si>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</si>
  <si>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</si>
  <si>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</si>
  <si>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</si>
  <si>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</si>
  <si>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</si>
  <si>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</si>
  <si>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</si>
  <si>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</si>
  <si>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</si>
  <si>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</si>
  <si>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</si>
  <si>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</si>
  <si>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</si>
  <si>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</si>
  <si>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</si>
  <si>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</si>
  <si>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</si>
  <si>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</si>
  <si>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</si>
  <si>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</si>
  <si>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</si>
  <si>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</si>
  <si>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</si>
  <si>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</si>
  <si>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</si>
  <si>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</si>
  <si>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</si>
  <si>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</si>
  <si>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</si>
  <si>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</si>
  <si>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</si>
  <si>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</si>
  <si>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</si>
  <si>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</si>
  <si>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</si>
  <si>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</si>
  <si>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</si>
  <si>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</si>
  <si>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</si>
  <si>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</si>
  <si>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</si>
  <si>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</si>
  <si>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</si>
  <si>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</si>
  <si>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</si>
  <si>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</si>
  <si>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</si>
  <si>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</si>
  <si>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</si>
  <si>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</si>
  <si>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</si>
  <si>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</si>
  <si>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</si>
  <si>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</si>
  <si>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</si>
  <si>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</si>
  <si>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</si>
  <si>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</si>
  <si>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</si>
  <si>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</si>
  <si>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</si>
  <si>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</si>
  <si>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</si>
  <si>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</si>
  <si>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</si>
  <si>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</si>
  <si>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</si>
  <si>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</si>
  <si>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</si>
  <si>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</si>
  <si>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</si>
  <si>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</si>
  <si>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</si>
  <si>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</si>
  <si>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</si>
  <si>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</si>
  <si>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</si>
  <si>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</si>
  <si>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</si>
  <si>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</si>
  <si>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</si>
  <si>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</si>
  <si>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</si>
  <si>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</si>
  <si>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</si>
  <si>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</si>
  <si>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</si>
  <si>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</si>
  <si>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</si>
  <si>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</si>
  <si>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</si>
  <si>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</si>
  <si>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</si>
  <si>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</si>
  <si>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</si>
  <si>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</si>
  <si>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</si>
  <si>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</si>
  <si>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</si>
  <si>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</si>
  <si>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</si>
  <si>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</si>
  <si>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</si>
  <si>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</si>
  <si>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</si>
  <si>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</si>
  <si>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</si>
  <si>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</si>
  <si>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</si>
  <si>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</si>
  <si>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</si>
  <si>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</si>
  <si>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</si>
  <si>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</si>
  <si>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</si>
  <si>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</si>
  <si>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</si>
  <si>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</si>
  <si>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</si>
  <si>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</si>
  <si>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</si>
  <si>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</si>
  <si>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</si>
  <si>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</si>
  <si>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</si>
  <si>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</si>
  <si>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</si>
  <si>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</si>
  <si>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</si>
  <si>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</si>
  <si>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</si>
  <si>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</si>
  <si>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</si>
  <si>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</si>
  <si>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</si>
  <si>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</si>
  <si>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</si>
  <si>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</si>
  <si>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</si>
  <si>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</si>
  <si>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</si>
  <si>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</si>
  <si>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</si>
  <si>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</si>
  <si>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</si>
  <si>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</si>
  <si>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</si>
  <si>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</si>
  <si>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</si>
  <si>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</si>
  <si>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</si>
  <si>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</si>
  <si>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</si>
  <si>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</si>
  <si>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</si>
  <si>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</si>
  <si>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</si>
  <si>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</si>
  <si>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</si>
  <si>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</si>
  <si>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</si>
  <si>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</si>
  <si>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</si>
  <si>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</si>
  <si>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</si>
  <si>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</si>
  <si>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</si>
  <si>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</si>
  <si>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</si>
  <si>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</si>
  <si>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</si>
  <si>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</si>
  <si>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</si>
  <si>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</si>
  <si>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</si>
  <si>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</si>
  <si>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</si>
  <si>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</si>
  <si>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</si>
  <si>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</si>
  <si>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</si>
  <si>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</si>
  <si>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</si>
  <si>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</si>
  <si>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</si>
  <si>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</si>
  <si>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</si>
  <si>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</si>
  <si>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</si>
  <si>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</si>
  <si>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</si>
  <si>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</si>
  <si>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</si>
  <si>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</si>
  <si>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</si>
  <si>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</si>
  <si>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</si>
  <si>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</si>
  <si>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</si>
  <si>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</si>
  <si>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</si>
  <si>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</si>
  <si>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</si>
  <si>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</si>
  <si>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</si>
  <si>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</si>
  <si>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</si>
  <si>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</si>
  <si>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</si>
  <si>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</si>
  <si>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</si>
  <si>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</si>
  <si>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</si>
  <si>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</si>
  <si>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</si>
  <si>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</si>
  <si>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</si>
  <si>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</si>
  <si>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</si>
  <si>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</si>
  <si>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</si>
  <si>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</si>
  <si>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</si>
  <si>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</si>
  <si>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</si>
  <si>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</si>
  <si>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</si>
  <si>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</si>
  <si>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</si>
  <si>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</si>
  <si>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</si>
  <si>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</si>
  <si>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</si>
  <si>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</si>
  <si>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</si>
  <si>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</si>
  <si>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</si>
  <si>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</si>
  <si>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</si>
  <si>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</si>
  <si>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</si>
  <si>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</si>
  <si>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</si>
  <si>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</si>
  <si>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</si>
  <si>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</si>
  <si>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</si>
  <si>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</si>
  <si>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</si>
  <si>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</si>
  <si>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</si>
  <si>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</si>
  <si>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</si>
  <si>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</si>
  <si>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</si>
  <si>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</si>
  <si>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</si>
  <si>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</si>
  <si>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</si>
  <si>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</si>
  <si>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</si>
  <si>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</si>
  <si>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</si>
  <si>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</si>
  <si>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</si>
  <si>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</si>
  <si>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</si>
  <si>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</si>
  <si>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</si>
  <si>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</si>
  <si>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</si>
  <si>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</si>
  <si>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</si>
  <si>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</si>
  <si>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</si>
  <si>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</si>
  <si>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</si>
  <si>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</si>
  <si>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</si>
  <si>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</si>
  <si>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</si>
  <si>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</si>
  <si>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</si>
  <si>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</si>
  <si>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</si>
  <si>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</si>
  <si>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</si>
  <si>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</si>
  <si>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</si>
  <si>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</si>
  <si>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</si>
  <si>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</si>
  <si>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</si>
  <si>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</si>
  <si>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</si>
  <si>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</si>
  <si>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</si>
  <si>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</si>
  <si>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</si>
  <si>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</si>
  <si>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</si>
  <si>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</si>
  <si>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</si>
  <si>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</si>
  <si>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</si>
  <si>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</si>
  <si>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</si>
  <si>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</si>
  <si>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</si>
  <si>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</si>
  <si>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</si>
  <si>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</si>
  <si>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</si>
  <si>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</si>
  <si>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</si>
  <si>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</si>
  <si>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</si>
  <si>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</si>
  <si>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</si>
  <si>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</si>
  <si>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</si>
  <si>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</si>
  <si>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</si>
  <si>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</si>
  <si>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</si>
  <si>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</si>
  <si>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</si>
  <si>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</si>
  <si>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</si>
  <si>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</si>
  <si>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</si>
  <si>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</si>
  <si>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</si>
  <si>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</si>
  <si>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</si>
  <si>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</si>
  <si>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</si>
  <si>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</si>
  <si>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</si>
  <si>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</si>
  <si>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</si>
  <si>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</si>
  <si>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</si>
  <si>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</si>
  <si>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</si>
  <si>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</si>
  <si>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</si>
  <si>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</si>
  <si>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</si>
  <si>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</si>
  <si>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</si>
  <si>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</si>
  <si>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</si>
  <si>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</si>
  <si>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</si>
  <si>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</si>
  <si>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</si>
  <si>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</si>
  <si>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</si>
  <si>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</si>
  <si>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</si>
  <si>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</si>
  <si>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</si>
  <si>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</si>
  <si>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</si>
  <si>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</si>
  <si>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</si>
  <si>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</si>
  <si>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</si>
  <si>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</si>
  <si>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</si>
  <si>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</si>
  <si>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</si>
  <si>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</si>
  <si>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</si>
  <si>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</si>
  <si>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</si>
  <si>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</si>
  <si>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</si>
  <si>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</si>
  <si>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</si>
  <si>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</si>
  <si>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</si>
  <si>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</si>
  <si>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</si>
  <si>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</si>
  <si>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</si>
  <si>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</si>
  <si>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</si>
  <si>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</si>
  <si>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</si>
  <si>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</si>
  <si>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</si>
  <si>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</si>
  <si>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</si>
  <si>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</si>
  <si>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</si>
  <si>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</si>
  <si>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</si>
  <si>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</si>
  <si>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</si>
  <si>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</si>
  <si>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</si>
  <si>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</si>
  <si>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</si>
  <si>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</si>
  <si>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</si>
  <si>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</si>
  <si>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</si>
  <si>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</si>
  <si>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</si>
  <si>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</si>
  <si>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</si>
  <si>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</si>
  <si>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</si>
  <si>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</si>
  <si>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</si>
  <si>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</si>
  <si>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</si>
  <si>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</si>
  <si>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</si>
  <si>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</si>
  <si>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</si>
  <si>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</si>
  <si>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</si>
  <si>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</si>
  <si>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</si>
  <si>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</si>
  <si>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</si>
  <si>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</si>
  <si>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</si>
  <si>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</si>
  <si>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</si>
  <si>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</si>
  <si>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</si>
  <si>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</si>
  <si>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</si>
  <si>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</si>
  <si>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</si>
  <si>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</si>
  <si>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</si>
  <si>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</si>
  <si>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</si>
  <si>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</si>
  <si>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</si>
  <si>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</si>
  <si>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</si>
  <si>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</si>
  <si>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</si>
  <si>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</si>
  <si>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</si>
  <si>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</si>
  <si>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</si>
  <si>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</si>
  <si>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</si>
  <si>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</si>
  <si>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</si>
  <si>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</si>
  <si>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</si>
  <si>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</si>
  <si>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</si>
  <si>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</si>
  <si>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</si>
  <si>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</si>
  <si>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</si>
  <si>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</si>
  <si>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</si>
  <si>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</si>
  <si>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</si>
  <si>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</si>
  <si>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</si>
  <si>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</si>
  <si>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</si>
  <si>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</si>
  <si>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</si>
  <si>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</si>
  <si>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</si>
  <si>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</si>
  <si>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</si>
  <si>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</si>
  <si>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</si>
  <si>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</si>
  <si>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</si>
  <si>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</si>
  <si>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</si>
  <si>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</si>
  <si>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</si>
  <si>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</si>
  <si>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</si>
  <si>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</si>
  <si>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</si>
  <si>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</si>
  <si>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</si>
  <si>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</si>
  <si>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</si>
  <si>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</si>
  <si>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</si>
  <si>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</si>
  <si>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</si>
  <si>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</si>
  <si>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</si>
  <si>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</si>
  <si>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</si>
  <si>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</si>
  <si>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</si>
  <si>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</si>
  <si>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</si>
  <si>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</si>
  <si>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</si>
  <si>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</si>
  <si>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</si>
  <si>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</si>
  <si>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</si>
  <si>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</si>
  <si>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</si>
  <si>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</si>
  <si>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</si>
  <si>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</si>
  <si>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</si>
  <si>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</si>
  <si>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</si>
  <si>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</si>
  <si>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</si>
  <si>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</si>
  <si>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</si>
  <si>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</si>
  <si>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</si>
  <si>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</si>
  <si>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</si>
  <si>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</si>
  <si>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</si>
  <si>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</si>
  <si>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</si>
  <si>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</si>
  <si>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</si>
  <si>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</si>
  <si>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</si>
  <si>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</si>
  <si>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</si>
  <si>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</si>
  <si>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</si>
  <si>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</si>
  <si>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</si>
  <si>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</si>
  <si>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</si>
  <si>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</si>
  <si>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</si>
  <si>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</si>
  <si>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</si>
  <si>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</si>
  <si>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</si>
  <si>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</si>
  <si>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</si>
  <si>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</si>
  <si>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</si>
  <si>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</si>
  <si>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</si>
  <si>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</si>
  <si>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</si>
  <si>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</si>
  <si>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</si>
  <si>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</si>
  <si>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</si>
  <si>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</si>
  <si>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</si>
  <si>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</si>
  <si>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</si>
  <si>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</si>
  <si>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</si>
  <si>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</si>
  <si>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</si>
  <si>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</si>
  <si>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</si>
  <si>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</si>
  <si>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</si>
  <si>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</si>
  <si>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</si>
  <si>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</si>
  <si>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</si>
  <si>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</si>
  <si>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</si>
  <si>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</si>
  <si>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</si>
  <si>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</si>
  <si>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</si>
  <si>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</si>
  <si>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</si>
  <si>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</si>
  <si>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</si>
  <si>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</si>
  <si>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</si>
  <si>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</si>
  <si>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</si>
  <si>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</si>
  <si>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</si>
  <si>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</si>
  <si>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</si>
  <si>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</si>
  <si>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</si>
  <si>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</si>
  <si>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</si>
  <si>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</si>
  <si>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</si>
  <si>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</si>
  <si>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</si>
  <si>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</si>
  <si>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</si>
  <si>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</si>
  <si>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</si>
  <si>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</si>
  <si>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</si>
  <si>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</si>
  <si>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</si>
  <si>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</si>
  <si>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</si>
  <si>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</si>
  <si>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</si>
  <si>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</si>
  <si>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</si>
  <si>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</si>
  <si>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</si>
  <si>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</si>
  <si>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</si>
  <si>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</si>
  <si>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</si>
  <si>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</si>
  <si>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</si>
  <si>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</si>
  <si>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</si>
  <si>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</si>
  <si>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</si>
  <si>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</si>
  <si>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</si>
  <si>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</si>
  <si>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</si>
  <si>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</si>
  <si>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</si>
  <si>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</si>
  <si>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</si>
  <si>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</si>
  <si>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</si>
  <si>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</si>
  <si>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</si>
  <si>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</si>
  <si>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</si>
  <si>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</si>
  <si>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</si>
  <si>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</si>
  <si>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</si>
  <si>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</si>
  <si>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</si>
  <si>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</si>
  <si>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</si>
  <si>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</si>
  <si>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</si>
  <si>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</si>
  <si>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</si>
  <si>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</si>
  <si>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</si>
  <si>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</si>
  <si>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</si>
  <si>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</si>
  <si>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</si>
  <si>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</si>
  <si>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</si>
  <si>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</si>
  <si>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</si>
  <si>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</si>
  <si>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</si>
  <si>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</si>
  <si>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</si>
  <si>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</si>
  <si>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</si>
  <si>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</si>
  <si>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</si>
  <si>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</si>
  <si>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</si>
  <si>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</si>
  <si>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</si>
  <si>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</si>
  <si>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</si>
  <si>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</si>
  <si>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</si>
  <si>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</si>
  <si>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</si>
  <si>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</si>
  <si>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</si>
  <si>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</si>
  <si>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</si>
  <si>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</si>
  <si>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</si>
  <si>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</si>
  <si>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</si>
  <si>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</si>
  <si>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</si>
  <si>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</si>
  <si>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</si>
  <si>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</si>
  <si>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</si>
  <si>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</si>
  <si>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</si>
  <si>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</si>
  <si>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</si>
  <si>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</si>
  <si>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</si>
  <si>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</si>
  <si>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</si>
  <si>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</si>
  <si>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</si>
  <si>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</si>
  <si>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</si>
  <si>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</si>
  <si>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</si>
  <si>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</si>
  <si>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</si>
  <si>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</si>
  <si>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</si>
  <si>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</si>
  <si>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</si>
  <si>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</si>
  <si>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</si>
  <si>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</si>
  <si>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</si>
  <si>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</si>
  <si>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</si>
  <si>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</si>
  <si>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</si>
  <si>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</si>
  <si>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</si>
  <si>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</si>
  <si>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</si>
  <si>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</si>
  <si>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</si>
  <si>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</si>
  <si>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</si>
  <si>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</si>
  <si>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</si>
  <si>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</si>
  <si>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</si>
  <si>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</si>
  <si>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</si>
  <si>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</si>
  <si>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</si>
  <si>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</si>
  <si>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</si>
  <si>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</si>
  <si>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</si>
  <si>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</si>
  <si>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</si>
  <si>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</si>
  <si>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</si>
  <si>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</si>
  <si>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</si>
  <si>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</si>
  <si>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</si>
  <si>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</si>
  <si>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</si>
  <si>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</si>
  <si>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</si>
  <si>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</si>
  <si>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</si>
  <si>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</si>
  <si>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</si>
  <si>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</si>
  <si>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</si>
  <si>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</si>
  <si>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</si>
  <si>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</si>
  <si>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</si>
  <si>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</si>
  <si>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</si>
  <si>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</si>
  <si>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</si>
  <si>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</si>
  <si>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</si>
  <si>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</si>
  <si>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</si>
  <si>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</si>
  <si>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</si>
  <si>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</si>
  <si>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</si>
  <si>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</si>
  <si>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</si>
  <si>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</si>
  <si>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</si>
  <si>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</si>
  <si>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</si>
  <si>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</si>
  <si>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</si>
  <si>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</si>
  <si>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</si>
  <si>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</si>
  <si>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</si>
  <si>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</si>
  <si>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</si>
  <si>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</si>
  <si>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</si>
  <si>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</si>
  <si>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</si>
  <si>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</si>
  <si>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</si>
  <si>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</si>
  <si>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</si>
  <si>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</si>
  <si>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</si>
  <si>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</si>
  <si>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</si>
  <si>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</si>
  <si>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</si>
  <si>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</si>
  <si>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</si>
  <si>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</si>
  <si>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</si>
  <si>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</si>
  <si>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</si>
  <si>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</si>
  <si>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</si>
  <si>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</si>
  <si>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</si>
  <si>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</si>
  <si>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</si>
  <si>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</si>
  <si>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</si>
  <si>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</si>
  <si>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</si>
  <si>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</si>
  <si>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</si>
  <si>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</si>
  <si>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</si>
  <si>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</si>
  <si>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</si>
  <si>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</si>
  <si>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</si>
  <si>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</si>
  <si>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</si>
  <si>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</si>
  <si>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</si>
  <si>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</si>
  <si>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</si>
  <si>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</si>
  <si>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</si>
  <si>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</si>
  <si>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</si>
  <si>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</si>
  <si>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</si>
  <si>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</si>
  <si>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</si>
  <si>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</si>
  <si>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</si>
  <si>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</si>
  <si>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</si>
  <si>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</si>
  <si>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</si>
  <si>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</si>
  <si>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</si>
  <si>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</si>
  <si>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</si>
  <si>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</si>
  <si>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</si>
  <si>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</si>
  <si>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</si>
  <si>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</si>
  <si>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</si>
  <si>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</si>
  <si>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</si>
  <si>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</si>
  <si>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</si>
  <si>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</si>
  <si>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</si>
  <si>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</si>
  <si>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</si>
  <si>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</si>
  <si>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</si>
  <si>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</si>
  <si>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</si>
  <si>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</si>
  <si>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</si>
  <si>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</si>
  <si>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</si>
  <si>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</si>
  <si>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</si>
  <si>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</si>
  <si>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</si>
  <si>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</si>
  <si>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</si>
  <si>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</si>
  <si>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</si>
  <si>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</si>
  <si>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</si>
  <si>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</si>
  <si>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</si>
  <si>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23002</t>
  </si>
  <si>
    <t>ASSE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</si>
  <si>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</si>
  <si>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</si>
  <si>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</si>
  <si>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</si>
  <si>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</si>
  <si>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</si>
  <si>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</si>
  <si>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Becker Electrogroep</t>
  </si>
  <si>
    <t>Breker 13, 1730 Asse</t>
  </si>
  <si>
    <t>BMS-0093 Costermans</t>
  </si>
  <si>
    <t>biomassa uit land- of bosbouw</t>
  </si>
  <si>
    <t>niet WKK interne verbrandingsmotor (vloeibaar)</t>
  </si>
  <si>
    <t>Koelarenveld 4 , 2861 Onze-Lieve-Vrouw-Waver</t>
  </si>
  <si>
    <t>Iverlek</t>
  </si>
  <si>
    <t>BMS-0020 De Becker Asse PPO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</si>
</sst>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23002</v>
      </c>
      <c r="B6" s="396"/>
      <c r="C6" s="397"/>
    </row>
    <row r="7" spans="1:7" s="394" customFormat="1" ht="15.75" customHeight="1">
      <c r="A7" s="398" t="str">
        <f>txtMunicipality</f>
        <v>ASSE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0.1760036976555682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0.1760036976555682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12628</v>
      </c>
      <c r="C9" s="336">
        <v>13543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2383</v>
      </c>
    </row>
    <row r="15" spans="1:6">
      <c r="A15" s="1277" t="s">
        <v>184</v>
      </c>
      <c r="B15" s="333">
        <v>811</v>
      </c>
    </row>
    <row r="16" spans="1:6">
      <c r="A16" s="1277" t="s">
        <v>6</v>
      </c>
      <c r="B16" s="333">
        <v>235</v>
      </c>
    </row>
    <row r="17" spans="1:6">
      <c r="A17" s="1277" t="s">
        <v>7</v>
      </c>
      <c r="B17" s="333">
        <v>459</v>
      </c>
    </row>
    <row r="18" spans="1:6">
      <c r="A18" s="1277" t="s">
        <v>8</v>
      </c>
      <c r="B18" s="333">
        <v>509</v>
      </c>
    </row>
    <row r="19" spans="1:6">
      <c r="A19" s="1277" t="s">
        <v>9</v>
      </c>
      <c r="B19" s="333">
        <v>508</v>
      </c>
    </row>
    <row r="20" spans="1:6">
      <c r="A20" s="1277" t="s">
        <v>10</v>
      </c>
      <c r="B20" s="333">
        <v>483</v>
      </c>
    </row>
    <row r="21" spans="1:6">
      <c r="A21" s="1277" t="s">
        <v>11</v>
      </c>
      <c r="B21" s="333">
        <v>237</v>
      </c>
    </row>
    <row r="22" spans="1:6">
      <c r="A22" s="1277" t="s">
        <v>12</v>
      </c>
      <c r="B22" s="333">
        <v>3447</v>
      </c>
    </row>
    <row r="23" spans="1:6">
      <c r="A23" s="1277" t="s">
        <v>13</v>
      </c>
      <c r="B23" s="333">
        <v>11</v>
      </c>
    </row>
    <row r="24" spans="1:6">
      <c r="A24" s="1277" t="s">
        <v>14</v>
      </c>
      <c r="B24" s="333">
        <v>1</v>
      </c>
    </row>
    <row r="25" spans="1:6">
      <c r="A25" s="1277" t="s">
        <v>15</v>
      </c>
      <c r="B25" s="333">
        <v>94</v>
      </c>
    </row>
    <row r="26" spans="1:6">
      <c r="A26" s="1277" t="s">
        <v>16</v>
      </c>
      <c r="B26" s="333">
        <v>308</v>
      </c>
    </row>
    <row r="27" spans="1:6">
      <c r="A27" s="1277" t="s">
        <v>17</v>
      </c>
      <c r="B27" s="333">
        <v>0</v>
      </c>
    </row>
    <row r="28" spans="1:6">
      <c r="A28" s="1277" t="s">
        <v>18</v>
      </c>
      <c r="B28" s="333">
        <v>73671</v>
      </c>
    </row>
    <row r="29" spans="1:6">
      <c r="A29" s="1277" t="s">
        <v>959</v>
      </c>
      <c r="B29" s="333">
        <v>349</v>
      </c>
    </row>
    <row r="30" spans="1:6">
      <c r="A30" s="1273" t="s">
        <v>960</v>
      </c>
      <c r="B30" s="1273">
        <v>96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7</v>
      </c>
      <c r="F38" s="333">
        <v>322436.57749347598</v>
      </c>
    </row>
    <row r="39" spans="1:6">
      <c r="A39" s="1277" t="s">
        <v>30</v>
      </c>
      <c r="B39" s="1277" t="s">
        <v>31</v>
      </c>
      <c r="C39" s="333">
        <v>6978</v>
      </c>
      <c r="D39" s="333">
        <v>118572009.504922</v>
      </c>
      <c r="E39" s="333">
        <v>12619</v>
      </c>
      <c r="F39" s="333">
        <v>51025147.667776503</v>
      </c>
    </row>
    <row r="40" spans="1:6">
      <c r="A40" s="1277" t="s">
        <v>30</v>
      </c>
      <c r="B40" s="1277" t="s">
        <v>29</v>
      </c>
      <c r="C40" s="333">
        <v>0</v>
      </c>
      <c r="D40" s="333">
        <v>0</v>
      </c>
      <c r="E40" s="333">
        <v>0</v>
      </c>
      <c r="F40" s="333">
        <v>0</v>
      </c>
    </row>
    <row r="41" spans="1:6">
      <c r="A41" s="1277" t="s">
        <v>32</v>
      </c>
      <c r="B41" s="1277" t="s">
        <v>33</v>
      </c>
      <c r="C41" s="333">
        <v>53</v>
      </c>
      <c r="D41" s="333">
        <v>2292524.23339498</v>
      </c>
      <c r="E41" s="333">
        <v>198</v>
      </c>
      <c r="F41" s="333">
        <v>1533691.36061135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92417.944552440196</v>
      </c>
    </row>
    <row r="45" spans="1:6">
      <c r="A45" s="1277" t="s">
        <v>32</v>
      </c>
      <c r="B45" s="1277" t="s">
        <v>37</v>
      </c>
      <c r="C45" s="333">
        <v>3</v>
      </c>
      <c r="D45" s="333">
        <v>64299.794635526399</v>
      </c>
      <c r="E45" s="333">
        <v>6</v>
      </c>
      <c r="F45" s="333">
        <v>50430.030572089301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40</v>
      </c>
      <c r="D48" s="333">
        <v>3839876.6024482101</v>
      </c>
      <c r="E48" s="333">
        <v>53</v>
      </c>
      <c r="F48" s="333">
        <v>5193828.8464313401</v>
      </c>
    </row>
    <row r="49" spans="1:6">
      <c r="A49" s="1277" t="s">
        <v>32</v>
      </c>
      <c r="B49" s="1277" t="s">
        <v>40</v>
      </c>
      <c r="C49" s="333">
        <v>0</v>
      </c>
      <c r="D49" s="333">
        <v>0</v>
      </c>
      <c r="E49" s="333">
        <v>0</v>
      </c>
      <c r="F49" s="333">
        <v>0</v>
      </c>
    </row>
    <row r="50" spans="1:6">
      <c r="A50" s="1277" t="s">
        <v>32</v>
      </c>
      <c r="B50" s="1277" t="s">
        <v>41</v>
      </c>
      <c r="C50" s="333">
        <v>12</v>
      </c>
      <c r="D50" s="333">
        <v>6653536.8776334198</v>
      </c>
      <c r="E50" s="333">
        <v>14</v>
      </c>
      <c r="F50" s="333">
        <v>4517196.2430865597</v>
      </c>
    </row>
    <row r="51" spans="1:6">
      <c r="A51" s="1277" t="s">
        <v>42</v>
      </c>
      <c r="B51" s="1277" t="s">
        <v>43</v>
      </c>
      <c r="C51" s="333">
        <v>6</v>
      </c>
      <c r="D51" s="333">
        <v>716560.46857042401</v>
      </c>
      <c r="E51" s="333">
        <v>86</v>
      </c>
      <c r="F51" s="333">
        <v>947086.77405356197</v>
      </c>
    </row>
    <row r="52" spans="1:6">
      <c r="A52" s="1277" t="s">
        <v>42</v>
      </c>
      <c r="B52" s="1277" t="s">
        <v>29</v>
      </c>
      <c r="C52" s="333">
        <v>6</v>
      </c>
      <c r="D52" s="333">
        <v>411370.12519842002</v>
      </c>
      <c r="E52" s="333">
        <v>8</v>
      </c>
      <c r="F52" s="333">
        <v>78122.370734970595</v>
      </c>
    </row>
    <row r="53" spans="1:6">
      <c r="A53" s="1277" t="s">
        <v>44</v>
      </c>
      <c r="B53" s="1277" t="s">
        <v>45</v>
      </c>
      <c r="C53" s="333">
        <v>342</v>
      </c>
      <c r="D53" s="333">
        <v>6840436.8920847997</v>
      </c>
      <c r="E53" s="333">
        <v>600</v>
      </c>
      <c r="F53" s="333">
        <v>2606798.4776907698</v>
      </c>
    </row>
    <row r="54" spans="1:6">
      <c r="A54" s="1277" t="s">
        <v>46</v>
      </c>
      <c r="B54" s="1277" t="s">
        <v>47</v>
      </c>
      <c r="C54" s="333">
        <v>0</v>
      </c>
      <c r="D54" s="333">
        <v>0</v>
      </c>
      <c r="E54" s="333">
        <v>1</v>
      </c>
      <c r="F54" s="333">
        <v>2038823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54</v>
      </c>
      <c r="D57" s="333">
        <v>4431587.3659269996</v>
      </c>
      <c r="E57" s="333">
        <v>116</v>
      </c>
      <c r="F57" s="333">
        <v>2317784.3027018402</v>
      </c>
    </row>
    <row r="58" spans="1:6">
      <c r="A58" s="1277" t="s">
        <v>49</v>
      </c>
      <c r="B58" s="1277" t="s">
        <v>51</v>
      </c>
      <c r="C58" s="333">
        <v>21</v>
      </c>
      <c r="D58" s="333">
        <v>697816.08327903505</v>
      </c>
      <c r="E58" s="333">
        <v>43</v>
      </c>
      <c r="F58" s="333">
        <v>1026123.59592326</v>
      </c>
    </row>
    <row r="59" spans="1:6">
      <c r="A59" s="1277" t="s">
        <v>49</v>
      </c>
      <c r="B59" s="1277" t="s">
        <v>52</v>
      </c>
      <c r="C59" s="333">
        <v>156</v>
      </c>
      <c r="D59" s="333">
        <v>26529808.563772101</v>
      </c>
      <c r="E59" s="333">
        <v>420</v>
      </c>
      <c r="F59" s="333">
        <v>48605788.081136897</v>
      </c>
    </row>
    <row r="60" spans="1:6">
      <c r="A60" s="1277" t="s">
        <v>49</v>
      </c>
      <c r="B60" s="1277" t="s">
        <v>53</v>
      </c>
      <c r="C60" s="333">
        <v>63</v>
      </c>
      <c r="D60" s="333">
        <v>2773829.3903520699</v>
      </c>
      <c r="E60" s="333">
        <v>101</v>
      </c>
      <c r="F60" s="333">
        <v>2226400.7814754299</v>
      </c>
    </row>
    <row r="61" spans="1:6">
      <c r="A61" s="1277" t="s">
        <v>49</v>
      </c>
      <c r="B61" s="1277" t="s">
        <v>54</v>
      </c>
      <c r="C61" s="333">
        <v>235</v>
      </c>
      <c r="D61" s="333">
        <v>22195674.1880266</v>
      </c>
      <c r="E61" s="333">
        <v>749</v>
      </c>
      <c r="F61" s="333">
        <v>16242475.0892774</v>
      </c>
    </row>
    <row r="62" spans="1:6">
      <c r="A62" s="1277" t="s">
        <v>49</v>
      </c>
      <c r="B62" s="1277" t="s">
        <v>55</v>
      </c>
      <c r="C62" s="333">
        <v>6</v>
      </c>
      <c r="D62" s="333">
        <v>2219393.7647814001</v>
      </c>
      <c r="E62" s="333">
        <v>9</v>
      </c>
      <c r="F62" s="333">
        <v>277304.655307504</v>
      </c>
    </row>
    <row r="63" spans="1:6">
      <c r="A63" s="1277" t="s">
        <v>49</v>
      </c>
      <c r="B63" s="1277" t="s">
        <v>29</v>
      </c>
      <c r="C63" s="333">
        <v>205</v>
      </c>
      <c r="D63" s="333">
        <v>24354653.525724798</v>
      </c>
      <c r="E63" s="333">
        <v>198</v>
      </c>
      <c r="F63" s="333">
        <v>21670986.712657701</v>
      </c>
    </row>
    <row r="64" spans="1:6">
      <c r="A64" s="1277" t="s">
        <v>56</v>
      </c>
      <c r="B64" s="1277" t="s">
        <v>57</v>
      </c>
      <c r="C64" s="333">
        <v>0</v>
      </c>
      <c r="D64" s="333">
        <v>0</v>
      </c>
      <c r="E64" s="333">
        <v>0</v>
      </c>
      <c r="F64" s="333">
        <v>0</v>
      </c>
    </row>
    <row r="65" spans="1:6">
      <c r="A65" s="1277" t="s">
        <v>56</v>
      </c>
      <c r="B65" s="1277" t="s">
        <v>29</v>
      </c>
      <c r="C65" s="333">
        <v>4</v>
      </c>
      <c r="D65" s="333">
        <v>140677.56702471801</v>
      </c>
      <c r="E65" s="333">
        <v>6</v>
      </c>
      <c r="F65" s="333">
        <v>145353.167595515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11</v>
      </c>
      <c r="D68" s="333">
        <v>616076.13692133105</v>
      </c>
      <c r="E68" s="333">
        <v>31</v>
      </c>
      <c r="F68" s="333">
        <v>1716541.1826557501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146462282</v>
      </c>
      <c r="E73" s="333">
        <v>150246757.46871951</v>
      </c>
      <c r="F73" s="333">
        <v>145753399</v>
      </c>
    </row>
    <row r="74" spans="1:6">
      <c r="A74" s="1277" t="s">
        <v>64</v>
      </c>
      <c r="B74" s="1277" t="s">
        <v>774</v>
      </c>
      <c r="C74" s="1288" t="s">
        <v>775</v>
      </c>
      <c r="D74" s="333">
        <v>11996176.738695968</v>
      </c>
      <c r="E74" s="333">
        <v>12375903.96425138</v>
      </c>
      <c r="F74" s="333">
        <v>12208349.691463459</v>
      </c>
    </row>
    <row r="75" spans="1:6">
      <c r="A75" s="1277" t="s">
        <v>65</v>
      </c>
      <c r="B75" s="1277" t="s">
        <v>772</v>
      </c>
      <c r="C75" s="1288" t="s">
        <v>776</v>
      </c>
      <c r="D75" s="333">
        <v>61616381</v>
      </c>
      <c r="E75" s="333">
        <v>63109571.028129458</v>
      </c>
      <c r="F75" s="333">
        <v>61531806</v>
      </c>
    </row>
    <row r="76" spans="1:6">
      <c r="A76" s="1277" t="s">
        <v>65</v>
      </c>
      <c r="B76" s="1277" t="s">
        <v>774</v>
      </c>
      <c r="C76" s="1288" t="s">
        <v>777</v>
      </c>
      <c r="D76" s="333">
        <v>3237060.7386959684</v>
      </c>
      <c r="E76" s="333">
        <v>3477958.7019442003</v>
      </c>
      <c r="F76" s="333">
        <v>3364784.6914634593</v>
      </c>
    </row>
    <row r="77" spans="1:6">
      <c r="A77" s="1277" t="s">
        <v>66</v>
      </c>
      <c r="B77" s="1277" t="s">
        <v>772</v>
      </c>
      <c r="C77" s="1288" t="s">
        <v>778</v>
      </c>
      <c r="D77" s="333">
        <v>140466208</v>
      </c>
      <c r="E77" s="333">
        <v>146876525.53910089</v>
      </c>
      <c r="F77" s="333">
        <v>145093812</v>
      </c>
    </row>
    <row r="78" spans="1:6">
      <c r="A78" s="1273" t="s">
        <v>66</v>
      </c>
      <c r="B78" s="1273" t="s">
        <v>774</v>
      </c>
      <c r="C78" s="1273" t="s">
        <v>779</v>
      </c>
      <c r="D78" s="1273">
        <v>16498091</v>
      </c>
      <c r="E78" s="1273">
        <v>17757833.428267155</v>
      </c>
      <c r="F78" s="336">
        <v>17201691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1442152.5226080634</v>
      </c>
      <c r="C83" s="333">
        <v>1327322.9834312252</v>
      </c>
      <c r="D83" s="333">
        <v>1335304.6170730817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1721.2213672557755</v>
      </c>
    </row>
    <row r="92" spans="1:6">
      <c r="A92" s="1273" t="s">
        <v>69</v>
      </c>
      <c r="B92" s="336">
        <v>3488.0039227484485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4799</v>
      </c>
    </row>
    <row r="98" spans="1:6">
      <c r="A98" s="1277" t="s">
        <v>72</v>
      </c>
      <c r="B98" s="333">
        <v>4</v>
      </c>
    </row>
    <row r="99" spans="1:6">
      <c r="A99" s="1277" t="s">
        <v>73</v>
      </c>
      <c r="B99" s="333">
        <v>99</v>
      </c>
    </row>
    <row r="100" spans="1:6">
      <c r="A100" s="1277" t="s">
        <v>74</v>
      </c>
      <c r="B100" s="333">
        <v>830</v>
      </c>
    </row>
    <row r="101" spans="1:6">
      <c r="A101" s="1277" t="s">
        <v>75</v>
      </c>
      <c r="B101" s="333">
        <v>75</v>
      </c>
    </row>
    <row r="102" spans="1:6">
      <c r="A102" s="1277" t="s">
        <v>76</v>
      </c>
      <c r="B102" s="333">
        <v>177</v>
      </c>
    </row>
    <row r="103" spans="1:6">
      <c r="A103" s="1277" t="s">
        <v>77</v>
      </c>
      <c r="B103" s="333">
        <v>217</v>
      </c>
    </row>
    <row r="104" spans="1:6">
      <c r="A104" s="1277" t="s">
        <v>78</v>
      </c>
      <c r="B104" s="333">
        <v>4999</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9</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2</v>
      </c>
    </row>
    <row r="131" spans="1:6">
      <c r="A131" s="1277" t="s">
        <v>296</v>
      </c>
      <c r="B131" s="333">
        <v>0</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162174.41009336521</v>
      </c>
      <c r="C3" s="43" t="s">
        <v>170</v>
      </c>
      <c r="D3" s="43"/>
      <c r="E3" s="156"/>
      <c r="F3" s="43"/>
      <c r="G3" s="43"/>
      <c r="H3" s="43"/>
      <c r="I3" s="43"/>
      <c r="J3" s="43"/>
      <c r="K3" s="96"/>
    </row>
    <row r="4" spans="1:11">
      <c r="A4" s="364" t="s">
        <v>171</v>
      </c>
      <c r="B4" s="49">
        <f>IF(ISERROR('SEAP template'!B78+'SEAP template'!C78),0,'SEAP template'!B78+'SEAP template'!C78)</f>
        <v>33019.225290004222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0.1760036976555682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2038.8230000000001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0.1760036976555682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358.84038686521853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51025.147667776502</v>
      </c>
      <c r="C5" s="17">
        <f>IF(ISERROR('Eigen informatie GS &amp; warmtenet'!B57),0,'Eigen informatie GS &amp; warmtenet'!B57)</f>
        <v>0</v>
      </c>
      <c r="D5" s="30">
        <f>(SUM(HH_hh_gas_kWh,HH_rest_gas_kWh)/1000)*0.902</f>
        <v>106951.95257343964</v>
      </c>
      <c r="E5" s="17">
        <f>B46*B57</f>
        <v>5239.2638262796027</v>
      </c>
      <c r="F5" s="17">
        <f>B51*B62</f>
        <v>69270.51739402565</v>
      </c>
      <c r="G5" s="18"/>
      <c r="H5" s="17"/>
      <c r="I5" s="17"/>
      <c r="J5" s="17">
        <f>B50*B61+C50*C61</f>
        <v>0</v>
      </c>
      <c r="K5" s="17"/>
      <c r="L5" s="17"/>
      <c r="M5" s="17"/>
      <c r="N5" s="17">
        <f>B48*B59+C48*C59</f>
        <v>11484.080758051599</v>
      </c>
      <c r="O5" s="17">
        <f>B69*B70*B71</f>
        <v>84.42</v>
      </c>
      <c r="P5" s="17">
        <f>B77*B78*B79/1000-B77*B78*B79/1000/B80</f>
        <v>552.93333333333339</v>
      </c>
    </row>
    <row r="6" spans="1:16">
      <c r="A6" s="16" t="s">
        <v>632</v>
      </c>
      <c r="B6" s="779">
        <f>kWh_PV_kleiner_dan_10kW</f>
        <v>1721.2213672557755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52746.369035032279</v>
      </c>
      <c r="C8" s="21">
        <f>C5</f>
        <v>0</v>
      </c>
      <c r="D8" s="21">
        <f>D5</f>
        <v>106951.95257343964</v>
      </c>
      <c r="E8" s="21">
        <f>E5</f>
        <v>5239.2638262796027</v>
      </c>
      <c r="F8" s="21">
        <f>F5</f>
        <v>69270.51739402565</v>
      </c>
      <c r="G8" s="21"/>
      <c r="H8" s="21"/>
      <c r="I8" s="21"/>
      <c r="J8" s="21">
        <f>J5</f>
        <v>0</v>
      </c>
      <c r="K8" s="21"/>
      <c r="L8" s="21">
        <f>L5</f>
        <v>0</v>
      </c>
      <c r="M8" s="21">
        <f>M5</f>
        <v>0</v>
      </c>
      <c r="N8" s="21">
        <f>N5</f>
        <v>11484.080758051599</v>
      </c>
      <c r="O8" s="21">
        <f>O5</f>
        <v>84.42</v>
      </c>
      <c r="P8" s="21">
        <f>P5</f>
        <v>552.93333333333339</v>
      </c>
    </row>
    <row r="9" spans="1:16">
      <c r="B9" s="19"/>
      <c r="C9" s="19"/>
      <c r="D9" s="260"/>
      <c r="E9" s="19"/>
      <c r="F9" s="19"/>
      <c r="G9" s="19"/>
      <c r="H9" s="19"/>
      <c r="I9" s="19"/>
      <c r="J9" s="19"/>
      <c r="K9" s="19"/>
      <c r="L9" s="19"/>
      <c r="M9" s="19"/>
      <c r="N9" s="19"/>
      <c r="O9" s="19"/>
      <c r="P9" s="19"/>
    </row>
    <row r="10" spans="1:16">
      <c r="A10" s="24" t="s">
        <v>214</v>
      </c>
      <c r="B10" s="25">
        <f ca="1">'EF ele_warmte'!B12</f>
        <v>0.1760036976555682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9283.5559880708461</v>
      </c>
      <c r="C12" s="23">
        <f ca="1">C10*C8</f>
        <v>0</v>
      </c>
      <c r="D12" s="23">
        <f>D8*D10</f>
        <v>21604.294419834809</v>
      </c>
      <c r="E12" s="23">
        <f>E10*E8</f>
        <v>1189.3128885654698</v>
      </c>
      <c r="F12" s="23">
        <f>F10*F8</f>
        <v>18495.228144204848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4799</v>
      </c>
      <c r="C18" s="167" t="s">
        <v>111</v>
      </c>
      <c r="D18" s="229"/>
      <c r="E18" s="15"/>
    </row>
    <row r="19" spans="1:7">
      <c r="A19" s="172" t="s">
        <v>72</v>
      </c>
      <c r="B19" s="37">
        <f>aantalw2001_ander</f>
        <v>4</v>
      </c>
      <c r="C19" s="167" t="s">
        <v>111</v>
      </c>
      <c r="D19" s="230"/>
      <c r="E19" s="15"/>
    </row>
    <row r="20" spans="1:7">
      <c r="A20" s="172" t="s">
        <v>73</v>
      </c>
      <c r="B20" s="37">
        <f>aantalw2001_propaan</f>
        <v>99</v>
      </c>
      <c r="C20" s="168">
        <f>IF(ISERROR(B20/SUM($B$20,$B$21,$B$22)*100),0,B20/SUM($B$20,$B$21,$B$22)*100)</f>
        <v>9.860557768924302</v>
      </c>
      <c r="D20" s="230"/>
      <c r="E20" s="15"/>
    </row>
    <row r="21" spans="1:7">
      <c r="A21" s="172" t="s">
        <v>74</v>
      </c>
      <c r="B21" s="37">
        <f>aantalw2001_elektriciteit</f>
        <v>830</v>
      </c>
      <c r="C21" s="168">
        <f>IF(ISERROR(B21/SUM($B$20,$B$21,$B$22)*100),0,B21/SUM($B$20,$B$21,$B$22)*100)</f>
        <v>82.669322709163353</v>
      </c>
      <c r="D21" s="230"/>
      <c r="E21" s="15"/>
    </row>
    <row r="22" spans="1:7">
      <c r="A22" s="172" t="s">
        <v>75</v>
      </c>
      <c r="B22" s="37">
        <f>aantalw2001_hout</f>
        <v>75</v>
      </c>
      <c r="C22" s="168">
        <f>IF(ISERROR(B22/SUM($B$20,$B$21,$B$22)*100),0,B22/SUM($B$20,$B$21,$B$22)*100)</f>
        <v>7.4701195219123511</v>
      </c>
      <c r="D22" s="230"/>
      <c r="E22" s="15"/>
    </row>
    <row r="23" spans="1:7">
      <c r="A23" s="172" t="s">
        <v>76</v>
      </c>
      <c r="B23" s="37">
        <f>aantalw2001_niet_gespec</f>
        <v>177</v>
      </c>
      <c r="C23" s="167" t="s">
        <v>111</v>
      </c>
      <c r="D23" s="229"/>
      <c r="E23" s="15"/>
    </row>
    <row r="24" spans="1:7">
      <c r="A24" s="172" t="s">
        <v>77</v>
      </c>
      <c r="B24" s="37">
        <f>aantalw2001_steenkool</f>
        <v>217</v>
      </c>
      <c r="C24" s="167" t="s">
        <v>111</v>
      </c>
      <c r="D24" s="230"/>
      <c r="E24" s="15"/>
    </row>
    <row r="25" spans="1:7">
      <c r="A25" s="172" t="s">
        <v>78</v>
      </c>
      <c r="B25" s="37">
        <f>aantalw2001_stookolie</f>
        <v>4999</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12628</v>
      </c>
      <c r="C28" s="36"/>
      <c r="D28" s="229"/>
    </row>
    <row r="29" spans="1:7" s="15" customFormat="1">
      <c r="A29" s="231" t="s">
        <v>713</v>
      </c>
      <c r="B29" s="37">
        <f>SUM(HH_hh_gas_aantal,HH_rest_gas_aantal)</f>
        <v>6978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6978</v>
      </c>
      <c r="C32" s="168">
        <f>IF(ISERROR(B32/SUM($B$32,$B$34,$B$35,$B$36,$B$38,$B$39)*100),0,B32/SUM($B$32,$B$34,$B$35,$B$36,$B$38,$B$39)*100)</f>
        <v>55.385348043495519</v>
      </c>
      <c r="D32" s="234"/>
      <c r="G32" s="15"/>
    </row>
    <row r="33" spans="1:7">
      <c r="A33" s="172" t="s">
        <v>72</v>
      </c>
      <c r="B33" s="34" t="s">
        <v>111</v>
      </c>
      <c r="C33" s="168"/>
      <c r="D33" s="234"/>
      <c r="G33" s="15"/>
    </row>
    <row r="34" spans="1:7">
      <c r="A34" s="172" t="s">
        <v>73</v>
      </c>
      <c r="B34" s="33">
        <f>IF((($B$28-$B$32-$B$39-$B$77-$B$38)*C20/100)&lt;0,0,($B$28-$B$32-$B$39-$B$77-$B$38)*C20/100)</f>
        <v>254.70806772908367</v>
      </c>
      <c r="C34" s="168">
        <f>IF(ISERROR(B34/SUM($B$32,$B$34,$B$35,$B$36,$B$38,$B$39)*100),0,B34/SUM($B$32,$B$34,$B$35,$B$36,$B$38,$B$39)*100)</f>
        <v>2.0216530496792102</v>
      </c>
      <c r="D34" s="234"/>
      <c r="G34" s="15"/>
    </row>
    <row r="35" spans="1:7">
      <c r="A35" s="172" t="s">
        <v>74</v>
      </c>
      <c r="B35" s="33">
        <f>IF((($B$28-$B$32-$B$39-$B$77-$B$38)*C21/100)&lt;0,0,($B$28-$B$32-$B$39-$B$77-$B$38)*C21/100)</f>
        <v>2135.4312749003989</v>
      </c>
      <c r="C35" s="168">
        <f>IF(ISERROR(B35/SUM($B$32,$B$34,$B$35,$B$36,$B$38,$B$39)*100),0,B35/SUM($B$32,$B$34,$B$35,$B$36,$B$38,$B$39)*100)</f>
        <v>16.949212436704492</v>
      </c>
      <c r="D35" s="234"/>
      <c r="G35" s="15"/>
    </row>
    <row r="36" spans="1:7">
      <c r="A36" s="172" t="s">
        <v>75</v>
      </c>
      <c r="B36" s="33">
        <f>IF((($B$28-$B$32-$B$39-$B$77-$B$38)*C22/100)&lt;0,0,($B$28-$B$32-$B$39-$B$77-$B$38)*C22/100)</f>
        <v>192.96065737051799</v>
      </c>
      <c r="C36" s="168">
        <f>IF(ISERROR(B36/SUM($B$32,$B$34,$B$35,$B$36,$B$38,$B$39)*100),0,B36/SUM($B$32,$B$34,$B$35,$B$36,$B$38,$B$39)*100)</f>
        <v>1.5315553406660687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3037.8999999999996</v>
      </c>
      <c r="C39" s="168">
        <f>IF(ISERROR(B39/SUM($B$32,$B$34,$B$35,$B$36,$B$38,$B$39)*100),0,B39/SUM($B$32,$B$34,$B$35,$B$36,$B$38,$B$39)*100)</f>
        <v>24.112231129454717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6978</v>
      </c>
      <c r="C44" s="34" t="s">
        <v>111</v>
      </c>
      <c r="D44" s="175"/>
    </row>
    <row r="45" spans="1:7">
      <c r="A45" s="172" t="s">
        <v>72</v>
      </c>
      <c r="B45" s="33" t="str">
        <f t="shared" si="0"/>
        <v>-</v>
      </c>
      <c r="C45" s="34" t="s">
        <v>111</v>
      </c>
      <c r="D45" s="175"/>
    </row>
    <row r="46" spans="1:7">
      <c r="A46" s="172" t="s">
        <v>73</v>
      </c>
      <c r="B46" s="33">
        <f t="shared" si="0"/>
        <v>254.70806772908367</v>
      </c>
      <c r="C46" s="34" t="s">
        <v>111</v>
      </c>
      <c r="D46" s="175"/>
    </row>
    <row r="47" spans="1:7">
      <c r="A47" s="172" t="s">
        <v>74</v>
      </c>
      <c r="B47" s="33">
        <f t="shared" si="0"/>
        <v>2135.4312749003989</v>
      </c>
      <c r="C47" s="34" t="s">
        <v>111</v>
      </c>
      <c r="D47" s="175"/>
    </row>
    <row r="48" spans="1:7">
      <c r="A48" s="172" t="s">
        <v>75</v>
      </c>
      <c r="B48" s="33">
        <f t="shared" si="0"/>
        <v>192.96065737051799</v>
      </c>
      <c r="C48" s="33">
        <f>B48*10</f>
        <v>1929.6065737051799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3037.8999999999996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92366.863218480037</v>
      </c>
      <c r="C5" s="17">
        <f>IF(ISERROR('Eigen informatie GS &amp; warmtenet'!B58),0,'Eigen informatie GS &amp; warmtenet'!B58)</f>
        <v>0</v>
      </c>
      <c r="D5" s="30">
        <f>SUM(D6:D12)</f>
        <v>75048.892119440425</v>
      </c>
      <c r="E5" s="17">
        <f>SUM(E6:E12)</f>
        <v>1423.2310347591265</v>
      </c>
      <c r="F5" s="17">
        <f>SUM(F6:F12)</f>
        <v>15688.759940442742</v>
      </c>
      <c r="G5" s="18"/>
      <c r="H5" s="17"/>
      <c r="I5" s="17"/>
      <c r="J5" s="17">
        <f>SUM(J6:J12)</f>
        <v>0</v>
      </c>
      <c r="K5" s="17"/>
      <c r="L5" s="17"/>
      <c r="M5" s="17"/>
      <c r="N5" s="17">
        <f>SUM(N6:N12)</f>
        <v>1306.8157240602677</v>
      </c>
      <c r="O5" s="17">
        <f>B38*B39*B40</f>
        <v>3.1266666666666669</v>
      </c>
      <c r="P5" s="17">
        <f>B46*B47*B48/1000-B46*B47*B48/1000/B49</f>
        <v>0</v>
      </c>
      <c r="R5" s="32"/>
    </row>
    <row r="6" spans="1:18">
      <c r="A6" s="32" t="s">
        <v>54</v>
      </c>
      <c r="B6" s="37">
        <f>B26</f>
        <v>16242.475089277399</v>
      </c>
      <c r="C6" s="33"/>
      <c r="D6" s="37">
        <f>IF(ISERROR(TER_kantoor_gas_kWh/1000),0,TER_kantoor_gas_kWh/1000)*0.902</f>
        <v>20020.498117599993</v>
      </c>
      <c r="E6" s="33">
        <f>$C$26*'E Balans VL '!I12/100/3.6*1000000</f>
        <v>568.55052190643937</v>
      </c>
      <c r="F6" s="33">
        <f>$C$26*('E Balans VL '!L12+'E Balans VL '!N12)/100/3.6*1000000</f>
        <v>2462.7079460574532</v>
      </c>
      <c r="G6" s="34"/>
      <c r="H6" s="33"/>
      <c r="I6" s="33"/>
      <c r="J6" s="33">
        <f>$C$26*('E Balans VL '!D12+'E Balans VL '!E12)/100/3.6*1000000</f>
        <v>0</v>
      </c>
      <c r="K6" s="33"/>
      <c r="L6" s="33"/>
      <c r="M6" s="33"/>
      <c r="N6" s="33">
        <f>$C$26*'E Balans VL '!Y12/100/3.6*1000000</f>
        <v>125.54924868532258</v>
      </c>
      <c r="O6" s="33"/>
      <c r="P6" s="33"/>
      <c r="R6" s="32"/>
    </row>
    <row r="7" spans="1:18">
      <c r="A7" s="32" t="s">
        <v>53</v>
      </c>
      <c r="B7" s="37">
        <f t="shared" ref="B7:B12" si="0">B27</f>
        <v>2226.40078147543</v>
      </c>
      <c r="C7" s="33"/>
      <c r="D7" s="37">
        <f>IF(ISERROR(TER_horeca_gas_kWh/1000),0,TER_horeca_gas_kWh/1000)*0.902</f>
        <v>2501.994110097567</v>
      </c>
      <c r="E7" s="33">
        <f>$C$27*'E Balans VL '!I9/100/3.6*1000000</f>
        <v>125.59860799583161</v>
      </c>
      <c r="F7" s="33">
        <f>$C$27*('E Balans VL '!L9+'E Balans VL '!N9)/100/3.6*1000000</f>
        <v>387.85133719313961</v>
      </c>
      <c r="G7" s="34"/>
      <c r="H7" s="33"/>
      <c r="I7" s="33"/>
      <c r="J7" s="33">
        <f>$C$27*('E Balans VL '!D9+'E Balans VL '!E9)/100/3.6*1000000</f>
        <v>0</v>
      </c>
      <c r="K7" s="33"/>
      <c r="L7" s="33"/>
      <c r="M7" s="33"/>
      <c r="N7" s="33">
        <f>$C$27*'E Balans VL '!Y9/100/3.6*1000000</f>
        <v>0</v>
      </c>
      <c r="O7" s="33"/>
      <c r="P7" s="33"/>
      <c r="R7" s="32"/>
    </row>
    <row r="8" spans="1:18">
      <c r="A8" s="6" t="s">
        <v>52</v>
      </c>
      <c r="B8" s="37">
        <f t="shared" si="0"/>
        <v>48605.788081136896</v>
      </c>
      <c r="C8" s="33"/>
      <c r="D8" s="37">
        <f>IF(ISERROR(TER_handel_gas_kWh/1000),0,TER_handel_gas_kWh/1000)*0.902</f>
        <v>23929.887324522435</v>
      </c>
      <c r="E8" s="33">
        <f>$C$28*'E Balans VL '!I13/100/3.6*1000000</f>
        <v>249.53717773210946</v>
      </c>
      <c r="F8" s="33">
        <f>$C$28*('E Balans VL '!L13+'E Balans VL '!N13)/100/3.6*1000000</f>
        <v>7494.2614855881902</v>
      </c>
      <c r="G8" s="34"/>
      <c r="H8" s="33"/>
      <c r="I8" s="33"/>
      <c r="J8" s="33">
        <f>$C$28*('E Balans VL '!D13+'E Balans VL '!E13)/100/3.6*1000000</f>
        <v>0</v>
      </c>
      <c r="K8" s="33"/>
      <c r="L8" s="33"/>
      <c r="M8" s="33"/>
      <c r="N8" s="33">
        <f>$C$28*'E Balans VL '!Y13/100/3.6*1000000</f>
        <v>22.733520399053482</v>
      </c>
      <c r="O8" s="33"/>
      <c r="P8" s="33"/>
      <c r="R8" s="32"/>
    </row>
    <row r="9" spans="1:18">
      <c r="A9" s="32" t="s">
        <v>51</v>
      </c>
      <c r="B9" s="37">
        <f t="shared" si="0"/>
        <v>1026.1235959232599</v>
      </c>
      <c r="C9" s="33"/>
      <c r="D9" s="37">
        <f>IF(ISERROR(TER_gezond_gas_kWh/1000),0,TER_gezond_gas_kWh/1000)*0.902</f>
        <v>629.43010711768966</v>
      </c>
      <c r="E9" s="33">
        <f>$C$29*'E Balans VL '!I10/100/3.6*1000000</f>
        <v>0.42532092271985067</v>
      </c>
      <c r="F9" s="33">
        <f>$C$29*('E Balans VL '!L10+'E Balans VL '!N10)/100/3.6*1000000</f>
        <v>252.71952510045222</v>
      </c>
      <c r="G9" s="34"/>
      <c r="H9" s="33"/>
      <c r="I9" s="33"/>
      <c r="J9" s="33">
        <f>$C$29*('E Balans VL '!D10+'E Balans VL '!E10)/100/3.6*1000000</f>
        <v>0</v>
      </c>
      <c r="K9" s="33"/>
      <c r="L9" s="33"/>
      <c r="M9" s="33"/>
      <c r="N9" s="33">
        <f>$C$29*'E Balans VL '!Y10/100/3.6*1000000</f>
        <v>8.8682476530632481</v>
      </c>
      <c r="O9" s="33"/>
      <c r="P9" s="33"/>
      <c r="R9" s="32"/>
    </row>
    <row r="10" spans="1:18">
      <c r="A10" s="32" t="s">
        <v>50</v>
      </c>
      <c r="B10" s="37">
        <f t="shared" si="0"/>
        <v>2317.7843027018403</v>
      </c>
      <c r="C10" s="33"/>
      <c r="D10" s="37">
        <f>IF(ISERROR(TER_ander_gas_kWh/1000),0,TER_ander_gas_kWh/1000)*0.902</f>
        <v>3997.2918040661534</v>
      </c>
      <c r="E10" s="33">
        <f>$C$30*'E Balans VL '!I14/100/3.6*1000000</f>
        <v>14.129270295261279</v>
      </c>
      <c r="F10" s="33">
        <f>$C$30*('E Balans VL '!L14+'E Balans VL '!N14)/100/3.6*1000000</f>
        <v>614.47636868964116</v>
      </c>
      <c r="G10" s="34"/>
      <c r="H10" s="33"/>
      <c r="I10" s="33"/>
      <c r="J10" s="33">
        <f>$C$30*('E Balans VL '!D14+'E Balans VL '!E14)/100/3.6*1000000</f>
        <v>0</v>
      </c>
      <c r="K10" s="33"/>
      <c r="L10" s="33"/>
      <c r="M10" s="33"/>
      <c r="N10" s="33">
        <f>$C$30*'E Balans VL '!Y14/100/3.6*1000000</f>
        <v>534.19919814035939</v>
      </c>
      <c r="O10" s="33"/>
      <c r="P10" s="33"/>
      <c r="R10" s="32"/>
    </row>
    <row r="11" spans="1:18">
      <c r="A11" s="32" t="s">
        <v>55</v>
      </c>
      <c r="B11" s="37">
        <f t="shared" si="0"/>
        <v>277.30465530750399</v>
      </c>
      <c r="C11" s="33"/>
      <c r="D11" s="37">
        <f>IF(ISERROR(TER_onderwijs_gas_kWh/1000),0,TER_onderwijs_gas_kWh/1000)*0.902</f>
        <v>2001.8931758328229</v>
      </c>
      <c r="E11" s="33">
        <f>$C$31*'E Balans VL '!I11/100/3.6*1000000</f>
        <v>0.21132058675026261</v>
      </c>
      <c r="F11" s="33">
        <f>$C$31*('E Balans VL '!L11+'E Balans VL '!N11)/100/3.6*1000000</f>
        <v>200.67284550793184</v>
      </c>
      <c r="G11" s="34"/>
      <c r="H11" s="33"/>
      <c r="I11" s="33"/>
      <c r="J11" s="33">
        <f>$C$31*('E Balans VL '!D11+'E Balans VL '!E11)/100/3.6*1000000</f>
        <v>0</v>
      </c>
      <c r="K11" s="33"/>
      <c r="L11" s="33"/>
      <c r="M11" s="33"/>
      <c r="N11" s="33">
        <f>$C$31*'E Balans VL '!Y11/100/3.6*1000000</f>
        <v>0.81728309379617914</v>
      </c>
      <c r="O11" s="33"/>
      <c r="P11" s="33"/>
      <c r="R11" s="32"/>
    </row>
    <row r="12" spans="1:18">
      <c r="A12" s="32" t="s">
        <v>260</v>
      </c>
      <c r="B12" s="37">
        <f t="shared" si="0"/>
        <v>21670.986712657701</v>
      </c>
      <c r="C12" s="33"/>
      <c r="D12" s="37">
        <f>IF(ISERROR(TER_rest_gas_kWh/1000),0,TER_rest_gas_kWh/1000)*0.902</f>
        <v>21967.89748020377</v>
      </c>
      <c r="E12" s="33">
        <f>$C$32*'E Balans VL '!I8/100/3.6*1000000</f>
        <v>464.77881532001459</v>
      </c>
      <c r="F12" s="33">
        <f>$C$32*('E Balans VL '!L8+'E Balans VL '!N8)/100/3.6*1000000</f>
        <v>4276.0704323059344</v>
      </c>
      <c r="G12" s="34"/>
      <c r="H12" s="33"/>
      <c r="I12" s="33"/>
      <c r="J12" s="33">
        <f>$C$32*('E Balans VL '!D8+'E Balans VL '!E8)/100/3.6*1000000</f>
        <v>0</v>
      </c>
      <c r="K12" s="33"/>
      <c r="L12" s="33"/>
      <c r="M12" s="33"/>
      <c r="N12" s="33">
        <f>$C$32*'E Balans VL '!Y8/100/3.6*1000000</f>
        <v>614.64822608867303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92366.863218480037</v>
      </c>
      <c r="C16" s="21">
        <f ca="1">C5+C13+C14</f>
        <v>0</v>
      </c>
      <c r="D16" s="21">
        <f t="shared" ref="D16:N16" ca="1" si="1">MAX((D5+D13+D14),0)</f>
        <v>75048.892119440425</v>
      </c>
      <c r="E16" s="21">
        <f t="shared" si="1"/>
        <v>1423.2310347591265</v>
      </c>
      <c r="F16" s="21">
        <f t="shared" ca="1" si="1"/>
        <v>15688.759940442742</v>
      </c>
      <c r="G16" s="21">
        <f t="shared" si="1"/>
        <v>0</v>
      </c>
      <c r="H16" s="21">
        <f t="shared" si="1"/>
        <v>0</v>
      </c>
      <c r="I16" s="21">
        <f t="shared" si="1"/>
        <v>0</v>
      </c>
      <c r="J16" s="21">
        <f t="shared" si="1"/>
        <v>0</v>
      </c>
      <c r="K16" s="21">
        <f t="shared" si="1"/>
        <v>0</v>
      </c>
      <c r="L16" s="21">
        <f t="shared" ca="1" si="1"/>
        <v>0</v>
      </c>
      <c r="M16" s="21">
        <f t="shared" si="1"/>
        <v>0</v>
      </c>
      <c r="N16" s="21">
        <f t="shared" ca="1" si="1"/>
        <v>1306.8157240602677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0.1760036976555682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16256.909467298583</v>
      </c>
      <c r="C20" s="23">
        <f t="shared" ref="C20:P20" ca="1" si="2">C16*C18</f>
        <v>0</v>
      </c>
      <c r="D20" s="23">
        <f t="shared" ca="1" si="2"/>
        <v>15159.876208126967</v>
      </c>
      <c r="E20" s="23">
        <f t="shared" si="2"/>
        <v>323.0734448903217</v>
      </c>
      <c r="F20" s="23">
        <f t="shared" ca="1" si="2"/>
        <v>4188.8989040982124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16242.475089277399</v>
      </c>
      <c r="C26" s="39">
        <f>IF(ISERROR(B26*3.6/1000000/'E Balans VL '!Z12*100),0,B26*3.6/1000000/'E Balans VL '!Z12*100)</f>
        <v>0.34179595213645392</v>
      </c>
      <c r="D26" s="238" t="s">
        <v>719</v>
      </c>
      <c r="F26" s="6"/>
    </row>
    <row r="27" spans="1:18">
      <c r="A27" s="232" t="s">
        <v>53</v>
      </c>
      <c r="B27" s="33">
        <f>IF(ISERROR(TER_horeca_ele_kWh/1000),0,TER_horeca_ele_kWh/1000)</f>
        <v>2226.40078147543</v>
      </c>
      <c r="C27" s="39">
        <f>IF(ISERROR(B27*3.6/1000000/'E Balans VL '!Z9*100),0,B27*3.6/1000000/'E Balans VL '!Z9*100)</f>
        <v>0.18850309803926441</v>
      </c>
      <c r="D27" s="238" t="s">
        <v>719</v>
      </c>
      <c r="F27" s="6"/>
    </row>
    <row r="28" spans="1:18">
      <c r="A28" s="172" t="s">
        <v>52</v>
      </c>
      <c r="B28" s="33">
        <f>IF(ISERROR(TER_handel_ele_kWh/1000),0,TER_handel_ele_kWh/1000)</f>
        <v>48605.788081136896</v>
      </c>
      <c r="C28" s="39">
        <f>IF(ISERROR(B28*3.6/1000000/'E Balans VL '!Z13*100),0,B28*3.6/1000000/'E Balans VL '!Z13*100)</f>
        <v>1.3456445218642832</v>
      </c>
      <c r="D28" s="238" t="s">
        <v>719</v>
      </c>
      <c r="F28" s="6"/>
    </row>
    <row r="29" spans="1:18">
      <c r="A29" s="232" t="s">
        <v>51</v>
      </c>
      <c r="B29" s="33">
        <f>IF(ISERROR(TER_gezond_ele_kWh/1000),0,TER_gezond_ele_kWh/1000)</f>
        <v>1026.1235959232599</v>
      </c>
      <c r="C29" s="39">
        <f>IF(ISERROR(B29*3.6/1000000/'E Balans VL '!Z10*100),0,B29*3.6/1000000/'E Balans VL '!Z10*100)</f>
        <v>0.13338469156364924</v>
      </c>
      <c r="D29" s="238" t="s">
        <v>719</v>
      </c>
      <c r="F29" s="6"/>
    </row>
    <row r="30" spans="1:18">
      <c r="A30" s="232" t="s">
        <v>50</v>
      </c>
      <c r="B30" s="33">
        <f>IF(ISERROR(TER_ander_ele_kWh/1000),0,TER_ander_ele_kWh/1000)</f>
        <v>2317.7843027018403</v>
      </c>
      <c r="C30" s="39">
        <f>IF(ISERROR(B30*3.6/1000000/'E Balans VL '!Z14*100),0,B30*3.6/1000000/'E Balans VL '!Z14*100)</f>
        <v>0.17964953916519344</v>
      </c>
      <c r="D30" s="238" t="s">
        <v>719</v>
      </c>
      <c r="F30" s="6"/>
    </row>
    <row r="31" spans="1:18">
      <c r="A31" s="232" t="s">
        <v>55</v>
      </c>
      <c r="B31" s="33">
        <f>IF(ISERROR(TER_onderwijs_ele_kWh/1000),0,TER_onderwijs_ele_kWh/1000)</f>
        <v>277.30465530750399</v>
      </c>
      <c r="C31" s="39">
        <f>IF(ISERROR(B31*3.6/1000000/'E Balans VL '!Z11*100),0,B31*3.6/1000000/'E Balans VL '!Z11*100)</f>
        <v>5.3053105731657196E-2</v>
      </c>
      <c r="D31" s="238" t="s">
        <v>719</v>
      </c>
    </row>
    <row r="32" spans="1:18">
      <c r="A32" s="232" t="s">
        <v>260</v>
      </c>
      <c r="B32" s="33">
        <f>IF(ISERROR(TER_rest_ele_kWh/1000),0,TER_rest_ele_kWh/1000)</f>
        <v>21670.986712657701</v>
      </c>
      <c r="C32" s="39">
        <f>IF(ISERROR(B32*3.6/1000000/'E Balans VL '!Z8*100),0,B32*3.6/1000000/'E Balans VL '!Z8*100)</f>
        <v>0.17869392693383024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11387.564425253779</v>
      </c>
      <c r="C5" s="17">
        <f>IF(ISERROR('Eigen informatie GS &amp; warmtenet'!B59),0,'Eigen informatie GS &amp; warmtenet'!B59)</f>
        <v>0</v>
      </c>
      <c r="D5" s="30">
        <f>SUM(D6:D15)</f>
        <v>11590.914232317147</v>
      </c>
      <c r="E5" s="17">
        <f>SUM(E6:E15)</f>
        <v>115.74655285817039</v>
      </c>
      <c r="F5" s="17">
        <f>SUM(F6:F15)</f>
        <v>2981.511312127458</v>
      </c>
      <c r="G5" s="18"/>
      <c r="H5" s="17"/>
      <c r="I5" s="17"/>
      <c r="J5" s="17">
        <f>SUM(J6:J15)</f>
        <v>55.908233734028272</v>
      </c>
      <c r="K5" s="17"/>
      <c r="L5" s="17"/>
      <c r="M5" s="17"/>
      <c r="N5" s="17">
        <f>SUM(N6:N15)</f>
        <v>273.56794479137216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92.41794455244019</v>
      </c>
      <c r="C8" s="33"/>
      <c r="D8" s="37">
        <f>IF( ISERROR(IND_metaal_Gas_kWH/1000),0,IND_metaal_Gas_kWH/1000)*0.902</f>
        <v>0</v>
      </c>
      <c r="E8" s="33">
        <f>C30*'E Balans VL '!I18/100/3.6*1000000</f>
        <v>0.64940050527547699</v>
      </c>
      <c r="F8" s="33">
        <f>C30*'E Balans VL '!L18/100/3.6*1000000+C30*'E Balans VL '!N18/100/3.6*1000000</f>
        <v>10.146949613662166</v>
      </c>
      <c r="G8" s="34"/>
      <c r="H8" s="33"/>
      <c r="I8" s="33"/>
      <c r="J8" s="40">
        <f>C30*'E Balans VL '!D18/100/3.6*1000000+C30*'E Balans VL '!E18/100/3.6*1000000</f>
        <v>1.9067813929941519</v>
      </c>
      <c r="K8" s="33"/>
      <c r="L8" s="33"/>
      <c r="M8" s="33"/>
      <c r="N8" s="33">
        <f>C30*'E Balans VL '!Y18/100/3.6*1000000</f>
        <v>0.34638911211577317</v>
      </c>
      <c r="O8" s="33"/>
      <c r="P8" s="33"/>
      <c r="R8" s="32"/>
    </row>
    <row r="9" spans="1:18">
      <c r="A9" s="6" t="s">
        <v>33</v>
      </c>
      <c r="B9" s="37">
        <f t="shared" si="0"/>
        <v>1533.6913606113501</v>
      </c>
      <c r="C9" s="33"/>
      <c r="D9" s="37">
        <f>IF( ISERROR(IND_andere_gas_kWh/1000),0,IND_andere_gas_kWh/1000)*0.902</f>
        <v>2067.856858522272</v>
      </c>
      <c r="E9" s="33">
        <f>C31*'E Balans VL '!I19/100/3.6*1000000</f>
        <v>25.760225233372143</v>
      </c>
      <c r="F9" s="33">
        <f>C31*'E Balans VL '!L19/100/3.6*1000000+C31*'E Balans VL '!N19/100/3.6*1000000</f>
        <v>1198.9525531884556</v>
      </c>
      <c r="G9" s="34"/>
      <c r="H9" s="33"/>
      <c r="I9" s="33"/>
      <c r="J9" s="40">
        <f>C31*'E Balans VL '!D19/100/3.6*1000000+C31*'E Balans VL '!E19/100/3.6*1000000</f>
        <v>0.13832542224316483</v>
      </c>
      <c r="K9" s="33"/>
      <c r="L9" s="33"/>
      <c r="M9" s="33"/>
      <c r="N9" s="33">
        <f>C31*'E Balans VL '!Y19/100/3.6*1000000</f>
        <v>113.67113573294482</v>
      </c>
      <c r="O9" s="33"/>
      <c r="P9" s="33"/>
      <c r="R9" s="32"/>
    </row>
    <row r="10" spans="1:18">
      <c r="A10" s="6" t="s">
        <v>41</v>
      </c>
      <c r="B10" s="37">
        <f t="shared" si="0"/>
        <v>4517.1962430865597</v>
      </c>
      <c r="C10" s="33"/>
      <c r="D10" s="37">
        <f>IF( ISERROR(IND_voed_gas_kWh/1000),0,IND_voed_gas_kWh/1000)*0.902</f>
        <v>6001.4902636253446</v>
      </c>
      <c r="E10" s="33">
        <f>C32*'E Balans VL '!I20/100/3.6*1000000</f>
        <v>41.21302140111321</v>
      </c>
      <c r="F10" s="33">
        <f>C32*'E Balans VL '!L20/100/3.6*1000000+C32*'E Balans VL '!N20/100/3.6*1000000</f>
        <v>728.76504363978893</v>
      </c>
      <c r="G10" s="34"/>
      <c r="H10" s="33"/>
      <c r="I10" s="33"/>
      <c r="J10" s="40">
        <f>C32*'E Balans VL '!D20/100/3.6*1000000+C32*'E Balans VL '!E20/100/3.6*1000000</f>
        <v>18.604775746244748</v>
      </c>
      <c r="K10" s="33"/>
      <c r="L10" s="33"/>
      <c r="M10" s="33"/>
      <c r="N10" s="33">
        <f>C32*'E Balans VL '!Y20/100/3.6*1000000</f>
        <v>66.083019127149925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50.430030572089301</v>
      </c>
      <c r="C12" s="33"/>
      <c r="D12" s="37">
        <f>IF( ISERROR(IND_min_gas_kWh/1000),0,IND_min_gas_kWh/1000)*0.902</f>
        <v>57.99841476124481</v>
      </c>
      <c r="E12" s="33">
        <f>C34*'E Balans VL '!I22/100/3.6*1000000</f>
        <v>1.2508287086537804</v>
      </c>
      <c r="F12" s="33">
        <f>C34*'E Balans VL '!L22/100/3.6*1000000+C34*'E Balans VL '!N22/100/3.6*1000000</f>
        <v>5.358673615638625</v>
      </c>
      <c r="G12" s="34"/>
      <c r="H12" s="33"/>
      <c r="I12" s="33"/>
      <c r="J12" s="40">
        <f>C34*'E Balans VL '!D22/100/3.6*1000000+C34*'E Balans VL '!E22/100/3.6*1000000</f>
        <v>0.28647216408525999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5193.82884643134</v>
      </c>
      <c r="C15" s="33"/>
      <c r="D15" s="37">
        <f>IF( ISERROR(IND_rest_gas_kWh/1000),0,IND_rest_gas_kWh/1000)*0.902</f>
        <v>3463.5686954082857</v>
      </c>
      <c r="E15" s="33">
        <f>C37*'E Balans VL '!I15/100/3.6*1000000</f>
        <v>46.873077009755768</v>
      </c>
      <c r="F15" s="33">
        <f>C37*'E Balans VL '!L15/100/3.6*1000000+C37*'E Balans VL '!N15/100/3.6*1000000</f>
        <v>1038.2880920699129</v>
      </c>
      <c r="G15" s="34"/>
      <c r="H15" s="33"/>
      <c r="I15" s="33"/>
      <c r="J15" s="40">
        <f>C37*'E Balans VL '!D15/100/3.6*1000000+C37*'E Balans VL '!E15/100/3.6*1000000</f>
        <v>34.971879008460945</v>
      </c>
      <c r="K15" s="33"/>
      <c r="L15" s="33"/>
      <c r="M15" s="33"/>
      <c r="N15" s="33">
        <f>C37*'E Balans VL '!Y15/100/3.6*1000000</f>
        <v>93.467400819161668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11387.564425253779</v>
      </c>
      <c r="C18" s="21">
        <f>C5+C16</f>
        <v>0</v>
      </c>
      <c r="D18" s="21">
        <f>MAX((D5+D16),0)</f>
        <v>11590.914232317147</v>
      </c>
      <c r="E18" s="21">
        <f>MAX((E5+E16),0)</f>
        <v>115.74655285817039</v>
      </c>
      <c r="F18" s="21">
        <f>MAX((F5+F16),0)</f>
        <v>2981.511312127458</v>
      </c>
      <c r="G18" s="21"/>
      <c r="H18" s="21"/>
      <c r="I18" s="21"/>
      <c r="J18" s="21">
        <f>MAX((J5+J16),0)</f>
        <v>55.908233734028272</v>
      </c>
      <c r="K18" s="21"/>
      <c r="L18" s="21">
        <f>MAX((L5+L16),0)</f>
        <v>0</v>
      </c>
      <c r="M18" s="21"/>
      <c r="N18" s="21">
        <f>MAX((N5+N16),0)</f>
        <v>273.56794479137216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0.1760036976555682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2004.2534461356702</v>
      </c>
      <c r="C22" s="23">
        <f ca="1">C18*C20</f>
        <v>0</v>
      </c>
      <c r="D22" s="23">
        <f>D18*D20</f>
        <v>2341.3646749280638</v>
      </c>
      <c r="E22" s="23">
        <f>E18*E20</f>
        <v>26.274467498804679</v>
      </c>
      <c r="F22" s="23">
        <f>F18*F20</f>
        <v>796.06352033803137</v>
      </c>
      <c r="G22" s="23"/>
      <c r="H22" s="23"/>
      <c r="I22" s="23"/>
      <c r="J22" s="23">
        <f>J18*J20</f>
        <v>19.791514741846008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92.41794455244019</v>
      </c>
      <c r="C30" s="39">
        <f>IF(ISERROR(B30*3.6/1000000/'E Balans VL '!Z18*100),0,B30*3.6/1000000/'E Balans VL '!Z18*100)</f>
        <v>6.1523190039820498E-3</v>
      </c>
      <c r="D30" s="238" t="s">
        <v>719</v>
      </c>
    </row>
    <row r="31" spans="1:18">
      <c r="A31" s="6" t="s">
        <v>33</v>
      </c>
      <c r="B31" s="37">
        <f>IF( ISERROR(IND_ander_ele_kWh/1000),0,IND_ander_ele_kWh/1000)</f>
        <v>1533.6913606113501</v>
      </c>
      <c r="C31" s="39">
        <f>IF(ISERROR(B31*3.6/1000000/'E Balans VL '!Z19*100),0,B31*3.6/1000000/'E Balans VL '!Z19*100)</f>
        <v>6.7982460078552007E-2</v>
      </c>
      <c r="D31" s="238" t="s">
        <v>719</v>
      </c>
    </row>
    <row r="32" spans="1:18">
      <c r="A32" s="172" t="s">
        <v>41</v>
      </c>
      <c r="B32" s="37">
        <f>IF( ISERROR(IND_voed_ele_kWh/1000),0,IND_voed_ele_kWh/1000)</f>
        <v>4517.1962430865597</v>
      </c>
      <c r="C32" s="39">
        <f>IF(ISERROR(B32*3.6/1000000/'E Balans VL '!Z20*100),0,B32*3.6/1000000/'E Balans VL '!Z20*100)</f>
        <v>0.15088731267799901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50.430030572089301</v>
      </c>
      <c r="C34" s="39">
        <f>IF(ISERROR(B34*3.6/1000000/'E Balans VL '!Z22*100),0,B34*3.6/1000000/'E Balans VL '!Z22*100)</f>
        <v>9.8080870038735248E-3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5193.82884643134</v>
      </c>
      <c r="C37" s="39">
        <f>IF(ISERROR(B37*3.6/1000000/'E Balans VL '!Z15*100),0,B37*3.6/1000000/'E Balans VL '!Z15*100)</f>
        <v>3.8633625146470493E-2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1025.2091447885325</v>
      </c>
      <c r="C5" s="17">
        <f>'Eigen informatie GS &amp; warmtenet'!B60</f>
        <v>0</v>
      </c>
      <c r="D5" s="30">
        <f>IF(ISERROR(SUM(LB_lb_gas_kWh,LB_rest_gas_kWh)/1000),0,SUM(LB_lb_gas_kWh,LB_rest_gas_kWh)/1000)*0.902</f>
        <v>1017.3933955794972</v>
      </c>
      <c r="E5" s="17">
        <f>B17*'E Balans VL '!I25/3.6*1000000/100</f>
        <v>10.736212112954343</v>
      </c>
      <c r="F5" s="17">
        <f>B17*('E Balans VL '!L25/3.6*1000000+'E Balans VL '!N25/3.6*1000000)/100</f>
        <v>4388.6741332028587</v>
      </c>
      <c r="G5" s="18"/>
      <c r="H5" s="17"/>
      <c r="I5" s="17"/>
      <c r="J5" s="17">
        <f>('E Balans VL '!D25+'E Balans VL '!E25)/3.6*1000000*landbouw!B17/100</f>
        <v>91.560365735943719</v>
      </c>
      <c r="K5" s="17"/>
      <c r="L5" s="17">
        <f>L6*(-1)</f>
        <v>69525</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-69525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1025.2091447885325</v>
      </c>
      <c r="C8" s="21">
        <f>C5+C6</f>
        <v>0</v>
      </c>
      <c r="D8" s="21">
        <f>MAX((D5+D6),0)</f>
        <v>1017.3933955794972</v>
      </c>
      <c r="E8" s="21">
        <f>MAX((E5+E6),0)</f>
        <v>10.736212112954343</v>
      </c>
      <c r="F8" s="21">
        <f>MAX((F5+F6),0)</f>
        <v>4388.6741332028587</v>
      </c>
      <c r="G8" s="21"/>
      <c r="H8" s="21"/>
      <c r="I8" s="21"/>
      <c r="J8" s="21">
        <f>MAX((J5+J6),0)</f>
        <v>91.560365735943719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0.1760036976555682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180.44060035308451</v>
      </c>
      <c r="C12" s="23">
        <f ca="1">C8*C10</f>
        <v>0</v>
      </c>
      <c r="D12" s="23">
        <f>D8*D10</f>
        <v>205.51346590705845</v>
      </c>
      <c r="E12" s="23">
        <f>E8*E10</f>
        <v>2.4371201496406361</v>
      </c>
      <c r="F12" s="23">
        <f>F8*F10</f>
        <v>1171.7759935651634</v>
      </c>
      <c r="G12" s="23"/>
      <c r="H12" s="23"/>
      <c r="I12" s="23"/>
      <c r="J12" s="23">
        <f>J8*J10</f>
        <v>32.412369470524077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0.15779947757664645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150.97096487454576</v>
      </c>
      <c r="C26" s="248">
        <f>B26*'GWP N2O_CH4'!B5</f>
        <v>3170.3902623654608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38.911630672415896</v>
      </c>
      <c r="C27" s="248">
        <f>B27*'GWP N2O_CH4'!B5</f>
        <v>817.14424412073379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2.8688012866854802</v>
      </c>
      <c r="C28" s="248">
        <f>B28*'GWP N2O_CH4'!B4</f>
        <v>889.32839887249884</v>
      </c>
      <c r="D28" s="50"/>
    </row>
    <row r="29" spans="1:4">
      <c r="A29" s="41" t="s">
        <v>277</v>
      </c>
      <c r="B29" s="248">
        <f>B34*'ha_N2O bodem landbouw'!B4</f>
        <v>21.439999617722453</v>
      </c>
      <c r="C29" s="248">
        <f>B29*'GWP N2O_CH4'!B4</f>
        <v>6646.3998814939605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3.5432415232816098E-3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1.001805163126072E-5</v>
      </c>
      <c r="C5" s="446" t="s">
        <v>211</v>
      </c>
      <c r="D5" s="431">
        <f>SUM(D6:D11)</f>
        <v>4.9876567562119774E-5</v>
      </c>
      <c r="E5" s="431">
        <f>SUM(E6:E11)</f>
        <v>5.53815053141914E-3</v>
      </c>
      <c r="F5" s="444" t="s">
        <v>211</v>
      </c>
      <c r="G5" s="431">
        <f>SUM(G6:G11)</f>
        <v>0.95272948828771831</v>
      </c>
      <c r="H5" s="431">
        <f>SUM(H6:H11)</f>
        <v>0.16941336472167731</v>
      </c>
      <c r="I5" s="446" t="s">
        <v>211</v>
      </c>
      <c r="J5" s="446" t="s">
        <v>211</v>
      </c>
      <c r="K5" s="446" t="s">
        <v>211</v>
      </c>
      <c r="L5" s="446" t="s">
        <v>211</v>
      </c>
      <c r="M5" s="431">
        <f>SUM(M6:M11)</f>
        <v>4.8978973147176738E-2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4.2096924246756961E-6</v>
      </c>
      <c r="C6" s="432"/>
      <c r="D6" s="432">
        <f>vkm_2011_GW_PW*SUMIFS(TableVerdeelsleutelVkm[CNG],TableVerdeelsleutelVkm[Voertuigtype],"Lichte voertuigen")*SUMIFS(TableECFTransport[EnergieConsumptieFactor (PJ per km)],TableECFTransport[Index],CONCATENATE($A6,"_CNG_CNG"))</f>
        <v>1.8147494708669758E-5</v>
      </c>
      <c r="E6" s="434">
        <f>vkm_2011_GW_PW*SUMIFS(TableVerdeelsleutelVkm[LPG],TableVerdeelsleutelVkm[Voertuigtype],"Lichte voertuigen")*SUMIFS(TableECFTransport[EnergieConsumptieFactor (PJ per km)],TableECFTransport[Index],CONCATENATE($A6,"_LPG_LPG"))</f>
        <v>1.8881354737465975E-3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0.2322458467292825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6.1145518608476682E-2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1.2857816201208927E-2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0.11218481703672969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3.8466619144272066E-5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4.8461738980901566E-3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1.7710089504930116E-6</v>
      </c>
      <c r="C8" s="432"/>
      <c r="D8" s="434">
        <f>vkm_2011_NGW_PW*SUMIFS(TableVerdeelsleutelVkm[CNG],TableVerdeelsleutelVkm[Voertuigtype],"Lichte voertuigen")*SUMIFS(TableECFTransport[EnergieConsumptieFactor (PJ per km)],TableECFTransport[Index],CONCATENATE($A8,"_CNG_CNG"))</f>
        <v>1.369668297663657E-5</v>
      </c>
      <c r="E8" s="434">
        <f>vkm_2011_NGW_PW*SUMIFS(TableVerdeelsleutelVkm[LPG],TableVerdeelsleutelVkm[Voertuigtype],"Lichte voertuigen")*SUMIFS(TableECFTransport[EnergieConsumptieFactor (PJ per km)],TableECFTransport[Index],CONCATENATE($A8,"_LPG_LPG"))</f>
        <v>1.3011816618092975E-3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0.15180275306314073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4.4052475931406002E-2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8.593286855082715E-3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4.2064025645687654E-2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1.2529768172513136E-5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1.8169994947263264E-3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4.0373502560920137E-6</v>
      </c>
      <c r="C10" s="432"/>
      <c r="D10" s="434">
        <f>vkm_2011_SW_PW*SUMIFS(TableVerdeelsleutelVkm[CNG],TableVerdeelsleutelVkm[Voertuigtype],"Lichte voertuigen")*SUMIFS(TableECFTransport[EnergieConsumptieFactor (PJ per km)],TableECFTransport[Index],CONCATENATE($A10,"_CNG_CNG"))</f>
        <v>1.8032389876813443E-5</v>
      </c>
      <c r="E10" s="434">
        <f>vkm_2011_SW_PW*SUMIFS(TableVerdeelsleutelVkm[LPG],TableVerdeelsleutelVkm[Voertuigtype],"Lichte voertuigen")*SUMIFS(TableECFTransport[EnergieConsumptieFactor (PJ per km)],TableECFTransport[Index],CONCATENATE($A10,"_LPG_LPG"))</f>
        <v>2.3488333958632452E-3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0.26560936980279221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6.410992767529404E-2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1.4435677856560426E-2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0.14882267601008556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5.4446119183794473E-5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6.4290188415081868E-3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2.7827921197946441</v>
      </c>
      <c r="C14" s="21"/>
      <c r="D14" s="21">
        <f t="shared" ref="D14:M14" si="0">((D5)*10^9/3600)+D12</f>
        <v>13.854602100588826</v>
      </c>
      <c r="E14" s="21">
        <f t="shared" si="0"/>
        <v>1538.375147616428</v>
      </c>
      <c r="F14" s="21"/>
      <c r="G14" s="21">
        <f t="shared" si="0"/>
        <v>264647.08007992175</v>
      </c>
      <c r="H14" s="21">
        <f t="shared" si="0"/>
        <v>47059.267978243697</v>
      </c>
      <c r="I14" s="21"/>
      <c r="J14" s="21"/>
      <c r="K14" s="21"/>
      <c r="L14" s="21"/>
      <c r="M14" s="21">
        <f t="shared" si="0"/>
        <v>13605.270318660205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0.1760036976555682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0.48978170289063427</v>
      </c>
      <c r="C18" s="23"/>
      <c r="D18" s="23">
        <f t="shared" ref="D18:M18" si="1">D14*D16</f>
        <v>2.7986296243189432</v>
      </c>
      <c r="E18" s="23">
        <f t="shared" si="1"/>
        <v>349.21115850892915</v>
      </c>
      <c r="F18" s="23"/>
      <c r="G18" s="23">
        <f t="shared" si="1"/>
        <v>70660.770381339113</v>
      </c>
      <c r="H18" s="23">
        <f t="shared" si="1"/>
        <v>11717.75772658268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1.8936017650107096E-2</v>
      </c>
      <c r="H50" s="322">
        <f t="shared" si="2"/>
        <v>0</v>
      </c>
      <c r="I50" s="322">
        <f t="shared" si="2"/>
        <v>0</v>
      </c>
      <c r="J50" s="322">
        <f t="shared" si="2"/>
        <v>0</v>
      </c>
      <c r="K50" s="322">
        <f t="shared" si="2"/>
        <v>0</v>
      </c>
      <c r="L50" s="322">
        <f t="shared" si="2"/>
        <v>0</v>
      </c>
      <c r="M50" s="322">
        <f t="shared" si="2"/>
        <v>8.0716016533911611E-4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1.8936017650107096E-2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8.0716016533911611E-4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5260.0049028075273</v>
      </c>
      <c r="H54" s="21">
        <f t="shared" si="3"/>
        <v>0</v>
      </c>
      <c r="I54" s="21">
        <f t="shared" si="3"/>
        <v>0</v>
      </c>
      <c r="J54" s="21">
        <f t="shared" si="3"/>
        <v>0</v>
      </c>
      <c r="K54" s="21">
        <f t="shared" si="3"/>
        <v>0</v>
      </c>
      <c r="L54" s="21">
        <f t="shared" si="3"/>
        <v>0</v>
      </c>
      <c r="M54" s="21">
        <f t="shared" si="3"/>
        <v>224.21115703864336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0.1760036976555682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1404.4213090496098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94405.686218480041</v>
      </c>
      <c r="D10" s="687">
        <f ca="1">tertiair!C16</f>
        <v>0</v>
      </c>
      <c r="E10" s="687">
        <f ca="1">tertiair!D16</f>
        <v>75048.892119440425</v>
      </c>
      <c r="F10" s="687">
        <f>tertiair!E16</f>
        <v>1423.2310347591265</v>
      </c>
      <c r="G10" s="687">
        <f ca="1">tertiair!F16</f>
        <v>15688.759940442742</v>
      </c>
      <c r="H10" s="687">
        <f>tertiair!G16</f>
        <v>0</v>
      </c>
      <c r="I10" s="687">
        <f>tertiair!H16</f>
        <v>0</v>
      </c>
      <c r="J10" s="687">
        <f>tertiair!I16</f>
        <v>0</v>
      </c>
      <c r="K10" s="687">
        <f>tertiair!J16</f>
        <v>0</v>
      </c>
      <c r="L10" s="687">
        <f>tertiair!K16</f>
        <v>0</v>
      </c>
      <c r="M10" s="687">
        <f ca="1">tertiair!L16</f>
        <v>0</v>
      </c>
      <c r="N10" s="687">
        <f>tertiair!M16</f>
        <v>0</v>
      </c>
      <c r="O10" s="687">
        <f ca="1">tertiair!N16</f>
        <v>1306.8157240602677</v>
      </c>
      <c r="P10" s="687">
        <f>tertiair!O16</f>
        <v>3.1266666666666669</v>
      </c>
      <c r="Q10" s="688">
        <f>tertiair!P16</f>
        <v>0</v>
      </c>
      <c r="R10" s="690">
        <f ca="1">SUM(C10:Q10)</f>
        <v>187876.5117038493</v>
      </c>
      <c r="S10" s="67"/>
    </row>
    <row r="11" spans="1:19" s="456" customFormat="1">
      <c r="A11" s="802" t="s">
        <v>225</v>
      </c>
      <c r="B11" s="807"/>
      <c r="C11" s="687">
        <f>huishoudens!B8</f>
        <v>52746.369035032279</v>
      </c>
      <c r="D11" s="687">
        <f>huishoudens!C8</f>
        <v>0</v>
      </c>
      <c r="E11" s="687">
        <f>huishoudens!D8</f>
        <v>106951.95257343964</v>
      </c>
      <c r="F11" s="687">
        <f>huishoudens!E8</f>
        <v>5239.2638262796027</v>
      </c>
      <c r="G11" s="687">
        <f>huishoudens!F8</f>
        <v>69270.51739402565</v>
      </c>
      <c r="H11" s="687">
        <f>huishoudens!G8</f>
        <v>0</v>
      </c>
      <c r="I11" s="687">
        <f>huishoudens!H8</f>
        <v>0</v>
      </c>
      <c r="J11" s="687">
        <f>huishoudens!I8</f>
        <v>0</v>
      </c>
      <c r="K11" s="687">
        <f>huishoudens!J8</f>
        <v>0</v>
      </c>
      <c r="L11" s="687">
        <f>huishoudens!K8</f>
        <v>0</v>
      </c>
      <c r="M11" s="687">
        <f>huishoudens!L8</f>
        <v>0</v>
      </c>
      <c r="N11" s="687">
        <f>huishoudens!M8</f>
        <v>0</v>
      </c>
      <c r="O11" s="687">
        <f>huishoudens!N8</f>
        <v>11484.080758051599</v>
      </c>
      <c r="P11" s="687">
        <f>huishoudens!O8</f>
        <v>84.42</v>
      </c>
      <c r="Q11" s="688">
        <f>huishoudens!P8</f>
        <v>552.93333333333339</v>
      </c>
      <c r="R11" s="690">
        <f>SUM(C11:Q11)</f>
        <v>246329.53692016209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11387.564425253779</v>
      </c>
      <c r="D13" s="687">
        <f>industrie!C18</f>
        <v>0</v>
      </c>
      <c r="E13" s="687">
        <f>industrie!D18</f>
        <v>11590.914232317147</v>
      </c>
      <c r="F13" s="687">
        <f>industrie!E18</f>
        <v>115.74655285817039</v>
      </c>
      <c r="G13" s="687">
        <f>industrie!F18</f>
        <v>2981.511312127458</v>
      </c>
      <c r="H13" s="687">
        <f>industrie!G18</f>
        <v>0</v>
      </c>
      <c r="I13" s="687">
        <f>industrie!H18</f>
        <v>0</v>
      </c>
      <c r="J13" s="687">
        <f>industrie!I18</f>
        <v>0</v>
      </c>
      <c r="K13" s="687">
        <f>industrie!J18</f>
        <v>55.908233734028272</v>
      </c>
      <c r="L13" s="687">
        <f>industrie!K18</f>
        <v>0</v>
      </c>
      <c r="M13" s="687">
        <f>industrie!L18</f>
        <v>0</v>
      </c>
      <c r="N13" s="687">
        <f>industrie!M18</f>
        <v>0</v>
      </c>
      <c r="O13" s="687">
        <f>industrie!N18</f>
        <v>273.56794479137216</v>
      </c>
      <c r="P13" s="687">
        <f>industrie!O18</f>
        <v>0</v>
      </c>
      <c r="Q13" s="688">
        <f>industrie!P18</f>
        <v>0</v>
      </c>
      <c r="R13" s="690">
        <f>SUM(C13:Q13)</f>
        <v>26405.212701081957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158539.61967876609</v>
      </c>
      <c r="D16" s="720">
        <f t="shared" ref="D16:R16" ca="1" si="0">SUM(D9:D15)</f>
        <v>0</v>
      </c>
      <c r="E16" s="720">
        <f t="shared" ca="1" si="0"/>
        <v>193591.75892519721</v>
      </c>
      <c r="F16" s="720">
        <f t="shared" si="0"/>
        <v>6778.2414138968998</v>
      </c>
      <c r="G16" s="720">
        <f t="shared" ca="1" si="0"/>
        <v>87940.788646595858</v>
      </c>
      <c r="H16" s="720">
        <f t="shared" si="0"/>
        <v>0</v>
      </c>
      <c r="I16" s="720">
        <f t="shared" si="0"/>
        <v>0</v>
      </c>
      <c r="J16" s="720">
        <f t="shared" si="0"/>
        <v>0</v>
      </c>
      <c r="K16" s="720">
        <f t="shared" si="0"/>
        <v>55.908233734028272</v>
      </c>
      <c r="L16" s="720">
        <f t="shared" si="0"/>
        <v>0</v>
      </c>
      <c r="M16" s="720">
        <f t="shared" ca="1" si="0"/>
        <v>0</v>
      </c>
      <c r="N16" s="720">
        <f t="shared" si="0"/>
        <v>0</v>
      </c>
      <c r="O16" s="720">
        <f t="shared" ca="1" si="0"/>
        <v>13064.46442690324</v>
      </c>
      <c r="P16" s="720">
        <f t="shared" si="0"/>
        <v>87.546666666666667</v>
      </c>
      <c r="Q16" s="720">
        <f t="shared" si="0"/>
        <v>552.93333333333339</v>
      </c>
      <c r="R16" s="720">
        <f t="shared" ca="1" si="0"/>
        <v>460611.26132509334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5260.0049028075273</v>
      </c>
      <c r="I19" s="687">
        <f>transport!H54</f>
        <v>0</v>
      </c>
      <c r="J19" s="687">
        <f>transport!I54</f>
        <v>0</v>
      </c>
      <c r="K19" s="687">
        <f>transport!J54</f>
        <v>0</v>
      </c>
      <c r="L19" s="687">
        <f>transport!K54</f>
        <v>0</v>
      </c>
      <c r="M19" s="687">
        <f>transport!L54</f>
        <v>0</v>
      </c>
      <c r="N19" s="687">
        <f>transport!M54</f>
        <v>224.21115703864336</v>
      </c>
      <c r="O19" s="687">
        <f>transport!N54</f>
        <v>0</v>
      </c>
      <c r="P19" s="687">
        <f>transport!O54</f>
        <v>0</v>
      </c>
      <c r="Q19" s="688">
        <f>transport!P54</f>
        <v>0</v>
      </c>
      <c r="R19" s="690">
        <f>SUM(C19:Q19)</f>
        <v>5484.2160598461705</v>
      </c>
      <c r="S19" s="67"/>
    </row>
    <row r="20" spans="1:19" s="456" customFormat="1">
      <c r="A20" s="802" t="s">
        <v>307</v>
      </c>
      <c r="B20" s="807"/>
      <c r="C20" s="687">
        <f>transport!B14</f>
        <v>2.7827921197946441</v>
      </c>
      <c r="D20" s="687">
        <f>transport!C14</f>
        <v>0</v>
      </c>
      <c r="E20" s="687">
        <f>transport!D14</f>
        <v>13.854602100588826</v>
      </c>
      <c r="F20" s="687">
        <f>transport!E14</f>
        <v>1538.375147616428</v>
      </c>
      <c r="G20" s="687">
        <f>transport!F14</f>
        <v>0</v>
      </c>
      <c r="H20" s="687">
        <f>transport!G14</f>
        <v>264647.08007992175</v>
      </c>
      <c r="I20" s="687">
        <f>transport!H14</f>
        <v>47059.267978243697</v>
      </c>
      <c r="J20" s="687">
        <f>transport!I14</f>
        <v>0</v>
      </c>
      <c r="K20" s="687">
        <f>transport!J14</f>
        <v>0</v>
      </c>
      <c r="L20" s="687">
        <f>transport!K14</f>
        <v>0</v>
      </c>
      <c r="M20" s="687">
        <f>transport!L14</f>
        <v>0</v>
      </c>
      <c r="N20" s="687">
        <f>transport!M14</f>
        <v>13605.270318660205</v>
      </c>
      <c r="O20" s="687">
        <f>transport!N14</f>
        <v>0</v>
      </c>
      <c r="P20" s="687">
        <f>transport!O14</f>
        <v>0</v>
      </c>
      <c r="Q20" s="688">
        <f>transport!P14</f>
        <v>0</v>
      </c>
      <c r="R20" s="690">
        <f>SUM(C20:Q20)</f>
        <v>326866.63091866247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2.7827921197946441</v>
      </c>
      <c r="D22" s="805">
        <f t="shared" ref="D22:R22" si="1">SUM(D18:D21)</f>
        <v>0</v>
      </c>
      <c r="E22" s="805">
        <f t="shared" si="1"/>
        <v>13.854602100588826</v>
      </c>
      <c r="F22" s="805">
        <f t="shared" si="1"/>
        <v>1538.375147616428</v>
      </c>
      <c r="G22" s="805">
        <f t="shared" si="1"/>
        <v>0</v>
      </c>
      <c r="H22" s="805">
        <f t="shared" si="1"/>
        <v>269907.08498272928</v>
      </c>
      <c r="I22" s="805">
        <f t="shared" si="1"/>
        <v>47059.267978243697</v>
      </c>
      <c r="J22" s="805">
        <f t="shared" si="1"/>
        <v>0</v>
      </c>
      <c r="K22" s="805">
        <f t="shared" si="1"/>
        <v>0</v>
      </c>
      <c r="L22" s="805">
        <f t="shared" si="1"/>
        <v>0</v>
      </c>
      <c r="M22" s="805">
        <f t="shared" si="1"/>
        <v>0</v>
      </c>
      <c r="N22" s="805">
        <f t="shared" si="1"/>
        <v>13829.481475698849</v>
      </c>
      <c r="O22" s="805">
        <f t="shared" si="1"/>
        <v>0</v>
      </c>
      <c r="P22" s="805">
        <f t="shared" si="1"/>
        <v>0</v>
      </c>
      <c r="Q22" s="805">
        <f t="shared" si="1"/>
        <v>0</v>
      </c>
      <c r="R22" s="805">
        <f t="shared" si="1"/>
        <v>332350.84697850863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1025.2091447885325</v>
      </c>
      <c r="D24" s="687">
        <f>+landbouw!C8</f>
        <v>0</v>
      </c>
      <c r="E24" s="687">
        <f>+landbouw!D8</f>
        <v>1017.3933955794972</v>
      </c>
      <c r="F24" s="687">
        <f>+landbouw!E8</f>
        <v>10.736212112954343</v>
      </c>
      <c r="G24" s="687">
        <f>+landbouw!F8</f>
        <v>4388.6741332028587</v>
      </c>
      <c r="H24" s="687">
        <f>+landbouw!G8</f>
        <v>0</v>
      </c>
      <c r="I24" s="687">
        <f>+landbouw!H8</f>
        <v>0</v>
      </c>
      <c r="J24" s="687">
        <f>+landbouw!I8</f>
        <v>0</v>
      </c>
      <c r="K24" s="687">
        <f>+landbouw!J8</f>
        <v>91.560365735943719</v>
      </c>
      <c r="L24" s="687">
        <f>+landbouw!K8</f>
        <v>0</v>
      </c>
      <c r="M24" s="687">
        <f>+landbouw!L8</f>
        <v>0</v>
      </c>
      <c r="N24" s="687">
        <f>+landbouw!M8</f>
        <v>0</v>
      </c>
      <c r="O24" s="687">
        <f>+landbouw!N8</f>
        <v>0</v>
      </c>
      <c r="P24" s="687">
        <f>+landbouw!O8</f>
        <v>0</v>
      </c>
      <c r="Q24" s="688">
        <f>+landbouw!P8</f>
        <v>0</v>
      </c>
      <c r="R24" s="690">
        <f>SUM(C24:Q24)</f>
        <v>6533.5732514197862</v>
      </c>
      <c r="S24" s="67"/>
    </row>
    <row r="25" spans="1:19" s="456" customFormat="1" ht="15" thickBot="1">
      <c r="A25" s="824" t="s">
        <v>925</v>
      </c>
      <c r="B25" s="988"/>
      <c r="C25" s="989">
        <f>IF(Onbekend_ele_kWh="---",0,Onbekend_ele_kWh)/1000+IF(REST_rest_ele_kWh="---",0,REST_rest_ele_kWh)/1000</f>
        <v>2606.7984776907697</v>
      </c>
      <c r="D25" s="989"/>
      <c r="E25" s="989">
        <f>IF(onbekend_gas_kWh="---",0,onbekend_gas_kWh)/1000+IF(REST_rest_gas_kWh="---",0,REST_rest_gas_kWh)/1000</f>
        <v>6840.4368920848001</v>
      </c>
      <c r="F25" s="989"/>
      <c r="G25" s="989"/>
      <c r="H25" s="989"/>
      <c r="I25" s="989"/>
      <c r="J25" s="989"/>
      <c r="K25" s="989"/>
      <c r="L25" s="989"/>
      <c r="M25" s="989"/>
      <c r="N25" s="989"/>
      <c r="O25" s="989"/>
      <c r="P25" s="989"/>
      <c r="Q25" s="990"/>
      <c r="R25" s="690">
        <f>SUM(C25:Q25)</f>
        <v>9447.2353697755698</v>
      </c>
      <c r="S25" s="67"/>
    </row>
    <row r="26" spans="1:19" s="456" customFormat="1" ht="15.75" thickBot="1">
      <c r="A26" s="693" t="s">
        <v>926</v>
      </c>
      <c r="B26" s="810"/>
      <c r="C26" s="805">
        <f>SUM(C24:C25)</f>
        <v>3632.007622479302</v>
      </c>
      <c r="D26" s="805">
        <f t="shared" ref="D26:R26" si="2">SUM(D24:D25)</f>
        <v>0</v>
      </c>
      <c r="E26" s="805">
        <f t="shared" si="2"/>
        <v>7857.8302876642974</v>
      </c>
      <c r="F26" s="805">
        <f t="shared" si="2"/>
        <v>10.736212112954343</v>
      </c>
      <c r="G26" s="805">
        <f t="shared" si="2"/>
        <v>4388.6741332028587</v>
      </c>
      <c r="H26" s="805">
        <f t="shared" si="2"/>
        <v>0</v>
      </c>
      <c r="I26" s="805">
        <f t="shared" si="2"/>
        <v>0</v>
      </c>
      <c r="J26" s="805">
        <f t="shared" si="2"/>
        <v>0</v>
      </c>
      <c r="K26" s="805">
        <f t="shared" si="2"/>
        <v>91.560365735943719</v>
      </c>
      <c r="L26" s="805">
        <f t="shared" si="2"/>
        <v>0</v>
      </c>
      <c r="M26" s="805">
        <f t="shared" si="2"/>
        <v>0</v>
      </c>
      <c r="N26" s="805">
        <f t="shared" si="2"/>
        <v>0</v>
      </c>
      <c r="O26" s="805">
        <f t="shared" si="2"/>
        <v>0</v>
      </c>
      <c r="P26" s="805">
        <f t="shared" si="2"/>
        <v>0</v>
      </c>
      <c r="Q26" s="805">
        <f t="shared" si="2"/>
        <v>0</v>
      </c>
      <c r="R26" s="805">
        <f t="shared" si="2"/>
        <v>15980.808621195356</v>
      </c>
      <c r="S26" s="67"/>
    </row>
    <row r="27" spans="1:19" s="456" customFormat="1" ht="17.25" thickTop="1" thickBot="1">
      <c r="A27" s="694" t="s">
        <v>116</v>
      </c>
      <c r="B27" s="797"/>
      <c r="C27" s="695">
        <f ca="1">C22+C16+C26</f>
        <v>162174.41009336521</v>
      </c>
      <c r="D27" s="695">
        <f t="shared" ref="D27:R27" ca="1" si="3">D22+D16+D26</f>
        <v>0</v>
      </c>
      <c r="E27" s="695">
        <f t="shared" ca="1" si="3"/>
        <v>201463.44381496208</v>
      </c>
      <c r="F27" s="695">
        <f t="shared" si="3"/>
        <v>8327.3527736262822</v>
      </c>
      <c r="G27" s="695">
        <f t="shared" ca="1" si="3"/>
        <v>92329.46277979872</v>
      </c>
      <c r="H27" s="695">
        <f t="shared" si="3"/>
        <v>269907.08498272928</v>
      </c>
      <c r="I27" s="695">
        <f t="shared" si="3"/>
        <v>47059.267978243697</v>
      </c>
      <c r="J27" s="695">
        <f t="shared" si="3"/>
        <v>0</v>
      </c>
      <c r="K27" s="695">
        <f t="shared" si="3"/>
        <v>147.46859946997199</v>
      </c>
      <c r="L27" s="695">
        <f t="shared" si="3"/>
        <v>0</v>
      </c>
      <c r="M27" s="695">
        <f t="shared" ca="1" si="3"/>
        <v>0</v>
      </c>
      <c r="N27" s="695">
        <f t="shared" si="3"/>
        <v>13829.481475698849</v>
      </c>
      <c r="O27" s="695">
        <f t="shared" ca="1" si="3"/>
        <v>13064.46442690324</v>
      </c>
      <c r="P27" s="695">
        <f t="shared" si="3"/>
        <v>87.546666666666667</v>
      </c>
      <c r="Q27" s="695">
        <f t="shared" si="3"/>
        <v>552.93333333333339</v>
      </c>
      <c r="R27" s="695">
        <f t="shared" ca="1" si="3"/>
        <v>808942.91692479735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16615.749854163802</v>
      </c>
      <c r="D40" s="687">
        <f ca="1">tertiair!C20</f>
        <v>0</v>
      </c>
      <c r="E40" s="687">
        <f ca="1">tertiair!D20</f>
        <v>15159.876208126967</v>
      </c>
      <c r="F40" s="687">
        <f>tertiair!E20</f>
        <v>323.0734448903217</v>
      </c>
      <c r="G40" s="687">
        <f ca="1">tertiair!F20</f>
        <v>4188.8989040982124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36287.598411279301</v>
      </c>
    </row>
    <row r="41" spans="1:18">
      <c r="A41" s="815" t="s">
        <v>225</v>
      </c>
      <c r="B41" s="822"/>
      <c r="C41" s="687">
        <f ca="1">huishoudens!B12</f>
        <v>9283.5559880708461</v>
      </c>
      <c r="D41" s="687">
        <f ca="1">huishoudens!C12</f>
        <v>0</v>
      </c>
      <c r="E41" s="687">
        <f>huishoudens!D12</f>
        <v>21604.294419834809</v>
      </c>
      <c r="F41" s="687">
        <f>huishoudens!E12</f>
        <v>1189.3128885654698</v>
      </c>
      <c r="G41" s="687">
        <f>huishoudens!F12</f>
        <v>18495.228144204848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50572.391440675972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2004.2534461356702</v>
      </c>
      <c r="D43" s="687">
        <f ca="1">industrie!C22</f>
        <v>0</v>
      </c>
      <c r="E43" s="687">
        <f>industrie!D22</f>
        <v>2341.3646749280638</v>
      </c>
      <c r="F43" s="687">
        <f>industrie!E22</f>
        <v>26.274467498804679</v>
      </c>
      <c r="G43" s="687">
        <f>industrie!F22</f>
        <v>796.06352033803137</v>
      </c>
      <c r="H43" s="687">
        <f>industrie!G22</f>
        <v>0</v>
      </c>
      <c r="I43" s="687">
        <f>industrie!H22</f>
        <v>0</v>
      </c>
      <c r="J43" s="687">
        <f>industrie!I22</f>
        <v>0</v>
      </c>
      <c r="K43" s="687">
        <f>industrie!J22</f>
        <v>19.791514741846008</v>
      </c>
      <c r="L43" s="687">
        <f>industrie!K22</f>
        <v>0</v>
      </c>
      <c r="M43" s="687">
        <f>industrie!L22</f>
        <v>0</v>
      </c>
      <c r="N43" s="687">
        <f>industrie!M22</f>
        <v>0</v>
      </c>
      <c r="O43" s="687">
        <f>industrie!N22</f>
        <v>0</v>
      </c>
      <c r="P43" s="687">
        <f>industrie!O22</f>
        <v>0</v>
      </c>
      <c r="Q43" s="762">
        <f>industrie!P22</f>
        <v>0</v>
      </c>
      <c r="R43" s="842">
        <f t="shared" ca="1" si="4"/>
        <v>5187.7476236424163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27903.559288370318</v>
      </c>
      <c r="D46" s="720">
        <f t="shared" ref="D46:Q46" ca="1" si="5">SUM(D39:D45)</f>
        <v>0</v>
      </c>
      <c r="E46" s="720">
        <f t="shared" ca="1" si="5"/>
        <v>39105.535302889846</v>
      </c>
      <c r="F46" s="720">
        <f t="shared" si="5"/>
        <v>1538.6608009545962</v>
      </c>
      <c r="G46" s="720">
        <f t="shared" ca="1" si="5"/>
        <v>23480.19056864109</v>
      </c>
      <c r="H46" s="720">
        <f t="shared" si="5"/>
        <v>0</v>
      </c>
      <c r="I46" s="720">
        <f t="shared" si="5"/>
        <v>0</v>
      </c>
      <c r="J46" s="720">
        <f t="shared" si="5"/>
        <v>0</v>
      </c>
      <c r="K46" s="720">
        <f t="shared" si="5"/>
        <v>19.791514741846008</v>
      </c>
      <c r="L46" s="720">
        <f t="shared" si="5"/>
        <v>0</v>
      </c>
      <c r="M46" s="720">
        <f t="shared" ca="1" si="5"/>
        <v>0</v>
      </c>
      <c r="N46" s="720">
        <f t="shared" si="5"/>
        <v>0</v>
      </c>
      <c r="O46" s="720">
        <f t="shared" ca="1" si="5"/>
        <v>0</v>
      </c>
      <c r="P46" s="720">
        <f t="shared" si="5"/>
        <v>0</v>
      </c>
      <c r="Q46" s="720">
        <f t="shared" si="5"/>
        <v>0</v>
      </c>
      <c r="R46" s="720">
        <f ca="1">SUM(R39:R45)</f>
        <v>92047.737475597678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1404.4213090496098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1404.4213090496098</v>
      </c>
    </row>
    <row r="50" spans="1:18">
      <c r="A50" s="818" t="s">
        <v>307</v>
      </c>
      <c r="B50" s="828"/>
      <c r="C50" s="995">
        <f ca="1">transport!B18</f>
        <v>0.48978170289063427</v>
      </c>
      <c r="D50" s="995">
        <f>transport!C18</f>
        <v>0</v>
      </c>
      <c r="E50" s="995">
        <f>transport!D18</f>
        <v>2.7986296243189432</v>
      </c>
      <c r="F50" s="995">
        <f>transport!E18</f>
        <v>349.21115850892915</v>
      </c>
      <c r="G50" s="995">
        <f>transport!F18</f>
        <v>0</v>
      </c>
      <c r="H50" s="995">
        <f>transport!G18</f>
        <v>70660.770381339113</v>
      </c>
      <c r="I50" s="995">
        <f>transport!H18</f>
        <v>11717.75772658268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82731.027677757942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0.48978170289063427</v>
      </c>
      <c r="D52" s="720">
        <f t="shared" ref="D52:Q52" ca="1" si="6">SUM(D48:D51)</f>
        <v>0</v>
      </c>
      <c r="E52" s="720">
        <f t="shared" si="6"/>
        <v>2.7986296243189432</v>
      </c>
      <c r="F52" s="720">
        <f t="shared" si="6"/>
        <v>349.21115850892915</v>
      </c>
      <c r="G52" s="720">
        <f t="shared" si="6"/>
        <v>0</v>
      </c>
      <c r="H52" s="720">
        <f t="shared" si="6"/>
        <v>72065.191690388718</v>
      </c>
      <c r="I52" s="720">
        <f t="shared" si="6"/>
        <v>11717.75772658268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84135.448986807547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180.44060035308451</v>
      </c>
      <c r="D54" s="995">
        <f ca="1">+landbouw!C12</f>
        <v>0</v>
      </c>
      <c r="E54" s="995">
        <f>+landbouw!D12</f>
        <v>205.51346590705845</v>
      </c>
      <c r="F54" s="995">
        <f>+landbouw!E12</f>
        <v>2.4371201496406361</v>
      </c>
      <c r="G54" s="995">
        <f>+landbouw!F12</f>
        <v>1171.7759935651634</v>
      </c>
      <c r="H54" s="995">
        <f>+landbouw!G12</f>
        <v>0</v>
      </c>
      <c r="I54" s="995">
        <f>+landbouw!H12</f>
        <v>0</v>
      </c>
      <c r="J54" s="995">
        <f>+landbouw!I12</f>
        <v>0</v>
      </c>
      <c r="K54" s="995">
        <f>+landbouw!J12</f>
        <v>32.412369470524077</v>
      </c>
      <c r="L54" s="995">
        <f>+landbouw!K12</f>
        <v>0</v>
      </c>
      <c r="M54" s="995">
        <f>+landbouw!L12</f>
        <v>0</v>
      </c>
      <c r="N54" s="995">
        <f>+landbouw!M12</f>
        <v>0</v>
      </c>
      <c r="O54" s="995">
        <f>+landbouw!N12</f>
        <v>0</v>
      </c>
      <c r="P54" s="995">
        <f>+landbouw!O12</f>
        <v>0</v>
      </c>
      <c r="Q54" s="996">
        <f>+landbouw!P12</f>
        <v>0</v>
      </c>
      <c r="R54" s="719">
        <f ca="1">SUM(C54:Q54)</f>
        <v>1592.579549445471</v>
      </c>
    </row>
    <row r="55" spans="1:18" ht="15" thickBot="1">
      <c r="A55" s="818" t="s">
        <v>925</v>
      </c>
      <c r="B55" s="828"/>
      <c r="C55" s="995">
        <f ca="1">C25*'EF ele_warmte'!B12</f>
        <v>458.80617111648166</v>
      </c>
      <c r="D55" s="995"/>
      <c r="E55" s="995">
        <f>E25*EF_CO2_aardgas</f>
        <v>1381.7682522011296</v>
      </c>
      <c r="F55" s="995"/>
      <c r="G55" s="995"/>
      <c r="H55" s="995"/>
      <c r="I55" s="995"/>
      <c r="J55" s="995"/>
      <c r="K55" s="995"/>
      <c r="L55" s="995"/>
      <c r="M55" s="995"/>
      <c r="N55" s="995"/>
      <c r="O55" s="995"/>
      <c r="P55" s="995"/>
      <c r="Q55" s="996"/>
      <c r="R55" s="719">
        <f ca="1">SUM(C55:Q55)</f>
        <v>1840.5744233176113</v>
      </c>
    </row>
    <row r="56" spans="1:18" ht="15.75" thickBot="1">
      <c r="A56" s="816" t="s">
        <v>926</v>
      </c>
      <c r="B56" s="829"/>
      <c r="C56" s="720">
        <f ca="1">SUM(C54:C55)</f>
        <v>639.24677146956617</v>
      </c>
      <c r="D56" s="720">
        <f t="shared" ref="D56:Q56" ca="1" si="7">SUM(D54:D55)</f>
        <v>0</v>
      </c>
      <c r="E56" s="720">
        <f t="shared" si="7"/>
        <v>1587.281718108188</v>
      </c>
      <c r="F56" s="720">
        <f t="shared" si="7"/>
        <v>2.4371201496406361</v>
      </c>
      <c r="G56" s="720">
        <f t="shared" si="7"/>
        <v>1171.7759935651634</v>
      </c>
      <c r="H56" s="720">
        <f t="shared" si="7"/>
        <v>0</v>
      </c>
      <c r="I56" s="720">
        <f t="shared" si="7"/>
        <v>0</v>
      </c>
      <c r="J56" s="720">
        <f t="shared" si="7"/>
        <v>0</v>
      </c>
      <c r="K56" s="720">
        <f t="shared" si="7"/>
        <v>32.412369470524077</v>
      </c>
      <c r="L56" s="720">
        <f t="shared" si="7"/>
        <v>0</v>
      </c>
      <c r="M56" s="720">
        <f t="shared" si="7"/>
        <v>0</v>
      </c>
      <c r="N56" s="720">
        <f t="shared" si="7"/>
        <v>0</v>
      </c>
      <c r="O56" s="720">
        <f t="shared" si="7"/>
        <v>0</v>
      </c>
      <c r="P56" s="720">
        <f t="shared" si="7"/>
        <v>0</v>
      </c>
      <c r="Q56" s="721">
        <f t="shared" si="7"/>
        <v>0</v>
      </c>
      <c r="R56" s="722">
        <f ca="1">SUM(R54:R55)</f>
        <v>3433.1539727630825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28543.295841542775</v>
      </c>
      <c r="D61" s="728">
        <f t="shared" ref="D61:Q61" ca="1" si="8">D46+D52+D56</f>
        <v>0</v>
      </c>
      <c r="E61" s="728">
        <f t="shared" ca="1" si="8"/>
        <v>40695.615650622349</v>
      </c>
      <c r="F61" s="728">
        <f t="shared" si="8"/>
        <v>1890.309079613166</v>
      </c>
      <c r="G61" s="728">
        <f t="shared" ca="1" si="8"/>
        <v>24651.966562206253</v>
      </c>
      <c r="H61" s="728">
        <f t="shared" si="8"/>
        <v>72065.191690388718</v>
      </c>
      <c r="I61" s="728">
        <f t="shared" si="8"/>
        <v>11717.75772658268</v>
      </c>
      <c r="J61" s="728">
        <f t="shared" si="8"/>
        <v>0</v>
      </c>
      <c r="K61" s="728">
        <f t="shared" si="8"/>
        <v>52.203884212370085</v>
      </c>
      <c r="L61" s="728">
        <f t="shared" si="8"/>
        <v>0</v>
      </c>
      <c r="M61" s="728">
        <f t="shared" ca="1" si="8"/>
        <v>0</v>
      </c>
      <c r="N61" s="728">
        <f t="shared" si="8"/>
        <v>0</v>
      </c>
      <c r="O61" s="728">
        <f t="shared" ca="1" si="8"/>
        <v>0</v>
      </c>
      <c r="P61" s="728">
        <f t="shared" si="8"/>
        <v>0</v>
      </c>
      <c r="Q61" s="728">
        <f t="shared" si="8"/>
        <v>0</v>
      </c>
      <c r="R61" s="728">
        <f ca="1">R46+R52+R56</f>
        <v>179616.3404351683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0.17600369765556817</v>
      </c>
      <c r="D63" s="772">
        <f t="shared" ca="1" si="9"/>
        <v>0</v>
      </c>
      <c r="E63" s="997">
        <f t="shared" ca="1" si="9"/>
        <v>0.20200000000000004</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5209.225290004224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27810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69525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33019.225290004222</v>
      </c>
      <c r="C78" s="743">
        <f>SUM(C72:C77)</f>
        <v>0</v>
      </c>
      <c r="D78" s="744">
        <f t="shared" ref="D78:H78" si="10">SUM(D76:D77)</f>
        <v>0</v>
      </c>
      <c r="E78" s="744">
        <f t="shared" si="10"/>
        <v>0</v>
      </c>
      <c r="F78" s="744">
        <f t="shared" si="10"/>
        <v>0</v>
      </c>
      <c r="G78" s="744">
        <f t="shared" si="10"/>
        <v>0</v>
      </c>
      <c r="H78" s="744">
        <f t="shared" si="10"/>
        <v>0</v>
      </c>
      <c r="I78" s="744">
        <f>SUM(I76:I77)</f>
        <v>69525</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5209.225290004224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27810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69525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33019.225290004222</v>
      </c>
      <c r="C10" s="569">
        <f t="shared" ref="C10:L10" si="0">SUM(C8:C9)</f>
        <v>0</v>
      </c>
      <c r="D10" s="569">
        <f t="shared" si="0"/>
        <v>0</v>
      </c>
      <c r="E10" s="569">
        <f t="shared" si="0"/>
        <v>0</v>
      </c>
      <c r="F10" s="569">
        <f t="shared" si="0"/>
        <v>0</v>
      </c>
      <c r="G10" s="569">
        <f t="shared" si="0"/>
        <v>0</v>
      </c>
      <c r="H10" s="569">
        <f t="shared" si="0"/>
        <v>0</v>
      </c>
      <c r="I10" s="569">
        <f t="shared" si="0"/>
        <v>69525</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23002</v>
      </c>
      <c r="C64" s="788">
        <v>2861</v>
      </c>
      <c r="D64" s="643" t="s">
        <v>965</v>
      </c>
      <c r="E64" s="643" t="s">
        <v>966</v>
      </c>
      <c r="F64" s="643" t="s">
        <v>967</v>
      </c>
      <c r="G64" s="643" t="s">
        <v>968</v>
      </c>
      <c r="H64" s="643" t="s">
        <v>969</v>
      </c>
      <c r="I64" s="643" t="s">
        <v>970</v>
      </c>
      <c r="J64" s="787">
        <v>40507</v>
      </c>
      <c r="K64" s="787">
        <v>40513</v>
      </c>
      <c r="L64" s="643" t="s">
        <v>971</v>
      </c>
      <c r="M64" s="643">
        <v>900</v>
      </c>
      <c r="N64" s="643">
        <v>4050</v>
      </c>
      <c r="O64" s="643">
        <v>0</v>
      </c>
      <c r="P64" s="643">
        <v>0</v>
      </c>
      <c r="Q64" s="643">
        <v>0</v>
      </c>
      <c r="R64" s="643">
        <v>0</v>
      </c>
      <c r="S64" s="643">
        <v>0</v>
      </c>
      <c r="T64" s="643">
        <v>10125</v>
      </c>
      <c r="U64" s="643">
        <v>0</v>
      </c>
      <c r="V64" s="643">
        <v>0</v>
      </c>
      <c r="W64" s="643">
        <v>0</v>
      </c>
      <c r="X64" s="643">
        <v>10</v>
      </c>
      <c r="Y64" s="643" t="s">
        <v>112</v>
      </c>
      <c r="Z64" s="644" t="s">
        <v>112</v>
      </c>
    </row>
    <row r="65" spans="1:26" s="609" customFormat="1" ht="38.25">
      <c r="A65" s="595"/>
      <c r="B65" s="788">
        <v>23002</v>
      </c>
      <c r="C65" s="788">
        <v>1730</v>
      </c>
      <c r="D65" s="643" t="s">
        <v>965</v>
      </c>
      <c r="E65" s="643" t="s">
        <v>966</v>
      </c>
      <c r="F65" s="643" t="s">
        <v>972</v>
      </c>
      <c r="G65" s="643" t="s">
        <v>968</v>
      </c>
      <c r="H65" s="643" t="s">
        <v>969</v>
      </c>
      <c r="I65" s="643" t="s">
        <v>966</v>
      </c>
      <c r="J65" s="787">
        <v>38353</v>
      </c>
      <c r="K65" s="787">
        <v>38505</v>
      </c>
      <c r="L65" s="643" t="s">
        <v>971</v>
      </c>
      <c r="M65" s="643">
        <v>5280</v>
      </c>
      <c r="N65" s="643">
        <v>23760</v>
      </c>
      <c r="O65" s="643">
        <v>0</v>
      </c>
      <c r="P65" s="643">
        <v>0</v>
      </c>
      <c r="Q65" s="643">
        <v>0</v>
      </c>
      <c r="R65" s="643">
        <v>0</v>
      </c>
      <c r="S65" s="643">
        <v>0</v>
      </c>
      <c r="T65" s="643">
        <v>59400</v>
      </c>
      <c r="U65" s="643">
        <v>0</v>
      </c>
      <c r="V65" s="643">
        <v>0</v>
      </c>
      <c r="W65" s="643">
        <v>0</v>
      </c>
      <c r="X65" s="643">
        <v>10</v>
      </c>
      <c r="Y65" s="643" t="s">
        <v>112</v>
      </c>
      <c r="Z65" s="644" t="s">
        <v>112</v>
      </c>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6180</v>
      </c>
      <c r="N89" s="598">
        <f t="shared" ref="N89:W89" si="5">SUM(N64:N88)</f>
        <v>27810</v>
      </c>
      <c r="O89" s="598">
        <f t="shared" si="5"/>
        <v>0</v>
      </c>
      <c r="P89" s="598">
        <f t="shared" si="5"/>
        <v>0</v>
      </c>
      <c r="Q89" s="598">
        <f t="shared" si="5"/>
        <v>0</v>
      </c>
      <c r="R89" s="598">
        <f t="shared" si="5"/>
        <v>0</v>
      </c>
      <c r="S89" s="598">
        <f t="shared" si="5"/>
        <v>0</v>
      </c>
      <c r="T89" s="598">
        <f t="shared" si="5"/>
        <v>69525</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6180</v>
      </c>
      <c r="N92" s="603">
        <f t="shared" si="8"/>
        <v>27810</v>
      </c>
      <c r="O92" s="603">
        <f t="shared" si="8"/>
        <v>0</v>
      </c>
      <c r="P92" s="603">
        <f t="shared" si="8"/>
        <v>0</v>
      </c>
      <c r="Q92" s="603">
        <f t="shared" si="8"/>
        <v>0</v>
      </c>
      <c r="R92" s="603">
        <f t="shared" si="8"/>
        <v>0</v>
      </c>
      <c r="S92" s="603">
        <f t="shared" si="8"/>
        <v>0</v>
      </c>
      <c r="T92" s="603">
        <f t="shared" si="8"/>
        <v>69525</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52746.369035032279</v>
      </c>
      <c r="C4" s="460">
        <f>huishoudens!C8</f>
        <v>0</v>
      </c>
      <c r="D4" s="460">
        <f>huishoudens!D8</f>
        <v>106951.95257343964</v>
      </c>
      <c r="E4" s="460">
        <f>huishoudens!E8</f>
        <v>5239.2638262796027</v>
      </c>
      <c r="F4" s="460">
        <f>huishoudens!F8</f>
        <v>69270.51739402565</v>
      </c>
      <c r="G4" s="460">
        <f>huishoudens!G8</f>
        <v>0</v>
      </c>
      <c r="H4" s="460">
        <f>huishoudens!H8</f>
        <v>0</v>
      </c>
      <c r="I4" s="460">
        <f>huishoudens!I8</f>
        <v>0</v>
      </c>
      <c r="J4" s="460">
        <f>huishoudens!J8</f>
        <v>0</v>
      </c>
      <c r="K4" s="460">
        <f>huishoudens!K8</f>
        <v>0</v>
      </c>
      <c r="L4" s="460">
        <f>huishoudens!L8</f>
        <v>0</v>
      </c>
      <c r="M4" s="460">
        <f>huishoudens!M8</f>
        <v>0</v>
      </c>
      <c r="N4" s="460">
        <f>huishoudens!N8</f>
        <v>11484.080758051599</v>
      </c>
      <c r="O4" s="460">
        <f>huishoudens!O8</f>
        <v>84.42</v>
      </c>
      <c r="P4" s="461">
        <f>huishoudens!P8</f>
        <v>552.93333333333339</v>
      </c>
      <c r="Q4" s="462">
        <f>SUM(B4:P4)</f>
        <v>246329.53692016209</v>
      </c>
    </row>
    <row r="5" spans="1:17">
      <c r="A5" s="459" t="s">
        <v>156</v>
      </c>
      <c r="B5" s="460">
        <f ca="1">tertiair!B16</f>
        <v>92366.863218480037</v>
      </c>
      <c r="C5" s="460">
        <f ca="1">tertiair!C16</f>
        <v>0</v>
      </c>
      <c r="D5" s="460">
        <f ca="1">tertiair!D16</f>
        <v>75048.892119440425</v>
      </c>
      <c r="E5" s="460">
        <f>tertiair!E16</f>
        <v>1423.2310347591265</v>
      </c>
      <c r="F5" s="460">
        <f ca="1">tertiair!F16</f>
        <v>15688.759940442742</v>
      </c>
      <c r="G5" s="460">
        <f>tertiair!G16</f>
        <v>0</v>
      </c>
      <c r="H5" s="460">
        <f>tertiair!H16</f>
        <v>0</v>
      </c>
      <c r="I5" s="460">
        <f>tertiair!I16</f>
        <v>0</v>
      </c>
      <c r="J5" s="460">
        <f>tertiair!J16</f>
        <v>0</v>
      </c>
      <c r="K5" s="460">
        <f>tertiair!K16</f>
        <v>0</v>
      </c>
      <c r="L5" s="460">
        <f ca="1">tertiair!L16</f>
        <v>0</v>
      </c>
      <c r="M5" s="460">
        <f>tertiair!M16</f>
        <v>0</v>
      </c>
      <c r="N5" s="460">
        <f ca="1">tertiair!N16</f>
        <v>1306.8157240602677</v>
      </c>
      <c r="O5" s="460">
        <f>tertiair!O16</f>
        <v>3.1266666666666669</v>
      </c>
      <c r="P5" s="461">
        <f>tertiair!P16</f>
        <v>0</v>
      </c>
      <c r="Q5" s="459">
        <f t="shared" ref="Q5:Q14" ca="1" si="0">SUM(B5:P5)</f>
        <v>185837.68870384927</v>
      </c>
    </row>
    <row r="6" spans="1:17">
      <c r="A6" s="459" t="s">
        <v>194</v>
      </c>
      <c r="B6" s="460">
        <f>'openbare verlichting'!B8</f>
        <v>2038.8230000000001</v>
      </c>
      <c r="C6" s="460"/>
      <c r="D6" s="460"/>
      <c r="E6" s="460"/>
      <c r="F6" s="460"/>
      <c r="G6" s="460"/>
      <c r="H6" s="460"/>
      <c r="I6" s="460"/>
      <c r="J6" s="460"/>
      <c r="K6" s="460"/>
      <c r="L6" s="460"/>
      <c r="M6" s="460"/>
      <c r="N6" s="460"/>
      <c r="O6" s="460"/>
      <c r="P6" s="461"/>
      <c r="Q6" s="459">
        <f t="shared" si="0"/>
        <v>2038.8230000000001</v>
      </c>
    </row>
    <row r="7" spans="1:17">
      <c r="A7" s="459" t="s">
        <v>112</v>
      </c>
      <c r="B7" s="460">
        <f>landbouw!B8</f>
        <v>1025.2091447885325</v>
      </c>
      <c r="C7" s="460">
        <f>landbouw!C8</f>
        <v>0</v>
      </c>
      <c r="D7" s="460">
        <f>landbouw!D8</f>
        <v>1017.3933955794972</v>
      </c>
      <c r="E7" s="460">
        <f>landbouw!E8</f>
        <v>10.736212112954343</v>
      </c>
      <c r="F7" s="460">
        <f>landbouw!F8</f>
        <v>4388.6741332028587</v>
      </c>
      <c r="G7" s="460">
        <f>landbouw!G8</f>
        <v>0</v>
      </c>
      <c r="H7" s="460">
        <f>landbouw!H8</f>
        <v>0</v>
      </c>
      <c r="I7" s="460">
        <f>landbouw!I8</f>
        <v>0</v>
      </c>
      <c r="J7" s="460">
        <f>landbouw!J8</f>
        <v>91.560365735943719</v>
      </c>
      <c r="K7" s="460">
        <f>landbouw!K8</f>
        <v>0</v>
      </c>
      <c r="L7" s="460">
        <f>landbouw!L8</f>
        <v>0</v>
      </c>
      <c r="M7" s="460">
        <f>landbouw!M8</f>
        <v>0</v>
      </c>
      <c r="N7" s="460">
        <f>landbouw!N8</f>
        <v>0</v>
      </c>
      <c r="O7" s="460">
        <f>landbouw!O8</f>
        <v>0</v>
      </c>
      <c r="P7" s="461">
        <f>landbouw!P8</f>
        <v>0</v>
      </c>
      <c r="Q7" s="459">
        <f t="shared" si="0"/>
        <v>6533.5732514197862</v>
      </c>
    </row>
    <row r="8" spans="1:17">
      <c r="A8" s="459" t="s">
        <v>655</v>
      </c>
      <c r="B8" s="460">
        <f>industrie!B18</f>
        <v>11387.564425253779</v>
      </c>
      <c r="C8" s="460">
        <f>industrie!C18</f>
        <v>0</v>
      </c>
      <c r="D8" s="460">
        <f>industrie!D18</f>
        <v>11590.914232317147</v>
      </c>
      <c r="E8" s="460">
        <f>industrie!E18</f>
        <v>115.74655285817039</v>
      </c>
      <c r="F8" s="460">
        <f>industrie!F18</f>
        <v>2981.511312127458</v>
      </c>
      <c r="G8" s="460">
        <f>industrie!G18</f>
        <v>0</v>
      </c>
      <c r="H8" s="460">
        <f>industrie!H18</f>
        <v>0</v>
      </c>
      <c r="I8" s="460">
        <f>industrie!I18</f>
        <v>0</v>
      </c>
      <c r="J8" s="460">
        <f>industrie!J18</f>
        <v>55.908233734028272</v>
      </c>
      <c r="K8" s="460">
        <f>industrie!K18</f>
        <v>0</v>
      </c>
      <c r="L8" s="460">
        <f>industrie!L18</f>
        <v>0</v>
      </c>
      <c r="M8" s="460">
        <f>industrie!M18</f>
        <v>0</v>
      </c>
      <c r="N8" s="460">
        <f>industrie!N18</f>
        <v>273.56794479137216</v>
      </c>
      <c r="O8" s="460">
        <f>industrie!O18</f>
        <v>0</v>
      </c>
      <c r="P8" s="461">
        <f>industrie!P18</f>
        <v>0</v>
      </c>
      <c r="Q8" s="459">
        <f t="shared" si="0"/>
        <v>26405.212701081957</v>
      </c>
    </row>
    <row r="9" spans="1:17" s="465" customFormat="1">
      <c r="A9" s="463" t="s">
        <v>573</v>
      </c>
      <c r="B9" s="464">
        <f>transport!B14</f>
        <v>2.7827921197946441</v>
      </c>
      <c r="C9" s="464">
        <f>transport!C14</f>
        <v>0</v>
      </c>
      <c r="D9" s="464">
        <f>transport!D14</f>
        <v>13.854602100588826</v>
      </c>
      <c r="E9" s="464">
        <f>transport!E14</f>
        <v>1538.375147616428</v>
      </c>
      <c r="F9" s="464">
        <f>transport!F14</f>
        <v>0</v>
      </c>
      <c r="G9" s="464">
        <f>transport!G14</f>
        <v>264647.08007992175</v>
      </c>
      <c r="H9" s="464">
        <f>transport!H14</f>
        <v>47059.267978243697</v>
      </c>
      <c r="I9" s="464">
        <f>transport!I14</f>
        <v>0</v>
      </c>
      <c r="J9" s="464">
        <f>transport!J14</f>
        <v>0</v>
      </c>
      <c r="K9" s="464">
        <f>transport!K14</f>
        <v>0</v>
      </c>
      <c r="L9" s="464">
        <f>transport!L14</f>
        <v>0</v>
      </c>
      <c r="M9" s="464">
        <f>transport!M14</f>
        <v>13605.270318660205</v>
      </c>
      <c r="N9" s="464">
        <f>transport!N14</f>
        <v>0</v>
      </c>
      <c r="O9" s="464">
        <f>transport!O14</f>
        <v>0</v>
      </c>
      <c r="P9" s="464">
        <f>transport!P14</f>
        <v>0</v>
      </c>
      <c r="Q9" s="463">
        <f>SUM(B9:P9)</f>
        <v>326866.63091866247</v>
      </c>
    </row>
    <row r="10" spans="1:17">
      <c r="A10" s="459" t="s">
        <v>563</v>
      </c>
      <c r="B10" s="460">
        <f>transport!B54</f>
        <v>0</v>
      </c>
      <c r="C10" s="460">
        <f>transport!C54</f>
        <v>0</v>
      </c>
      <c r="D10" s="460">
        <f>transport!D54</f>
        <v>0</v>
      </c>
      <c r="E10" s="460">
        <f>transport!E54</f>
        <v>0</v>
      </c>
      <c r="F10" s="460">
        <f>transport!F54</f>
        <v>0</v>
      </c>
      <c r="G10" s="460">
        <f>transport!G54</f>
        <v>5260.0049028075273</v>
      </c>
      <c r="H10" s="460">
        <f>transport!H54</f>
        <v>0</v>
      </c>
      <c r="I10" s="460">
        <f>transport!I54</f>
        <v>0</v>
      </c>
      <c r="J10" s="460">
        <f>transport!J54</f>
        <v>0</v>
      </c>
      <c r="K10" s="460">
        <f>transport!K54</f>
        <v>0</v>
      </c>
      <c r="L10" s="460">
        <f>transport!L54</f>
        <v>0</v>
      </c>
      <c r="M10" s="460">
        <f>transport!M54</f>
        <v>224.21115703864336</v>
      </c>
      <c r="N10" s="460">
        <f>transport!N54</f>
        <v>0</v>
      </c>
      <c r="O10" s="460">
        <f>transport!O54</f>
        <v>0</v>
      </c>
      <c r="P10" s="461">
        <f>transport!P54</f>
        <v>0</v>
      </c>
      <c r="Q10" s="459">
        <f t="shared" si="0"/>
        <v>5484.2160598461705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2606.7984776907697</v>
      </c>
      <c r="C14" s="467"/>
      <c r="D14" s="467">
        <f>'SEAP template'!E25</f>
        <v>6840.4368920848001</v>
      </c>
      <c r="E14" s="467"/>
      <c r="F14" s="467"/>
      <c r="G14" s="467"/>
      <c r="H14" s="467"/>
      <c r="I14" s="467"/>
      <c r="J14" s="467"/>
      <c r="K14" s="467"/>
      <c r="L14" s="467"/>
      <c r="M14" s="467"/>
      <c r="N14" s="467"/>
      <c r="O14" s="467"/>
      <c r="P14" s="468"/>
      <c r="Q14" s="459">
        <f t="shared" si="0"/>
        <v>9447.2353697755698</v>
      </c>
    </row>
    <row r="15" spans="1:17" s="472" customFormat="1">
      <c r="A15" s="469" t="s">
        <v>567</v>
      </c>
      <c r="B15" s="470">
        <f ca="1">SUM(B4:B14)</f>
        <v>162174.41009336521</v>
      </c>
      <c r="C15" s="470">
        <f t="shared" ref="C15:Q15" ca="1" si="1">SUM(C4:C14)</f>
        <v>0</v>
      </c>
      <c r="D15" s="470">
        <f t="shared" ca="1" si="1"/>
        <v>201463.44381496211</v>
      </c>
      <c r="E15" s="470">
        <f t="shared" si="1"/>
        <v>8327.3527736262822</v>
      </c>
      <c r="F15" s="470">
        <f t="shared" ca="1" si="1"/>
        <v>92329.46277979872</v>
      </c>
      <c r="G15" s="470">
        <f t="shared" si="1"/>
        <v>269907.08498272928</v>
      </c>
      <c r="H15" s="470">
        <f t="shared" si="1"/>
        <v>47059.267978243697</v>
      </c>
      <c r="I15" s="470">
        <f t="shared" si="1"/>
        <v>0</v>
      </c>
      <c r="J15" s="470">
        <f t="shared" si="1"/>
        <v>147.46859946997199</v>
      </c>
      <c r="K15" s="470">
        <f t="shared" si="1"/>
        <v>0</v>
      </c>
      <c r="L15" s="470">
        <f t="shared" ca="1" si="1"/>
        <v>0</v>
      </c>
      <c r="M15" s="470">
        <f t="shared" si="1"/>
        <v>13829.481475698849</v>
      </c>
      <c r="N15" s="470">
        <f t="shared" ca="1" si="1"/>
        <v>13064.46442690324</v>
      </c>
      <c r="O15" s="470">
        <f t="shared" si="1"/>
        <v>87.546666666666667</v>
      </c>
      <c r="P15" s="470">
        <f t="shared" si="1"/>
        <v>552.93333333333339</v>
      </c>
      <c r="Q15" s="470">
        <f t="shared" ca="1" si="1"/>
        <v>808942.91692479723</v>
      </c>
    </row>
    <row r="17" spans="1:17">
      <c r="A17" s="473" t="s">
        <v>568</v>
      </c>
      <c r="B17" s="777">
        <f ca="1">huishoudens!B10</f>
        <v>0.1760036976555682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9283.5559880708461</v>
      </c>
      <c r="C22" s="460">
        <f t="shared" ref="C22:C32" ca="1" si="3">C4*$C$17</f>
        <v>0</v>
      </c>
      <c r="D22" s="460">
        <f t="shared" ref="D22:D32" si="4">D4*$D$17</f>
        <v>21604.294419834809</v>
      </c>
      <c r="E22" s="460">
        <f t="shared" ref="E22:E32" si="5">E4*$E$17</f>
        <v>1189.3128885654698</v>
      </c>
      <c r="F22" s="460">
        <f t="shared" ref="F22:F32" si="6">F4*$F$17</f>
        <v>18495.228144204848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50572.391440675972</v>
      </c>
    </row>
    <row r="23" spans="1:17">
      <c r="A23" s="459" t="s">
        <v>156</v>
      </c>
      <c r="B23" s="460">
        <f t="shared" ca="1" si="2"/>
        <v>16256.909467298583</v>
      </c>
      <c r="C23" s="460">
        <f t="shared" ca="1" si="3"/>
        <v>0</v>
      </c>
      <c r="D23" s="460">
        <f t="shared" ca="1" si="4"/>
        <v>15159.876208126967</v>
      </c>
      <c r="E23" s="460">
        <f t="shared" si="5"/>
        <v>323.0734448903217</v>
      </c>
      <c r="F23" s="460">
        <f t="shared" ca="1" si="6"/>
        <v>4188.8989040982124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35928.758024414085</v>
      </c>
    </row>
    <row r="24" spans="1:17">
      <c r="A24" s="459" t="s">
        <v>194</v>
      </c>
      <c r="B24" s="460">
        <f t="shared" ca="1" si="2"/>
        <v>358.84038686521853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358.84038686521853</v>
      </c>
    </row>
    <row r="25" spans="1:17">
      <c r="A25" s="459" t="s">
        <v>112</v>
      </c>
      <c r="B25" s="460">
        <f t="shared" ca="1" si="2"/>
        <v>180.44060035308451</v>
      </c>
      <c r="C25" s="460">
        <f t="shared" ca="1" si="3"/>
        <v>0</v>
      </c>
      <c r="D25" s="460">
        <f t="shared" si="4"/>
        <v>205.51346590705845</v>
      </c>
      <c r="E25" s="460">
        <f t="shared" si="5"/>
        <v>2.4371201496406361</v>
      </c>
      <c r="F25" s="460">
        <f t="shared" si="6"/>
        <v>1171.7759935651634</v>
      </c>
      <c r="G25" s="460">
        <f t="shared" si="7"/>
        <v>0</v>
      </c>
      <c r="H25" s="460">
        <f t="shared" si="8"/>
        <v>0</v>
      </c>
      <c r="I25" s="460">
        <f t="shared" si="9"/>
        <v>0</v>
      </c>
      <c r="J25" s="460">
        <f t="shared" si="10"/>
        <v>32.412369470524077</v>
      </c>
      <c r="K25" s="460">
        <f t="shared" si="11"/>
        <v>0</v>
      </c>
      <c r="L25" s="460">
        <f t="shared" si="12"/>
        <v>0</v>
      </c>
      <c r="M25" s="460">
        <f t="shared" si="13"/>
        <v>0</v>
      </c>
      <c r="N25" s="460">
        <f t="shared" si="14"/>
        <v>0</v>
      </c>
      <c r="O25" s="460">
        <f t="shared" si="15"/>
        <v>0</v>
      </c>
      <c r="P25" s="461">
        <f t="shared" si="16"/>
        <v>0</v>
      </c>
      <c r="Q25" s="459">
        <f t="shared" ca="1" si="17"/>
        <v>1592.579549445471</v>
      </c>
    </row>
    <row r="26" spans="1:17">
      <c r="A26" s="459" t="s">
        <v>655</v>
      </c>
      <c r="B26" s="460">
        <f t="shared" ca="1" si="2"/>
        <v>2004.2534461356702</v>
      </c>
      <c r="C26" s="460">
        <f t="shared" ca="1" si="3"/>
        <v>0</v>
      </c>
      <c r="D26" s="460">
        <f t="shared" si="4"/>
        <v>2341.3646749280638</v>
      </c>
      <c r="E26" s="460">
        <f t="shared" si="5"/>
        <v>26.274467498804679</v>
      </c>
      <c r="F26" s="460">
        <f t="shared" si="6"/>
        <v>796.06352033803137</v>
      </c>
      <c r="G26" s="460">
        <f t="shared" si="7"/>
        <v>0</v>
      </c>
      <c r="H26" s="460">
        <f t="shared" si="8"/>
        <v>0</v>
      </c>
      <c r="I26" s="460">
        <f t="shared" si="9"/>
        <v>0</v>
      </c>
      <c r="J26" s="460">
        <f t="shared" si="10"/>
        <v>19.791514741846008</v>
      </c>
      <c r="K26" s="460">
        <f t="shared" si="11"/>
        <v>0</v>
      </c>
      <c r="L26" s="460">
        <f t="shared" si="12"/>
        <v>0</v>
      </c>
      <c r="M26" s="460">
        <f t="shared" si="13"/>
        <v>0</v>
      </c>
      <c r="N26" s="460">
        <f t="shared" si="14"/>
        <v>0</v>
      </c>
      <c r="O26" s="460">
        <f t="shared" si="15"/>
        <v>0</v>
      </c>
      <c r="P26" s="461">
        <f t="shared" si="16"/>
        <v>0</v>
      </c>
      <c r="Q26" s="459">
        <f t="shared" ca="1" si="17"/>
        <v>5187.7476236424163</v>
      </c>
    </row>
    <row r="27" spans="1:17" s="465" customFormat="1">
      <c r="A27" s="463" t="s">
        <v>573</v>
      </c>
      <c r="B27" s="771">
        <f t="shared" ca="1" si="2"/>
        <v>0.48978170289063427</v>
      </c>
      <c r="C27" s="464">
        <f t="shared" ca="1" si="3"/>
        <v>0</v>
      </c>
      <c r="D27" s="464">
        <f t="shared" si="4"/>
        <v>2.7986296243189432</v>
      </c>
      <c r="E27" s="464">
        <f t="shared" si="5"/>
        <v>349.21115850892915</v>
      </c>
      <c r="F27" s="464">
        <f t="shared" si="6"/>
        <v>0</v>
      </c>
      <c r="G27" s="464">
        <f t="shared" si="7"/>
        <v>70660.770381339113</v>
      </c>
      <c r="H27" s="464">
        <f t="shared" si="8"/>
        <v>11717.75772658268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82731.027677757942</v>
      </c>
    </row>
    <row r="28" spans="1:17">
      <c r="A28" s="459" t="s">
        <v>563</v>
      </c>
      <c r="B28" s="460">
        <f t="shared" ca="1" si="2"/>
        <v>0</v>
      </c>
      <c r="C28" s="460">
        <f t="shared" ca="1" si="3"/>
        <v>0</v>
      </c>
      <c r="D28" s="460">
        <f t="shared" si="4"/>
        <v>0</v>
      </c>
      <c r="E28" s="460">
        <f t="shared" si="5"/>
        <v>0</v>
      </c>
      <c r="F28" s="460">
        <f t="shared" si="6"/>
        <v>0</v>
      </c>
      <c r="G28" s="460">
        <f t="shared" si="7"/>
        <v>1404.4213090496098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1404.4213090496098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458.80617111648166</v>
      </c>
      <c r="C32" s="460">
        <f t="shared" ca="1" si="3"/>
        <v>0</v>
      </c>
      <c r="D32" s="460">
        <f t="shared" si="4"/>
        <v>1381.7682522011296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1840.5744233176113</v>
      </c>
    </row>
    <row r="33" spans="1:17" s="472" customFormat="1">
      <c r="A33" s="469" t="s">
        <v>567</v>
      </c>
      <c r="B33" s="470">
        <f ca="1">SUM(B22:B32)</f>
        <v>28543.295841542771</v>
      </c>
      <c r="C33" s="470">
        <f t="shared" ref="C33:Q33" ca="1" si="19">SUM(C22:C32)</f>
        <v>0</v>
      </c>
      <c r="D33" s="470">
        <f t="shared" ca="1" si="19"/>
        <v>40695.615650622356</v>
      </c>
      <c r="E33" s="470">
        <f t="shared" si="19"/>
        <v>1890.309079613166</v>
      </c>
      <c r="F33" s="470">
        <f t="shared" ca="1" si="19"/>
        <v>24651.966562206253</v>
      </c>
      <c r="G33" s="470">
        <f t="shared" si="19"/>
        <v>72065.191690388718</v>
      </c>
      <c r="H33" s="470">
        <f t="shared" si="19"/>
        <v>11717.75772658268</v>
      </c>
      <c r="I33" s="470">
        <f t="shared" si="19"/>
        <v>0</v>
      </c>
      <c r="J33" s="470">
        <f t="shared" si="19"/>
        <v>52.203884212370085</v>
      </c>
      <c r="K33" s="470">
        <f t="shared" si="19"/>
        <v>0</v>
      </c>
      <c r="L33" s="470">
        <f t="shared" ca="1" si="19"/>
        <v>0</v>
      </c>
      <c r="M33" s="470">
        <f t="shared" si="19"/>
        <v>0</v>
      </c>
      <c r="N33" s="470">
        <f t="shared" ca="1" si="19"/>
        <v>0</v>
      </c>
      <c r="O33" s="470">
        <f t="shared" si="19"/>
        <v>0</v>
      </c>
      <c r="P33" s="470">
        <f t="shared" si="19"/>
        <v>0</v>
      </c>
      <c r="Q33" s="470">
        <f t="shared" ca="1" si="19"/>
        <v>179616.34043516833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5209.225290004224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27810</v>
      </c>
      <c r="C9" s="1028">
        <f>'SEAP template'!C77</f>
        <v>0</v>
      </c>
      <c r="D9" s="1028">
        <f>'SEAP template'!D77</f>
        <v>0</v>
      </c>
      <c r="E9" s="1028">
        <f>'SEAP template'!E77</f>
        <v>0</v>
      </c>
      <c r="F9" s="1028">
        <f>'SEAP template'!F77</f>
        <v>0</v>
      </c>
      <c r="G9" s="1028">
        <f>'SEAP template'!G77</f>
        <v>0</v>
      </c>
      <c r="H9" s="1028">
        <f>'SEAP template'!H77</f>
        <v>0</v>
      </c>
      <c r="I9" s="1028">
        <f>'SEAP template'!I77</f>
        <v>69525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33019.225290004222</v>
      </c>
      <c r="C10" s="1032">
        <f>SUM(C4:C9)</f>
        <v>0</v>
      </c>
      <c r="D10" s="1032">
        <f t="shared" ref="D10:H10" si="0">SUM(D8:D9)</f>
        <v>0</v>
      </c>
      <c r="E10" s="1032">
        <f t="shared" si="0"/>
        <v>0</v>
      </c>
      <c r="F10" s="1032">
        <f t="shared" si="0"/>
        <v>0</v>
      </c>
      <c r="G10" s="1032">
        <f t="shared" si="0"/>
        <v>0</v>
      </c>
      <c r="H10" s="1032">
        <f t="shared" si="0"/>
        <v>0</v>
      </c>
      <c r="I10" s="1032">
        <f>SUM(I8:I9)</f>
        <v>69525</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0.1760036976555682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0.1760036976555682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2019-08-12T09:19:53Z</dcterms:modified>
</cp:coreProperties>
</file>