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O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C98" l="1"/>
  <c r="I101" s="1"/>
  <c r="H8" s="1"/>
  <c r="B17"/>
  <c r="B20" s="1"/>
  <c r="G20"/>
  <c r="O18"/>
  <c r="L20"/>
  <c r="O19"/>
  <c r="B10"/>
  <c r="E101"/>
  <c r="E8" s="1"/>
  <c r="E10" s="1"/>
  <c r="G101"/>
  <c r="C101"/>
  <c r="I102"/>
  <c r="H17" s="1"/>
  <c r="H20" s="1"/>
  <c r="E102"/>
  <c r="E17" s="1"/>
  <c r="E20" s="1"/>
  <c r="H102"/>
  <c r="D102"/>
  <c r="G102"/>
  <c r="C102"/>
  <c r="F102"/>
  <c r="B102"/>
  <c r="C17" s="1"/>
  <c r="B14" i="48"/>
  <c r="P7"/>
  <c r="O7"/>
  <c r="M7"/>
  <c r="K7"/>
  <c r="I7"/>
  <c r="H7"/>
  <c r="G7"/>
  <c r="P10"/>
  <c r="O10"/>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B19" i="6"/>
  <c r="B18"/>
  <c r="B5"/>
  <c r="B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L20"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G77" i="14"/>
  <c r="F77"/>
  <c r="F78" s="1"/>
  <c r="E77"/>
  <c r="E9" i="55" s="1"/>
  <c r="D77" i="14"/>
  <c r="D9" i="55" s="1"/>
  <c r="O76" i="14"/>
  <c r="O8" i="55" s="1"/>
  <c r="N76" i="14"/>
  <c r="N8" i="55" s="1"/>
  <c r="L76" i="14"/>
  <c r="K76"/>
  <c r="K8" i="55" s="1"/>
  <c r="H76" i="14"/>
  <c r="H8" i="55" s="1"/>
  <c r="G76" i="14"/>
  <c r="G8" i="55" s="1"/>
  <c r="F76" i="14"/>
  <c r="F8" i="55" s="1"/>
  <c r="E76" i="14"/>
  <c r="E8" i="55" s="1"/>
  <c r="B75" i="14"/>
  <c r="B7" i="55" s="1"/>
  <c r="B74" i="14"/>
  <c r="B6" i="55" s="1"/>
  <c r="B73" i="14"/>
  <c r="B5" i="55" s="1"/>
  <c r="B72" i="14"/>
  <c r="B4" i="55" s="1"/>
  <c r="C29" i="14"/>
  <c r="Q54"/>
  <c r="P54"/>
  <c r="L54"/>
  <c r="L56" s="1"/>
  <c r="J54"/>
  <c r="I54"/>
  <c r="H54"/>
  <c r="H56" s="1"/>
  <c r="Q24"/>
  <c r="P24"/>
  <c r="N24"/>
  <c r="L24"/>
  <c r="J24"/>
  <c r="J26" s="1"/>
  <c r="I24"/>
  <c r="I26" s="1"/>
  <c r="H24"/>
  <c r="Q50"/>
  <c r="P50"/>
  <c r="O50"/>
  <c r="M50"/>
  <c r="L50"/>
  <c r="K50"/>
  <c r="J50"/>
  <c r="G50"/>
  <c r="D50"/>
  <c r="Q49"/>
  <c r="P49"/>
  <c r="Q20"/>
  <c r="P20"/>
  <c r="O20"/>
  <c r="M20"/>
  <c r="L20"/>
  <c r="K20"/>
  <c r="J20"/>
  <c r="G20"/>
  <c r="D20"/>
  <c r="Q19"/>
  <c r="P19"/>
  <c r="O19"/>
  <c r="O22" s="1"/>
  <c r="M19"/>
  <c r="L19"/>
  <c r="K19"/>
  <c r="K22" s="1"/>
  <c r="J19"/>
  <c r="J22" s="1"/>
  <c r="I19"/>
  <c r="G19"/>
  <c r="G22" s="1"/>
  <c r="F19"/>
  <c r="E19"/>
  <c r="D19"/>
  <c r="Q48"/>
  <c r="P48"/>
  <c r="O48"/>
  <c r="M48"/>
  <c r="L48"/>
  <c r="K48"/>
  <c r="J48"/>
  <c r="G48"/>
  <c r="D48"/>
  <c r="Q18"/>
  <c r="Q22" s="1"/>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J56"/>
  <c r="Q56"/>
  <c r="P56"/>
  <c r="I56"/>
  <c r="P52"/>
  <c r="R44"/>
  <c r="P26"/>
  <c r="L26"/>
  <c r="H26"/>
  <c r="E25"/>
  <c r="E55" s="1"/>
  <c r="Q26"/>
  <c r="N26"/>
  <c r="D5" i="17"/>
  <c r="H10" i="18" l="1"/>
  <c r="M76" i="14"/>
  <c r="M8" i="55" s="1"/>
  <c r="M10" s="1"/>
  <c r="N78" i="14"/>
  <c r="N9" i="55"/>
  <c r="N10" s="1"/>
  <c r="M90" i="14"/>
  <c r="M17" i="55"/>
  <c r="M20" s="1"/>
  <c r="L78" i="14"/>
  <c r="L8" i="55"/>
  <c r="G78" i="14"/>
  <c r="G9" i="55"/>
  <c r="O78" i="14"/>
  <c r="O9" i="55"/>
  <c r="O10" s="1"/>
  <c r="P32" i="48"/>
  <c r="P22" i="14"/>
  <c r="L90"/>
  <c r="H10" i="55"/>
  <c r="G20"/>
  <c r="O20"/>
  <c r="H101" i="18"/>
  <c r="H90" i="14"/>
  <c r="Q52"/>
  <c r="K10" i="55"/>
  <c r="O32" i="48"/>
  <c r="D101" i="18"/>
  <c r="C77" i="14"/>
  <c r="C9" i="55" s="1"/>
  <c r="F9"/>
  <c r="F90" i="14"/>
  <c r="F18" i="55"/>
  <c r="F20" s="1"/>
  <c r="N90" i="14"/>
  <c r="N18" i="55"/>
  <c r="N20" s="1"/>
  <c r="L22" i="14"/>
  <c r="G10" i="55"/>
  <c r="D14" i="48"/>
  <c r="F101" i="18"/>
  <c r="I8" s="1"/>
  <c r="E10" i="55"/>
  <c r="H20"/>
  <c r="P24" i="48"/>
  <c r="B101" i="18"/>
  <c r="C8" s="1"/>
  <c r="D76" i="14" s="1"/>
  <c r="E90"/>
  <c r="E18" i="55"/>
  <c r="E20" s="1"/>
  <c r="D22" i="14"/>
  <c r="P31" i="48"/>
  <c r="F10" i="55"/>
  <c r="L10"/>
  <c r="K20"/>
  <c r="R9" i="14"/>
  <c r="M22"/>
  <c r="O28" i="48"/>
  <c r="O25"/>
  <c r="B77" i="14"/>
  <c r="B9" i="55" s="1"/>
  <c r="H78" i="14"/>
  <c r="C88"/>
  <c r="C18" i="55" s="1"/>
  <c r="C20" i="18"/>
  <c r="E78" i="14"/>
  <c r="D87"/>
  <c r="D17" i="55" s="1"/>
  <c r="D20" s="1"/>
  <c r="G90" i="14"/>
  <c r="O90"/>
  <c r="J17" i="18"/>
  <c r="J8"/>
  <c r="Q88" i="14"/>
  <c r="P18" i="55" s="1"/>
  <c r="Q89" i="14"/>
  <c r="P19" i="55" s="1"/>
  <c r="K78" i="14"/>
  <c r="B88"/>
  <c r="B18" i="55" s="1"/>
  <c r="C89" i="14"/>
  <c r="C19" i="55" s="1"/>
  <c r="B89" i="14"/>
  <c r="B19" i="55" s="1"/>
  <c r="I17" i="18"/>
  <c r="O27" i="48"/>
  <c r="O31"/>
  <c r="P27"/>
  <c r="P28"/>
  <c r="P29"/>
  <c r="Q11"/>
  <c r="Q12"/>
  <c r="O30"/>
  <c r="Q77" i="14"/>
  <c r="D78"/>
  <c r="K90"/>
  <c r="O17" i="18" l="1"/>
  <c r="O20" s="1"/>
  <c r="C10"/>
  <c r="M78" i="14"/>
  <c r="Q14" i="48"/>
  <c r="P9" i="55"/>
  <c r="Q76" i="14"/>
  <c r="P8" i="55" s="1"/>
  <c r="D8"/>
  <c r="D1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Q78" i="14"/>
  <c r="B9" i="6" s="1"/>
  <c r="P10" i="55"/>
  <c r="I78" i="14"/>
  <c r="C76"/>
  <c r="B76"/>
  <c r="I90"/>
  <c r="B87"/>
  <c r="C87"/>
  <c r="H14" i="15"/>
  <c r="H16" s="1"/>
  <c r="G14"/>
  <c r="G16" s="1"/>
  <c r="B78" i="14" l="1"/>
  <c r="B4" i="6" s="1"/>
  <c r="B8" i="55"/>
  <c r="B10" s="1"/>
  <c r="C78" i="14"/>
  <c r="C8" i="55"/>
  <c r="C10" s="1"/>
  <c r="B90" i="14"/>
  <c r="B17" i="55"/>
  <c r="B20" s="1"/>
  <c r="C90" i="14"/>
  <c r="C17" i="55"/>
  <c r="C20" s="1"/>
  <c r="H5" i="48"/>
  <c r="I10" i="14"/>
  <c r="I16" s="1"/>
  <c r="G5" i="48"/>
  <c r="H10" i="14"/>
  <c r="H16"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F32" i="48" l="1"/>
  <c r="F24"/>
  <c r="F30"/>
  <c r="F29"/>
  <c r="F31"/>
  <c r="F28"/>
  <c r="F27"/>
  <c r="B7"/>
  <c r="C24" i="14"/>
  <c r="C26" s="1"/>
  <c r="E30" i="48"/>
  <c r="E24"/>
  <c r="E32"/>
  <c r="E28"/>
  <c r="E31"/>
  <c r="E29"/>
  <c r="M30"/>
  <c r="M24"/>
  <c r="M25"/>
  <c r="M32"/>
  <c r="M26"/>
  <c r="M22"/>
  <c r="M29"/>
  <c r="L10" i="14"/>
  <c r="L16" s="1"/>
  <c r="L27" s="1"/>
  <c r="K5" i="48"/>
  <c r="D22"/>
  <c r="D30"/>
  <c r="D28"/>
  <c r="D24"/>
  <c r="D31"/>
  <c r="D29"/>
  <c r="D32"/>
  <c r="L32"/>
  <c r="L27"/>
  <c r="L22"/>
  <c r="L30"/>
  <c r="L28"/>
  <c r="L24"/>
  <c r="L31"/>
  <c r="L29"/>
  <c r="P5"/>
  <c r="P23" s="1"/>
  <c r="Q10" i="14"/>
  <c r="B4" i="48"/>
  <c r="C11" i="14"/>
  <c r="I5" i="48"/>
  <c r="J10" i="14"/>
  <c r="J16" s="1"/>
  <c r="J27" s="1"/>
  <c r="J32" i="48"/>
  <c r="J31"/>
  <c r="J24"/>
  <c r="J30"/>
  <c r="J28"/>
  <c r="J29"/>
  <c r="J27"/>
  <c r="I32"/>
  <c r="I25"/>
  <c r="I30"/>
  <c r="I26"/>
  <c r="I24"/>
  <c r="I29"/>
  <c r="I22"/>
  <c r="I27"/>
  <c r="I31"/>
  <c r="I28"/>
  <c r="H12" i="22"/>
  <c r="I18" i="14"/>
  <c r="H13" i="48"/>
  <c r="H31" s="1"/>
  <c r="H30"/>
  <c r="H32"/>
  <c r="H29"/>
  <c r="H24"/>
  <c r="H28"/>
  <c r="H26"/>
  <c r="H25"/>
  <c r="H22"/>
  <c r="H23"/>
  <c r="C18" i="16"/>
  <c r="N10" i="14"/>
  <c r="N16" s="1"/>
  <c r="M5" i="48"/>
  <c r="N32"/>
  <c r="N28"/>
  <c r="N30"/>
  <c r="N31"/>
  <c r="N27"/>
  <c r="N29"/>
  <c r="N24"/>
  <c r="K30"/>
  <c r="K32"/>
  <c r="K26"/>
  <c r="K24"/>
  <c r="K28"/>
  <c r="K31"/>
  <c r="K29"/>
  <c r="K22"/>
  <c r="K25"/>
  <c r="K27"/>
  <c r="B10"/>
  <c r="C19" i="14"/>
  <c r="Q11"/>
  <c r="P4" i="48"/>
  <c r="P11" i="14"/>
  <c r="O4" i="48"/>
  <c r="D4"/>
  <c r="E11" i="14"/>
  <c r="D11"/>
  <c r="C4" i="48"/>
  <c r="G30"/>
  <c r="G32"/>
  <c r="G25"/>
  <c r="G24"/>
  <c r="G22"/>
  <c r="G26"/>
  <c r="G29"/>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31" s="1"/>
  <c r="H48" i="14" s="1"/>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22" i="48" l="1"/>
  <c r="P10" i="14"/>
  <c r="O5" i="48"/>
  <c r="O23" s="1"/>
  <c r="M13"/>
  <c r="M31" s="1"/>
  <c r="N18" i="14"/>
  <c r="I33" i="48"/>
  <c r="O22"/>
  <c r="P22" i="16"/>
  <c r="Q43" i="14" s="1"/>
  <c r="Q13"/>
  <c r="Q16" s="1"/>
  <c r="Q27" s="1"/>
  <c r="P8" i="48"/>
  <c r="P26" s="1"/>
  <c r="D16" i="15"/>
  <c r="D5" i="48" s="1"/>
  <c r="I20" i="14"/>
  <c r="H9" i="48"/>
  <c r="I23"/>
  <c r="I15"/>
  <c r="F4"/>
  <c r="F22" s="1"/>
  <c r="G11" i="14"/>
  <c r="M23" i="48"/>
  <c r="G12" i="22"/>
  <c r="G13" i="48"/>
  <c r="H18" i="14"/>
  <c r="R18" s="1"/>
  <c r="K15" i="48"/>
  <c r="K23"/>
  <c r="K33" s="1"/>
  <c r="L46" i="14"/>
  <c r="L61" s="1"/>
  <c r="L63" s="1"/>
  <c r="J63"/>
  <c r="I61"/>
  <c r="I63" s="1"/>
  <c r="I52"/>
  <c r="I22"/>
  <c r="I27" s="1"/>
  <c r="J7" i="48"/>
  <c r="J25" s="1"/>
  <c r="K24" i="14"/>
  <c r="K26" s="1"/>
  <c r="C7" i="48"/>
  <c r="D24" i="14"/>
  <c r="E24"/>
  <c r="E26" s="1"/>
  <c r="D7" i="48"/>
  <c r="D25" s="1"/>
  <c r="M13" i="14"/>
  <c r="L8" i="48"/>
  <c r="L26" s="1"/>
  <c r="G24" i="14"/>
  <c r="G26" s="1"/>
  <c r="F7" i="48"/>
  <c r="F25" s="1"/>
  <c r="D12" i="17"/>
  <c r="E54" i="14" s="1"/>
  <c r="E56" s="1"/>
  <c r="M10"/>
  <c r="L5" i="48"/>
  <c r="D10" i="14"/>
  <c r="C5" i="48"/>
  <c r="C15" s="1"/>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M5" i="22"/>
  <c r="G5"/>
  <c r="G14" s="1"/>
  <c r="E5" i="15"/>
  <c r="O20"/>
  <c r="P40" i="14" s="1"/>
  <c r="P20" i="15"/>
  <c r="Q40" i="14" s="1"/>
  <c r="Q46" s="1"/>
  <c r="Q61" s="1"/>
  <c r="J5" i="15"/>
  <c r="F5"/>
  <c r="F16" s="1"/>
  <c r="B5"/>
  <c r="B16" s="1"/>
  <c r="B5" i="16"/>
  <c r="B18" s="1"/>
  <c r="N5" i="15"/>
  <c r="N16" s="1"/>
  <c r="F12" i="13"/>
  <c r="G41" i="14" s="1"/>
  <c r="F13" i="16"/>
  <c r="E13"/>
  <c r="N13"/>
  <c r="J13"/>
  <c r="B47" i="13"/>
  <c r="N12" i="16"/>
  <c r="J12"/>
  <c r="F12"/>
  <c r="E12"/>
  <c r="B48" i="13"/>
  <c r="C48" s="1"/>
  <c r="N5" s="1"/>
  <c r="N8" s="1"/>
  <c r="C50"/>
  <c r="J5" s="1"/>
  <c r="J8" s="1"/>
  <c r="C20" i="14" l="1"/>
  <c r="B9" i="48"/>
  <c r="F20" i="14"/>
  <c r="F22" s="1"/>
  <c r="E9" i="48"/>
  <c r="E27" s="1"/>
  <c r="E20" i="14"/>
  <c r="E22" s="1"/>
  <c r="D9" i="48"/>
  <c r="D27" s="1"/>
  <c r="O8"/>
  <c r="O26" s="1"/>
  <c r="P13" i="14"/>
  <c r="N4" i="48"/>
  <c r="N22" s="1"/>
  <c r="O11" i="14"/>
  <c r="J4" i="48"/>
  <c r="J22" s="1"/>
  <c r="K11" i="14"/>
  <c r="G9" i="48"/>
  <c r="H20" i="14"/>
  <c r="P16"/>
  <c r="P27" s="1"/>
  <c r="P46"/>
  <c r="P61" s="1"/>
  <c r="Q63"/>
  <c r="E10"/>
  <c r="O15" i="48"/>
  <c r="D20" i="15"/>
  <c r="E40" i="14" s="1"/>
  <c r="P15" i="48"/>
  <c r="P33"/>
  <c r="M10"/>
  <c r="M28" s="1"/>
  <c r="N19" i="14"/>
  <c r="E12" i="13"/>
  <c r="F41" i="14" s="1"/>
  <c r="F11"/>
  <c r="R11" s="1"/>
  <c r="E4" i="48"/>
  <c r="O33"/>
  <c r="G10"/>
  <c r="H19" i="14"/>
  <c r="R19" s="1"/>
  <c r="G31" i="48"/>
  <c r="Q13"/>
  <c r="H27"/>
  <c r="H33" s="1"/>
  <c r="H15"/>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N52" l="1"/>
  <c r="N61" s="1"/>
  <c r="R22"/>
  <c r="N22"/>
  <c r="N27" s="1"/>
  <c r="R20"/>
  <c r="C22"/>
  <c r="P63"/>
  <c r="G28" i="48"/>
  <c r="Q10"/>
  <c r="E22"/>
  <c r="Q4"/>
  <c r="M18" i="22"/>
  <c r="N50" i="14" s="1"/>
  <c r="N20"/>
  <c r="M9" i="48"/>
  <c r="Q9" s="1"/>
  <c r="H52" i="14"/>
  <c r="H61" s="1"/>
  <c r="D15" i="48"/>
  <c r="H22" i="14"/>
  <c r="H27" s="1"/>
  <c r="H63" s="1"/>
  <c r="G27" i="48"/>
  <c r="G33" s="1"/>
  <c r="G15"/>
  <c r="B15"/>
  <c r="J5"/>
  <c r="K10" i="14"/>
  <c r="E20" i="15"/>
  <c r="F40" i="14" s="1"/>
  <c r="E5" i="48"/>
  <c r="F10" i="14"/>
  <c r="L15" i="48"/>
  <c r="Q7"/>
  <c r="R24" i="14"/>
  <c r="R26" s="1"/>
  <c r="J18" i="16"/>
  <c r="N18"/>
  <c r="E18"/>
  <c r="F18"/>
  <c r="F22"/>
  <c r="G43" i="14" s="1"/>
  <c r="N63" l="1"/>
  <c r="M27" i="48"/>
  <c r="M33" s="1"/>
  <c r="M15"/>
  <c r="E22" i="16"/>
  <c r="F43" i="14" s="1"/>
  <c r="F46" s="1"/>
  <c r="F61" s="1"/>
  <c r="E8" i="48"/>
  <c r="E26" s="1"/>
  <c r="F13" i="14"/>
  <c r="K13"/>
  <c r="K16" s="1"/>
  <c r="K27" s="1"/>
  <c r="J8" i="48"/>
  <c r="J26" s="1"/>
  <c r="F16" i="14"/>
  <c r="F27" s="1"/>
  <c r="J23" i="48"/>
  <c r="E23"/>
  <c r="E33" s="1"/>
  <c r="E15"/>
  <c r="F8"/>
  <c r="G13" i="14"/>
  <c r="N8" i="48"/>
  <c r="O13" i="14"/>
  <c r="N22" i="16"/>
  <c r="O43" i="14" s="1"/>
  <c r="J22" i="16"/>
  <c r="K43" i="14" s="1"/>
  <c r="K46" s="1"/>
  <c r="K61" s="1"/>
  <c r="K63" l="1"/>
  <c r="F63"/>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<sst xmlns="http://schemas.openxmlformats.org/spreadsheetml/2006/main" count="2505" uniqueCount="971">
  <si>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</si>
  <si>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</si>
  <si>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</si>
  <si>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</si>
  <si>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</si>
  <si>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</si>
  <si>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</si>
  <si>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</si>
  <si>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</si>
  <si>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</si>
  <si>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</si>
  <si>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</si>
  <si>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</si>
  <si>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</si>
  <si>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</si>
  <si>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</si>
  <si>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</si>
  <si>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</si>
  <si>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</si>
  <si>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</si>
  <si>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</si>
  <si>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</si>
  <si>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</si>
  <si>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</si>
  <si>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</si>
  <si>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</si>
  <si>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</si>
  <si>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</si>
  <si>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</si>
  <si>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</si>
  <si>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</si>
  <si>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</si>
  <si>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</si>
  <si>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</si>
  <si>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</si>
  <si>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</si>
  <si>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</si>
  <si>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</si>
  <si>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</si>
  <si>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</si>
  <si>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</si>
  <si>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</si>
  <si>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</si>
  <si>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</si>
  <si>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</si>
  <si>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</si>
  <si>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</si>
  <si>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</si>
  <si>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</si>
  <si>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</si>
  <si>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</si>
  <si>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</si>
  <si>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</si>
  <si>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</si>
  <si>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</si>
  <si>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</si>
  <si>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</si>
  <si>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</si>
  <si>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</si>
  <si>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</si>
  <si>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</si>
  <si>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</si>
  <si>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</si>
  <si>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</si>
  <si>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</si>
  <si>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</si>
  <si>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</si>
  <si>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</si>
  <si>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</si>
  <si>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</si>
  <si>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</si>
  <si>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</si>
  <si>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</si>
  <si>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</si>
  <si>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</si>
  <si>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</si>
  <si>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</si>
  <si>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</si>
  <si>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</si>
  <si>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</si>
  <si>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</si>
  <si>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</si>
  <si>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</si>
  <si>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</si>
  <si>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</si>
  <si>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</si>
  <si>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</si>
  <si>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</si>
  <si>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</si>
  <si>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</si>
  <si>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</si>
  <si>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</si>
  <si>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</si>
  <si>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</si>
  <si>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</si>
  <si>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</si>
  <si>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</si>
  <si>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</si>
  <si>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</si>
  <si>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</si>
  <si>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</si>
  <si>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</si>
  <si>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</si>
  <si>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</si>
  <si>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</si>
  <si>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</si>
  <si>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</si>
  <si>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</si>
  <si>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</si>
  <si>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</si>
  <si>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</si>
  <si>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</si>
  <si>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</si>
  <si>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</si>
  <si>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</si>
  <si>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</si>
  <si>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</si>
  <si>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</si>
  <si>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</si>
  <si>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</si>
  <si>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</si>
  <si>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</si>
  <si>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</si>
  <si>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</si>
  <si>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</si>
  <si>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</si>
  <si>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</si>
  <si>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</si>
  <si>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</si>
  <si>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</si>
  <si>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</si>
  <si>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</si>
  <si>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</si>
  <si>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</si>
  <si>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</si>
  <si>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</si>
  <si>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</si>
  <si>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</si>
  <si>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</si>
  <si>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</si>
  <si>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</si>
  <si>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</si>
  <si>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</si>
  <si>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</si>
  <si>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</si>
  <si>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</si>
  <si>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</si>
  <si>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</si>
  <si>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</si>
  <si>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</si>
  <si>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</si>
  <si>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</si>
  <si>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</si>
  <si>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</si>
  <si>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</si>
  <si>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</si>
  <si>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</si>
  <si>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</si>
  <si>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</si>
  <si>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</si>
  <si>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</si>
  <si>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</si>
  <si>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</si>
  <si>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</si>
  <si>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</si>
  <si>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</si>
  <si>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</si>
  <si>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</si>
  <si>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</si>
  <si>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</si>
  <si>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</si>
  <si>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</si>
  <si>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</si>
  <si>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</si>
  <si>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</si>
  <si>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</si>
  <si>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</si>
  <si>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</si>
  <si>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</si>
  <si>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</si>
  <si>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</si>
  <si>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</si>
  <si>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</si>
  <si>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</si>
  <si>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</si>
  <si>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</si>
  <si>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</si>
  <si>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</si>
  <si>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</si>
  <si>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</si>
  <si>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</si>
  <si>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</si>
  <si>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</si>
  <si>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</si>
  <si>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</si>
  <si>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</si>
  <si>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</si>
  <si>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</si>
  <si>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</si>
  <si>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</si>
  <si>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</si>
  <si>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</si>
  <si>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</si>
  <si>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</si>
  <si>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</si>
  <si>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</si>
  <si>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</si>
  <si>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</si>
  <si>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</si>
  <si>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</si>
  <si>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</si>
  <si>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</si>
  <si>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</si>
  <si>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</si>
  <si>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</si>
  <si>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</si>
  <si>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</si>
  <si>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</si>
  <si>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</si>
  <si>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</si>
  <si>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</si>
  <si>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</si>
  <si>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</si>
  <si>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</si>
  <si>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</si>
  <si>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</si>
  <si>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</si>
  <si>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</si>
  <si>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</si>
  <si>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</si>
  <si>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</si>
  <si>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</si>
  <si>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</si>
  <si>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</si>
  <si>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</si>
  <si>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</si>
  <si>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</si>
  <si>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</si>
  <si>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</si>
  <si>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</si>
  <si>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</si>
  <si>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</si>
  <si>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</si>
  <si>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</si>
  <si>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</si>
  <si>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</si>
  <si>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</si>
  <si>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</si>
  <si>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</si>
  <si>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</si>
  <si>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</si>
  <si>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</si>
  <si>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</si>
  <si>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</si>
  <si>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</si>
  <si>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</si>
  <si>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</si>
  <si>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</si>
  <si>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</si>
  <si>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</si>
  <si>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</si>
  <si>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</si>
  <si>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</si>
  <si>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</si>
  <si>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</si>
  <si>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</si>
  <si>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</si>
  <si>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</si>
  <si>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</si>
  <si>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</si>
  <si>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</si>
  <si>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</si>
  <si>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</si>
  <si>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</si>
  <si>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</si>
  <si>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</si>
  <si>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</si>
  <si>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</si>
  <si>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</si>
  <si>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</si>
  <si>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</si>
  <si>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</si>
  <si>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</si>
  <si>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</si>
  <si>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</si>
  <si>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</si>
  <si>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</si>
  <si>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</si>
  <si>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</si>
  <si>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</si>
  <si>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</si>
  <si>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</si>
  <si>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</si>
  <si>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</si>
  <si>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</si>
  <si>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</si>
  <si>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</si>
  <si>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</si>
  <si>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</si>
  <si>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</si>
  <si>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</si>
  <si>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</si>
  <si>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</si>
  <si>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</si>
  <si>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</si>
  <si>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</si>
  <si>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</si>
  <si>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</si>
  <si>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</si>
  <si>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</si>
  <si>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</si>
  <si>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</si>
  <si>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</si>
  <si>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</si>
  <si>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</si>
  <si>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</si>
  <si>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</si>
  <si>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</si>
  <si>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</si>
  <si>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</si>
  <si>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</si>
  <si>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</si>
  <si>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</si>
  <si>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</si>
  <si>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</si>
  <si>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</si>
  <si>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</si>
  <si>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</si>
  <si>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</si>
  <si>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</si>
  <si>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</si>
  <si>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</si>
  <si>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</si>
  <si>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</si>
  <si>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</si>
  <si>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</si>
  <si>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</si>
  <si>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</si>
  <si>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</si>
  <si>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</si>
  <si>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</si>
  <si>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</si>
  <si>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</si>
  <si>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</si>
  <si>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</si>
  <si>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</si>
  <si>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</si>
  <si>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</si>
  <si>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</si>
  <si>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</si>
  <si>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</si>
  <si>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</si>
  <si>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</si>
  <si>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</si>
  <si>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</si>
  <si>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</si>
  <si>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</si>
  <si>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</si>
  <si>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</si>
  <si>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</si>
  <si>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</si>
  <si>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</si>
  <si>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</si>
  <si>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</si>
  <si>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</si>
  <si>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</si>
  <si>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</si>
  <si>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</si>
  <si>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</si>
  <si>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</si>
  <si>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</si>
  <si>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</si>
  <si>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</si>
  <si>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</si>
  <si>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</si>
  <si>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</si>
  <si>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</si>
  <si>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</si>
  <si>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</si>
  <si>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</si>
  <si>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</si>
  <si>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</si>
  <si>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</si>
  <si>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</si>
  <si>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</si>
  <si>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</si>
  <si>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</si>
  <si>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</si>
  <si>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</si>
  <si>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</si>
  <si>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</si>
  <si>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</si>
  <si>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</si>
  <si>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</si>
  <si>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</si>
  <si>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</si>
  <si>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</si>
  <si>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</si>
  <si>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</si>
  <si>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</si>
  <si>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</si>
  <si>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</si>
  <si>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</si>
  <si>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</si>
  <si>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</si>
  <si>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</si>
  <si>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</si>
  <si>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</si>
  <si>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</si>
  <si>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</si>
  <si>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</si>
  <si>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</si>
  <si>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</si>
  <si>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</si>
  <si>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</si>
  <si>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</si>
  <si>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</si>
  <si>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</si>
  <si>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</si>
  <si>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</si>
  <si>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</si>
  <si>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</si>
  <si>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</si>
  <si>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</si>
  <si>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</si>
  <si>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</si>
  <si>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</si>
  <si>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</si>
  <si>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</si>
  <si>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</si>
  <si>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</si>
  <si>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</si>
  <si>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</si>
  <si>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</si>
  <si>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</si>
  <si>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</si>
  <si>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</si>
  <si>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</si>
  <si>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</si>
  <si>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</si>
  <si>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</si>
  <si>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</si>
  <si>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</si>
  <si>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</si>
  <si>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</si>
  <si>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</si>
  <si>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</si>
  <si>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</si>
  <si>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</si>
  <si>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</si>
  <si>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</si>
  <si>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</si>
  <si>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</si>
  <si>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</si>
  <si>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</si>
  <si>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</si>
  <si>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</si>
  <si>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</si>
  <si>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</si>
  <si>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</si>
  <si>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</si>
  <si>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</si>
  <si>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</si>
  <si>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</si>
  <si>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</si>
  <si>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</si>
  <si>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</si>
  <si>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</si>
  <si>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</si>
  <si>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</si>
  <si>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</si>
  <si>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</si>
  <si>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</si>
  <si>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</si>
  <si>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</si>
  <si>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</si>
  <si>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</si>
  <si>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</si>
  <si>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</si>
  <si>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</si>
  <si>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</si>
  <si>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</si>
  <si>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</si>
  <si>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</si>
  <si>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</si>
  <si>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</si>
  <si>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</si>
  <si>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</si>
  <si>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</si>
  <si>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</si>
  <si>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</si>
  <si>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</si>
  <si>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</si>
  <si>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</si>
  <si>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</si>
  <si>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</si>
  <si>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</si>
  <si>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</si>
  <si>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</si>
  <si>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</si>
  <si>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</si>
  <si>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</si>
  <si>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</si>
  <si>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</si>
  <si>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</si>
  <si>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</si>
  <si>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</si>
  <si>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</si>
  <si>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</si>
  <si>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</si>
  <si>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</si>
  <si>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</si>
  <si>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</si>
  <si>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</si>
  <si>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</si>
  <si>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</si>
  <si>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</si>
  <si>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</si>
  <si>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</si>
  <si>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</si>
  <si>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</si>
  <si>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</si>
  <si>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</si>
  <si>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</si>
  <si>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</si>
  <si>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</si>
  <si>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</si>
  <si>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</si>
  <si>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</si>
  <si>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</si>
  <si>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</si>
  <si>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</si>
  <si>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</si>
  <si>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</si>
  <si>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</si>
  <si>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</si>
  <si>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</si>
  <si>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</si>
  <si>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</si>
  <si>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</si>
  <si>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</si>
  <si>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</si>
  <si>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</si>
  <si>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</si>
  <si>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</si>
  <si>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</si>
  <si>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</si>
  <si>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</si>
  <si>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</si>
  <si>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</si>
  <si>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</si>
  <si>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</si>
  <si>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</si>
  <si>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</si>
  <si>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</si>
  <si>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</si>
  <si>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</si>
  <si>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</si>
  <si>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</si>
  <si>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</si>
  <si>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</si>
  <si>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</si>
  <si>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</si>
  <si>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</si>
  <si>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</si>
  <si>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</si>
  <si>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</si>
  <si>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</si>
  <si>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</si>
  <si>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</si>
  <si>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</si>
  <si>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</si>
  <si>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</si>
  <si>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</si>
  <si>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</si>
  <si>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</si>
  <si>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</si>
  <si>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</si>
  <si>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</si>
  <si>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</si>
  <si>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</si>
  <si>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</si>
  <si>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</si>
  <si>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</si>
  <si>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</si>
  <si>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</si>
  <si>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</si>
  <si>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</si>
  <si>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</si>
  <si>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</si>
  <si>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</si>
  <si>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</si>
  <si>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</si>
  <si>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</si>
  <si>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</si>
  <si>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</si>
  <si>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</si>
  <si>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</si>
  <si>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</si>
  <si>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</si>
  <si>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</si>
  <si>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</si>
  <si>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</si>
  <si>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</si>
  <si>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</si>
  <si>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</si>
  <si>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</si>
  <si>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</si>
  <si>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</si>
  <si>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</si>
  <si>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</si>
  <si>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</si>
  <si>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</si>
  <si>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</si>
  <si>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</si>
  <si>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</si>
  <si>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</si>
  <si>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</si>
  <si>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</si>
  <si>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</si>
  <si>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</si>
  <si>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</si>
  <si>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</si>
  <si>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</si>
  <si>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</si>
  <si>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</si>
  <si>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</si>
  <si>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</si>
  <si>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</si>
  <si>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</si>
  <si>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</si>
  <si>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</si>
  <si>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</si>
  <si>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</si>
  <si>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</si>
  <si>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</si>
  <si>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</si>
  <si>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</si>
  <si>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</si>
  <si>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</si>
  <si>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</si>
  <si>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</si>
  <si>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</si>
  <si>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</si>
  <si>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</si>
  <si>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</si>
  <si>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</si>
  <si>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</si>
  <si>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</si>
  <si>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</si>
  <si>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</si>
  <si>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</si>
  <si>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</si>
  <si>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</si>
  <si>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</si>
  <si>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</si>
  <si>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</si>
  <si>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</si>
  <si>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</si>
  <si>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</si>
  <si>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</si>
  <si>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</si>
  <si>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</si>
  <si>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</si>
  <si>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</si>
  <si>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</si>
  <si>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</si>
  <si>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</si>
  <si>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</si>
  <si>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</si>
  <si>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</si>
  <si>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</si>
  <si>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</si>
  <si>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</si>
  <si>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</si>
  <si>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</si>
  <si>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</si>
  <si>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</si>
  <si>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</si>
  <si>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</si>
  <si>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</si>
  <si>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</si>
  <si>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</si>
  <si>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</si>
  <si>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</si>
  <si>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</si>
  <si>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</si>
  <si>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</si>
  <si>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</si>
  <si>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</si>
  <si>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</si>
  <si>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</si>
  <si>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</si>
  <si>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</si>
  <si>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</si>
  <si>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</si>
  <si>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</si>
  <si>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</si>
  <si>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</si>
  <si>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</si>
  <si>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</si>
  <si>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</si>
  <si>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</si>
  <si>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</si>
  <si>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</si>
  <si>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</si>
  <si>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</si>
  <si>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</si>
  <si>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</si>
  <si>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</si>
  <si>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</si>
  <si>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</si>
  <si>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</si>
  <si>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</si>
  <si>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</si>
  <si>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</si>
  <si>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</si>
  <si>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</si>
  <si>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</si>
  <si>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</si>
  <si>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</si>
  <si>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</si>
  <si>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</si>
  <si>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</si>
  <si>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</si>
  <si>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</si>
  <si>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</si>
  <si>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</si>
  <si>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</si>
  <si>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</si>
  <si>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</si>
  <si>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</si>
  <si>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</si>
  <si>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</si>
  <si>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</si>
  <si>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</si>
  <si>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</si>
  <si>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</si>
  <si>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</si>
  <si>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</si>
  <si>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</si>
  <si>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</si>
  <si>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</si>
  <si>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</si>
  <si>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</si>
  <si>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</si>
  <si>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</si>
  <si>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</si>
  <si>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</si>
  <si>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</si>
  <si>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</si>
  <si>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</si>
  <si>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</si>
  <si>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</si>
  <si>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</si>
  <si>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</si>
  <si>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</si>
  <si>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</si>
  <si>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</si>
  <si>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</si>
  <si>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</si>
  <si>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</si>
  <si>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</si>
  <si>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</si>
  <si>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</si>
  <si>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</si>
  <si>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</si>
  <si>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</si>
  <si>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</si>
  <si>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</si>
  <si>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</si>
  <si>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</si>
  <si>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</si>
  <si>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</si>
  <si>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</si>
  <si>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</si>
  <si>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</si>
  <si>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</si>
  <si>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</si>
  <si>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</si>
  <si>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</si>
  <si>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</si>
  <si>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</si>
  <si>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</si>
  <si>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</si>
  <si>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</si>
  <si>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</si>
  <si>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</si>
  <si>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</si>
  <si>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</si>
  <si>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</si>
  <si>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</si>
  <si>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</si>
  <si>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</si>
  <si>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</si>
  <si>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</si>
  <si>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</si>
  <si>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</si>
  <si>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</si>
  <si>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</si>
  <si>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</si>
  <si>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</si>
  <si>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</si>
  <si>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</si>
  <si>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</si>
  <si>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</si>
  <si>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</si>
  <si>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</si>
  <si>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</si>
  <si>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</si>
  <si>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</si>
  <si>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</si>
  <si>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</si>
  <si>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</si>
  <si>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</si>
  <si>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</si>
  <si>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</si>
  <si>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</si>
  <si>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</si>
  <si>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</si>
  <si>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</si>
  <si>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</si>
  <si>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</si>
  <si>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</si>
  <si>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</si>
  <si>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</si>
  <si>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</si>
  <si>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</si>
  <si>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</si>
  <si>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</si>
  <si>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</si>
  <si>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</si>
  <si>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</si>
  <si>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</si>
  <si>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</si>
  <si>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</si>
  <si>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</si>
  <si>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</si>
  <si>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</si>
  <si>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</si>
  <si>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</si>
  <si>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</si>
  <si>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</si>
  <si>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</si>
  <si>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</si>
  <si>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</si>
  <si>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</si>
  <si>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</si>
  <si>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</si>
  <si>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</si>
  <si>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</si>
  <si>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</si>
  <si>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</si>
  <si>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</si>
  <si>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</si>
  <si>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</si>
  <si>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</si>
  <si>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</si>
  <si>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</si>
  <si>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</si>
  <si>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</si>
  <si>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</si>
  <si>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</si>
  <si>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</si>
  <si>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</si>
  <si>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</si>
  <si>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</si>
  <si>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</si>
  <si>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</si>
  <si>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</si>
  <si>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</si>
  <si>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</si>
  <si>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</si>
  <si>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</si>
  <si>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</si>
  <si>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</si>
  <si>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</si>
  <si>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</si>
  <si>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</si>
  <si>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</si>
  <si>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</si>
  <si>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</si>
  <si>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</si>
  <si>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</si>
  <si>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</si>
  <si>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</si>
  <si>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</si>
  <si>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</si>
  <si>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</si>
  <si>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</si>
  <si>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</si>
  <si>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</si>
  <si>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</si>
  <si>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</si>
  <si>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</si>
  <si>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</si>
  <si>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</si>
  <si>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</si>
  <si>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</si>
  <si>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</si>
  <si>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</si>
  <si>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</si>
  <si>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</si>
  <si>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</si>
  <si>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</si>
  <si>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</si>
  <si>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</si>
  <si>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</si>
  <si>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</si>
  <si>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</si>
  <si>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</si>
  <si>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</si>
  <si>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</si>
  <si>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</si>
  <si>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</si>
  <si>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</si>
  <si>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</si>
  <si>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</si>
  <si>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</si>
  <si>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</si>
  <si>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</si>
  <si>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</si>
  <si>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</si>
  <si>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</si>
  <si>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</si>
  <si>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</si>
  <si>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</si>
  <si>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</si>
  <si>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</si>
  <si>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</si>
  <si>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</si>
  <si>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</si>
  <si>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</si>
  <si>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</si>
  <si>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</si>
  <si>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</si>
  <si>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</si>
  <si>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</si>
  <si>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</si>
  <si>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</si>
  <si>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</si>
  <si>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</si>
  <si>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</si>
  <si>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</si>
  <si>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</si>
  <si>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</si>
  <si>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</si>
  <si>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</si>
  <si>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</si>
  <si>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</si>
  <si>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</si>
  <si>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</si>
  <si>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</si>
  <si>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</si>
  <si>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</si>
  <si>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</si>
  <si>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13049</t>
  </si>
  <si>
    <t>WESTERLO</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</si>
  <si>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</si>
  <si>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</si>
  <si>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</si>
  <si>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</si>
  <si>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</si>
  <si>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</si>
  <si>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</si>
  <si>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Vervloet bvba</t>
  </si>
  <si>
    <t>Jagersweg 5, 2260 Westerlo</t>
  </si>
  <si>
    <t>WKK-0146 Vervloet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</si>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</sst>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13049</v>
      </c>
      <c r="B6" s="396"/>
      <c r="C6" s="397"/>
    </row>
    <row r="7" spans="1:7" s="394" customFormat="1" ht="15.75" customHeight="1">
      <c r="A7" s="398" t="str">
        <f>txtMunicipality</f>
        <v>WESTERLO</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0.2148132177553316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0.2148132177553316</v>
      </c>
      <c r="C29" s="510">
        <f ca="1">'EF ele_warmte'!B22</f>
        <v>0.23764705882352946</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13049</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9874</v>
      </c>
      <c r="C9" s="336">
        <v>10920</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2203</v>
      </c>
    </row>
    <row r="15" spans="1:6">
      <c r="A15" s="1277" t="s">
        <v>184</v>
      </c>
      <c r="B15" s="333">
        <v>3017</v>
      </c>
    </row>
    <row r="16" spans="1:6">
      <c r="A16" s="1277" t="s">
        <v>6</v>
      </c>
      <c r="B16" s="333">
        <v>1593</v>
      </c>
    </row>
    <row r="17" spans="1:6">
      <c r="A17" s="1277" t="s">
        <v>7</v>
      </c>
      <c r="B17" s="333">
        <v>211</v>
      </c>
    </row>
    <row r="18" spans="1:6">
      <c r="A18" s="1277" t="s">
        <v>8</v>
      </c>
      <c r="B18" s="333">
        <v>944</v>
      </c>
    </row>
    <row r="19" spans="1:6">
      <c r="A19" s="1277" t="s">
        <v>9</v>
      </c>
      <c r="B19" s="333">
        <v>913</v>
      </c>
    </row>
    <row r="20" spans="1:6">
      <c r="A20" s="1277" t="s">
        <v>10</v>
      </c>
      <c r="B20" s="333">
        <v>833</v>
      </c>
    </row>
    <row r="21" spans="1:6">
      <c r="A21" s="1277" t="s">
        <v>11</v>
      </c>
      <c r="B21" s="333">
        <v>2009</v>
      </c>
    </row>
    <row r="22" spans="1:6">
      <c r="A22" s="1277" t="s">
        <v>12</v>
      </c>
      <c r="B22" s="333">
        <v>2655</v>
      </c>
    </row>
    <row r="23" spans="1:6">
      <c r="A23" s="1277" t="s">
        <v>13</v>
      </c>
      <c r="B23" s="333">
        <v>51</v>
      </c>
    </row>
    <row r="24" spans="1:6">
      <c r="A24" s="1277" t="s">
        <v>14</v>
      </c>
      <c r="B24" s="333">
        <v>0</v>
      </c>
    </row>
    <row r="25" spans="1:6">
      <c r="A25" s="1277" t="s">
        <v>15</v>
      </c>
      <c r="B25" s="333">
        <v>378</v>
      </c>
    </row>
    <row r="26" spans="1:6">
      <c r="A26" s="1277" t="s">
        <v>16</v>
      </c>
      <c r="B26" s="333">
        <v>66</v>
      </c>
    </row>
    <row r="27" spans="1:6">
      <c r="A27" s="1277" t="s">
        <v>17</v>
      </c>
      <c r="B27" s="333">
        <v>5</v>
      </c>
    </row>
    <row r="28" spans="1:6">
      <c r="A28" s="1277" t="s">
        <v>18</v>
      </c>
      <c r="B28" s="333">
        <v>8367</v>
      </c>
    </row>
    <row r="29" spans="1:6">
      <c r="A29" s="1277" t="s">
        <v>959</v>
      </c>
      <c r="B29" s="333">
        <v>256</v>
      </c>
    </row>
    <row r="30" spans="1:6">
      <c r="A30" s="1273" t="s">
        <v>960</v>
      </c>
      <c r="B30" s="1273">
        <v>75</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38428.7523082466</v>
      </c>
      <c r="E38" s="333">
        <v>4</v>
      </c>
      <c r="F38" s="333">
        <v>7674.0239021973002</v>
      </c>
    </row>
    <row r="39" spans="1:6">
      <c r="A39" s="1277" t="s">
        <v>30</v>
      </c>
      <c r="B39" s="1277" t="s">
        <v>31</v>
      </c>
      <c r="C39" s="333">
        <v>5848</v>
      </c>
      <c r="D39" s="333">
        <v>101811288.983558</v>
      </c>
      <c r="E39" s="333">
        <v>9713</v>
      </c>
      <c r="F39" s="333">
        <v>39130611.4623724</v>
      </c>
    </row>
    <row r="40" spans="1:6">
      <c r="A40" s="1277" t="s">
        <v>30</v>
      </c>
      <c r="B40" s="1277" t="s">
        <v>29</v>
      </c>
      <c r="C40" s="333">
        <v>0</v>
      </c>
      <c r="D40" s="333">
        <v>0</v>
      </c>
      <c r="E40" s="333">
        <v>0</v>
      </c>
      <c r="F40" s="333">
        <v>0</v>
      </c>
    </row>
    <row r="41" spans="1:6">
      <c r="A41" s="1277" t="s">
        <v>32</v>
      </c>
      <c r="B41" s="1277" t="s">
        <v>33</v>
      </c>
      <c r="C41" s="333">
        <v>43</v>
      </c>
      <c r="D41" s="333">
        <v>1293306.1929854001</v>
      </c>
      <c r="E41" s="333">
        <v>125</v>
      </c>
      <c r="F41" s="333">
        <v>1700228.58895177</v>
      </c>
    </row>
    <row r="42" spans="1:6">
      <c r="A42" s="1277" t="s">
        <v>32</v>
      </c>
      <c r="B42" s="1277" t="s">
        <v>34</v>
      </c>
      <c r="C42" s="333">
        <v>4</v>
      </c>
      <c r="D42" s="333">
        <v>5494231.9449898303</v>
      </c>
      <c r="E42" s="333">
        <v>7</v>
      </c>
      <c r="F42" s="333">
        <v>57054243.839927003</v>
      </c>
    </row>
    <row r="43" spans="1:6">
      <c r="A43" s="1277" t="s">
        <v>32</v>
      </c>
      <c r="B43" s="1277" t="s">
        <v>35</v>
      </c>
      <c r="C43" s="333">
        <v>0</v>
      </c>
      <c r="D43" s="333">
        <v>0</v>
      </c>
      <c r="E43" s="333">
        <v>0</v>
      </c>
      <c r="F43" s="333">
        <v>0</v>
      </c>
    </row>
    <row r="44" spans="1:6">
      <c r="A44" s="1277" t="s">
        <v>32</v>
      </c>
      <c r="B44" s="1277" t="s">
        <v>36</v>
      </c>
      <c r="C44" s="333">
        <v>3</v>
      </c>
      <c r="D44" s="333">
        <v>99023.084878694295</v>
      </c>
      <c r="E44" s="333">
        <v>11</v>
      </c>
      <c r="F44" s="333">
        <v>382460.98458982399</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4</v>
      </c>
      <c r="D47" s="333">
        <v>48523.6697182848</v>
      </c>
      <c r="E47" s="333">
        <v>3</v>
      </c>
      <c r="F47" s="333">
        <v>12194.4661046111</v>
      </c>
    </row>
    <row r="48" spans="1:6">
      <c r="A48" s="1277" t="s">
        <v>32</v>
      </c>
      <c r="B48" s="1277" t="s">
        <v>29</v>
      </c>
      <c r="C48" s="333">
        <v>33</v>
      </c>
      <c r="D48" s="333">
        <v>57992195.471771903</v>
      </c>
      <c r="E48" s="333">
        <v>37</v>
      </c>
      <c r="F48" s="333">
        <v>83557555.790149406</v>
      </c>
    </row>
    <row r="49" spans="1:6">
      <c r="A49" s="1277" t="s">
        <v>32</v>
      </c>
      <c r="B49" s="1277" t="s">
        <v>40</v>
      </c>
      <c r="C49" s="333">
        <v>0</v>
      </c>
      <c r="D49" s="333">
        <v>0</v>
      </c>
      <c r="E49" s="333">
        <v>0</v>
      </c>
      <c r="F49" s="333">
        <v>0</v>
      </c>
    </row>
    <row r="50" spans="1:6">
      <c r="A50" s="1277" t="s">
        <v>32</v>
      </c>
      <c r="B50" s="1277" t="s">
        <v>41</v>
      </c>
      <c r="C50" s="333">
        <v>11</v>
      </c>
      <c r="D50" s="333">
        <v>799585.08962054295</v>
      </c>
      <c r="E50" s="333">
        <v>20</v>
      </c>
      <c r="F50" s="333">
        <v>7670209.9010270797</v>
      </c>
    </row>
    <row r="51" spans="1:6">
      <c r="A51" s="1277" t="s">
        <v>42</v>
      </c>
      <c r="B51" s="1277" t="s">
        <v>43</v>
      </c>
      <c r="C51" s="333">
        <v>3</v>
      </c>
      <c r="D51" s="333">
        <v>65916.729792003796</v>
      </c>
      <c r="E51" s="333">
        <v>62</v>
      </c>
      <c r="F51" s="333">
        <v>3221345.4165509702</v>
      </c>
    </row>
    <row r="52" spans="1:6">
      <c r="A52" s="1277" t="s">
        <v>42</v>
      </c>
      <c r="B52" s="1277" t="s">
        <v>29</v>
      </c>
      <c r="C52" s="333">
        <v>6</v>
      </c>
      <c r="D52" s="333">
        <v>18385088.612224899</v>
      </c>
      <c r="E52" s="333">
        <v>8</v>
      </c>
      <c r="F52" s="333">
        <v>273286.98054081801</v>
      </c>
    </row>
    <row r="53" spans="1:6">
      <c r="A53" s="1277" t="s">
        <v>44</v>
      </c>
      <c r="B53" s="1277" t="s">
        <v>45</v>
      </c>
      <c r="C53" s="333">
        <v>219</v>
      </c>
      <c r="D53" s="333">
        <v>5024646.0632749004</v>
      </c>
      <c r="E53" s="333">
        <v>370</v>
      </c>
      <c r="F53" s="333">
        <v>2059146.42482866</v>
      </c>
    </row>
    <row r="54" spans="1:6">
      <c r="A54" s="1277" t="s">
        <v>46</v>
      </c>
      <c r="B54" s="1277" t="s">
        <v>47</v>
      </c>
      <c r="C54" s="333">
        <v>0</v>
      </c>
      <c r="D54" s="333">
        <v>0</v>
      </c>
      <c r="E54" s="333">
        <v>1</v>
      </c>
      <c r="F54" s="333">
        <v>2136701</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33</v>
      </c>
      <c r="D57" s="333">
        <v>2334537.31793231</v>
      </c>
      <c r="E57" s="333">
        <v>152</v>
      </c>
      <c r="F57" s="333">
        <v>5704185.1556362798</v>
      </c>
    </row>
    <row r="58" spans="1:6">
      <c r="A58" s="1277" t="s">
        <v>49</v>
      </c>
      <c r="B58" s="1277" t="s">
        <v>51</v>
      </c>
      <c r="C58" s="333">
        <v>24</v>
      </c>
      <c r="D58" s="333">
        <v>756141.57531164703</v>
      </c>
      <c r="E58" s="333">
        <v>38</v>
      </c>
      <c r="F58" s="333">
        <v>413753.78270573798</v>
      </c>
    </row>
    <row r="59" spans="1:6">
      <c r="A59" s="1277" t="s">
        <v>49</v>
      </c>
      <c r="B59" s="1277" t="s">
        <v>52</v>
      </c>
      <c r="C59" s="333">
        <v>98</v>
      </c>
      <c r="D59" s="333">
        <v>10211472.0029626</v>
      </c>
      <c r="E59" s="333">
        <v>216</v>
      </c>
      <c r="F59" s="333">
        <v>14467627.3587602</v>
      </c>
    </row>
    <row r="60" spans="1:6">
      <c r="A60" s="1277" t="s">
        <v>49</v>
      </c>
      <c r="B60" s="1277" t="s">
        <v>53</v>
      </c>
      <c r="C60" s="333">
        <v>69</v>
      </c>
      <c r="D60" s="333">
        <v>3256736.4721336202</v>
      </c>
      <c r="E60" s="333">
        <v>111</v>
      </c>
      <c r="F60" s="333">
        <v>4262817.4469670504</v>
      </c>
    </row>
    <row r="61" spans="1:6">
      <c r="A61" s="1277" t="s">
        <v>49</v>
      </c>
      <c r="B61" s="1277" t="s">
        <v>54</v>
      </c>
      <c r="C61" s="333">
        <v>182</v>
      </c>
      <c r="D61" s="333">
        <v>9872972.8480624799</v>
      </c>
      <c r="E61" s="333">
        <v>298</v>
      </c>
      <c r="F61" s="333">
        <v>8323741.1996249501</v>
      </c>
    </row>
    <row r="62" spans="1:6">
      <c r="A62" s="1277" t="s">
        <v>49</v>
      </c>
      <c r="B62" s="1277" t="s">
        <v>55</v>
      </c>
      <c r="C62" s="333">
        <v>18</v>
      </c>
      <c r="D62" s="333">
        <v>4321578.2070598099</v>
      </c>
      <c r="E62" s="333">
        <v>18</v>
      </c>
      <c r="F62" s="333">
        <v>713270.88920810795</v>
      </c>
    </row>
    <row r="63" spans="1:6">
      <c r="A63" s="1277" t="s">
        <v>49</v>
      </c>
      <c r="B63" s="1277" t="s">
        <v>29</v>
      </c>
      <c r="C63" s="333">
        <v>90</v>
      </c>
      <c r="D63" s="333">
        <v>7459157.77977244</v>
      </c>
      <c r="E63" s="333">
        <v>95</v>
      </c>
      <c r="F63" s="333">
        <v>7132811.2843642496</v>
      </c>
    </row>
    <row r="64" spans="1:6">
      <c r="A64" s="1277" t="s">
        <v>56</v>
      </c>
      <c r="B64" s="1277" t="s">
        <v>57</v>
      </c>
      <c r="C64" s="333">
        <v>0</v>
      </c>
      <c r="D64" s="333">
        <v>0</v>
      </c>
      <c r="E64" s="333">
        <v>0</v>
      </c>
      <c r="F64" s="333">
        <v>0</v>
      </c>
    </row>
    <row r="65" spans="1:6">
      <c r="A65" s="1277" t="s">
        <v>56</v>
      </c>
      <c r="B65" s="1277" t="s">
        <v>29</v>
      </c>
      <c r="C65" s="333">
        <v>3</v>
      </c>
      <c r="D65" s="333">
        <v>306354.45878987998</v>
      </c>
      <c r="E65" s="333">
        <v>3</v>
      </c>
      <c r="F65" s="333">
        <v>14193.210627233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16</v>
      </c>
      <c r="F68" s="333">
        <v>558999.01780654897</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114183159</v>
      </c>
      <c r="E73" s="333">
        <v>118904923.43830317</v>
      </c>
      <c r="F73" s="333">
        <v>114739390</v>
      </c>
    </row>
    <row r="74" spans="1:6">
      <c r="A74" s="1277" t="s">
        <v>64</v>
      </c>
      <c r="B74" s="1277" t="s">
        <v>774</v>
      </c>
      <c r="C74" s="1288" t="s">
        <v>775</v>
      </c>
      <c r="D74" s="333">
        <v>6739233.7466833154</v>
      </c>
      <c r="E74" s="333">
        <v>7303349.462272957</v>
      </c>
      <c r="F74" s="333">
        <v>6957782.2600581236</v>
      </c>
    </row>
    <row r="75" spans="1:6">
      <c r="A75" s="1277" t="s">
        <v>65</v>
      </c>
      <c r="B75" s="1277" t="s">
        <v>772</v>
      </c>
      <c r="C75" s="1288" t="s">
        <v>776</v>
      </c>
      <c r="D75" s="333">
        <v>21266182</v>
      </c>
      <c r="E75" s="333">
        <v>21904726.381910879</v>
      </c>
      <c r="F75" s="333">
        <v>21282052</v>
      </c>
    </row>
    <row r="76" spans="1:6">
      <c r="A76" s="1277" t="s">
        <v>65</v>
      </c>
      <c r="B76" s="1277" t="s">
        <v>774</v>
      </c>
      <c r="C76" s="1288" t="s">
        <v>777</v>
      </c>
      <c r="D76" s="333">
        <v>268528.74668331549</v>
      </c>
      <c r="E76" s="333">
        <v>324824.66770712979</v>
      </c>
      <c r="F76" s="333">
        <v>299386.26005812339</v>
      </c>
    </row>
    <row r="77" spans="1:6">
      <c r="A77" s="1277" t="s">
        <v>66</v>
      </c>
      <c r="B77" s="1277" t="s">
        <v>772</v>
      </c>
      <c r="C77" s="1288" t="s">
        <v>778</v>
      </c>
      <c r="D77" s="333">
        <v>84069046</v>
      </c>
      <c r="E77" s="333">
        <v>94161136.061220318</v>
      </c>
      <c r="F77" s="333">
        <v>86648506</v>
      </c>
    </row>
    <row r="78" spans="1:6">
      <c r="A78" s="1273" t="s">
        <v>66</v>
      </c>
      <c r="B78" s="1273" t="s">
        <v>774</v>
      </c>
      <c r="C78" s="1273" t="s">
        <v>779</v>
      </c>
      <c r="D78" s="1273">
        <v>13441108</v>
      </c>
      <c r="E78" s="1273">
        <v>16001571.174169973</v>
      </c>
      <c r="F78" s="336">
        <v>14072224</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555312.50663336902</v>
      </c>
      <c r="C83" s="333">
        <v>511905.08578499837</v>
      </c>
      <c r="D83" s="333">
        <v>517771.47988375323</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2932.0629968895628</v>
      </c>
    </row>
    <row r="92" spans="1:6">
      <c r="A92" s="1273" t="s">
        <v>69</v>
      </c>
      <c r="B92" s="336">
        <v>4215.0611584304452</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3611</v>
      </c>
    </row>
    <row r="98" spans="1:6">
      <c r="A98" s="1277" t="s">
        <v>72</v>
      </c>
      <c r="B98" s="333">
        <v>8</v>
      </c>
    </row>
    <row r="99" spans="1:6">
      <c r="A99" s="1277" t="s">
        <v>73</v>
      </c>
      <c r="B99" s="333">
        <v>95</v>
      </c>
    </row>
    <row r="100" spans="1:6">
      <c r="A100" s="1277" t="s">
        <v>74</v>
      </c>
      <c r="B100" s="333">
        <v>255</v>
      </c>
    </row>
    <row r="101" spans="1:6">
      <c r="A101" s="1277" t="s">
        <v>75</v>
      </c>
      <c r="B101" s="333">
        <v>106</v>
      </c>
    </row>
    <row r="102" spans="1:6">
      <c r="A102" s="1277" t="s">
        <v>76</v>
      </c>
      <c r="B102" s="333">
        <v>81</v>
      </c>
    </row>
    <row r="103" spans="1:6">
      <c r="A103" s="1277" t="s">
        <v>77</v>
      </c>
      <c r="B103" s="333">
        <v>196</v>
      </c>
    </row>
    <row r="104" spans="1:6">
      <c r="A104" s="1277" t="s">
        <v>78</v>
      </c>
      <c r="B104" s="333">
        <v>3988</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2</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18</v>
      </c>
      <c r="C123" s="333">
        <v>14</v>
      </c>
    </row>
    <row r="124" spans="1:6">
      <c r="A124" s="1273" t="s">
        <v>89</v>
      </c>
      <c r="B124" s="333">
        <v>1</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70</v>
      </c>
    </row>
    <row r="130" spans="1:6">
      <c r="A130" s="1277" t="s">
        <v>295</v>
      </c>
      <c r="B130" s="333">
        <v>3</v>
      </c>
    </row>
    <row r="131" spans="1:6">
      <c r="A131" s="1277" t="s">
        <v>296</v>
      </c>
      <c r="B131" s="333">
        <v>0</v>
      </c>
    </row>
    <row r="132" spans="1:6">
      <c r="A132" s="1273" t="s">
        <v>297</v>
      </c>
      <c r="B132" s="336">
        <v>20</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241150.00761021656</v>
      </c>
      <c r="C3" s="43" t="s">
        <v>170</v>
      </c>
      <c r="D3" s="43"/>
      <c r="E3" s="156"/>
      <c r="F3" s="43"/>
      <c r="G3" s="43"/>
      <c r="H3" s="43"/>
      <c r="I3" s="43"/>
      <c r="J3" s="43"/>
      <c r="K3" s="96"/>
    </row>
    <row r="4" spans="1:11">
      <c r="A4" s="364" t="s">
        <v>171</v>
      </c>
      <c r="B4" s="49">
        <f>IF(ISERROR('SEAP template'!B78+'SEAP template'!C78),0,'SEAP template'!B78+'SEAP template'!C78)</f>
        <v>12407.624155320009</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1250.1423529411766</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0.2148132177553316</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1785.9176470588238</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7515</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0.23764705882352946</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2136.701</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2136.701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0.2148132177553316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458.99161719103478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39130.611462372399</v>
      </c>
      <c r="C5" s="17">
        <f>IF(ISERROR('Eigen informatie GS &amp; warmtenet'!B57),0,'Eigen informatie GS &amp; warmtenet'!B57)</f>
        <v>0</v>
      </c>
      <c r="D5" s="30">
        <f>(SUM(HH_hh_gas_kWh,HH_rest_gas_kWh)/1000)*0.902</f>
        <v>91833.782663169317</v>
      </c>
      <c r="E5" s="17">
        <f>B46*B57</f>
        <v>8623.4104299131686</v>
      </c>
      <c r="F5" s="17">
        <f>B51*B62</f>
        <v>45027.318442997617</v>
      </c>
      <c r="G5" s="18"/>
      <c r="H5" s="17"/>
      <c r="I5" s="17"/>
      <c r="J5" s="17">
        <f>B50*B61+C50*C61</f>
        <v>0</v>
      </c>
      <c r="K5" s="17"/>
      <c r="L5" s="17"/>
      <c r="M5" s="17"/>
      <c r="N5" s="17">
        <f>B48*B59+C48*C59</f>
        <v>27839.486322138473</v>
      </c>
      <c r="O5" s="17">
        <f>B69*B70*B71</f>
        <v>131.32000000000002</v>
      </c>
      <c r="P5" s="17">
        <f>B77*B78*B79/1000-B77*B78*B79/1000/B80</f>
        <v>743.6</v>
      </c>
    </row>
    <row r="6" spans="1:16">
      <c r="A6" s="16" t="s">
        <v>632</v>
      </c>
      <c r="B6" s="779">
        <f>kWh_PV_kleiner_dan_10kW</f>
        <v>2932.0629968895628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42062.674459261965</v>
      </c>
      <c r="C8" s="21">
        <f>C5</f>
        <v>0</v>
      </c>
      <c r="D8" s="21">
        <f>D5</f>
        <v>91833.782663169317</v>
      </c>
      <c r="E8" s="21">
        <f>E5</f>
        <v>8623.4104299131686</v>
      </c>
      <c r="F8" s="21">
        <f>F5</f>
        <v>45027.318442997617</v>
      </c>
      <c r="G8" s="21"/>
      <c r="H8" s="21"/>
      <c r="I8" s="21"/>
      <c r="J8" s="21">
        <f>J5</f>
        <v>0</v>
      </c>
      <c r="K8" s="21"/>
      <c r="L8" s="21">
        <f>L5</f>
        <v>0</v>
      </c>
      <c r="M8" s="21">
        <f>M5</f>
        <v>0</v>
      </c>
      <c r="N8" s="21">
        <f>N5</f>
        <v>27839.486322138473</v>
      </c>
      <c r="O8" s="21">
        <f>O5</f>
        <v>131.32000000000002</v>
      </c>
      <c r="P8" s="21">
        <f>P5</f>
        <v>743.6</v>
      </c>
    </row>
    <row r="9" spans="1:16">
      <c r="B9" s="19"/>
      <c r="C9" s="19"/>
      <c r="D9" s="260"/>
      <c r="E9" s="19"/>
      <c r="F9" s="19"/>
      <c r="G9" s="19"/>
      <c r="H9" s="19"/>
      <c r="I9" s="19"/>
      <c r="J9" s="19"/>
      <c r="K9" s="19"/>
      <c r="L9" s="19"/>
      <c r="M9" s="19"/>
      <c r="N9" s="19"/>
      <c r="O9" s="19"/>
      <c r="P9" s="19"/>
    </row>
    <row r="10" spans="1:16">
      <c r="A10" s="24" t="s">
        <v>214</v>
      </c>
      <c r="B10" s="25">
        <f ca="1">'EF ele_warmte'!B12</f>
        <v>0.2148132177553316</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9035.6184479890653</v>
      </c>
      <c r="C12" s="23">
        <f ca="1">C10*C8</f>
        <v>0</v>
      </c>
      <c r="D12" s="23">
        <f>D8*D10</f>
        <v>18550.424097960204</v>
      </c>
      <c r="E12" s="23">
        <f>E10*E8</f>
        <v>1957.5141675902894</v>
      </c>
      <c r="F12" s="23">
        <f>F10*F8</f>
        <v>12022.294024280365</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3611</v>
      </c>
      <c r="C18" s="167" t="s">
        <v>111</v>
      </c>
      <c r="D18" s="229"/>
      <c r="E18" s="15"/>
    </row>
    <row r="19" spans="1:7">
      <c r="A19" s="172" t="s">
        <v>72</v>
      </c>
      <c r="B19" s="37">
        <f>aantalw2001_ander</f>
        <v>8</v>
      </c>
      <c r="C19" s="167" t="s">
        <v>111</v>
      </c>
      <c r="D19" s="230"/>
      <c r="E19" s="15"/>
    </row>
    <row r="20" spans="1:7">
      <c r="A20" s="172" t="s">
        <v>73</v>
      </c>
      <c r="B20" s="37">
        <f>aantalw2001_propaan</f>
        <v>95</v>
      </c>
      <c r="C20" s="168">
        <f>IF(ISERROR(B20/SUM($B$20,$B$21,$B$22)*100),0,B20/SUM($B$20,$B$21,$B$22)*100)</f>
        <v>20.833333333333336</v>
      </c>
      <c r="D20" s="230"/>
      <c r="E20" s="15"/>
    </row>
    <row r="21" spans="1:7">
      <c r="A21" s="172" t="s">
        <v>74</v>
      </c>
      <c r="B21" s="37">
        <f>aantalw2001_elektriciteit</f>
        <v>255</v>
      </c>
      <c r="C21" s="168">
        <f>IF(ISERROR(B21/SUM($B$20,$B$21,$B$22)*100),0,B21/SUM($B$20,$B$21,$B$22)*100)</f>
        <v>55.921052631578952</v>
      </c>
      <c r="D21" s="230"/>
      <c r="E21" s="15"/>
    </row>
    <row r="22" spans="1:7">
      <c r="A22" s="172" t="s">
        <v>75</v>
      </c>
      <c r="B22" s="37">
        <f>aantalw2001_hout</f>
        <v>106</v>
      </c>
      <c r="C22" s="168">
        <f>IF(ISERROR(B22/SUM($B$20,$B$21,$B$22)*100),0,B22/SUM($B$20,$B$21,$B$22)*100)</f>
        <v>23.245614035087719</v>
      </c>
      <c r="D22" s="230"/>
      <c r="E22" s="15"/>
    </row>
    <row r="23" spans="1:7">
      <c r="A23" s="172" t="s">
        <v>76</v>
      </c>
      <c r="B23" s="37">
        <f>aantalw2001_niet_gespec</f>
        <v>81</v>
      </c>
      <c r="C23" s="167" t="s">
        <v>111</v>
      </c>
      <c r="D23" s="229"/>
      <c r="E23" s="15"/>
    </row>
    <row r="24" spans="1:7">
      <c r="A24" s="172" t="s">
        <v>77</v>
      </c>
      <c r="B24" s="37">
        <f>aantalw2001_steenkool</f>
        <v>196</v>
      </c>
      <c r="C24" s="167" t="s">
        <v>111</v>
      </c>
      <c r="D24" s="230"/>
      <c r="E24" s="15"/>
    </row>
    <row r="25" spans="1:7">
      <c r="A25" s="172" t="s">
        <v>78</v>
      </c>
      <c r="B25" s="37">
        <f>aantalw2001_stookolie</f>
        <v>3988</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9874</v>
      </c>
      <c r="C28" s="36"/>
      <c r="D28" s="229"/>
    </row>
    <row r="29" spans="1:7" s="15" customFormat="1">
      <c r="A29" s="231" t="s">
        <v>713</v>
      </c>
      <c r="B29" s="37">
        <f>SUM(HH_hh_gas_aantal,HH_rest_gas_aantal)</f>
        <v>5848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5848</v>
      </c>
      <c r="C32" s="168">
        <f>IF(ISERROR(B32/SUM($B$32,$B$34,$B$35,$B$36,$B$38,$B$39)*100),0,B32/SUM($B$32,$B$34,$B$35,$B$36,$B$38,$B$39)*100)</f>
        <v>59.461108286731069</v>
      </c>
      <c r="D32" s="234"/>
      <c r="G32" s="15"/>
    </row>
    <row r="33" spans="1:7">
      <c r="A33" s="172" t="s">
        <v>72</v>
      </c>
      <c r="B33" s="34" t="s">
        <v>111</v>
      </c>
      <c r="C33" s="168"/>
      <c r="D33" s="234"/>
      <c r="G33" s="15"/>
    </row>
    <row r="34" spans="1:7">
      <c r="A34" s="172" t="s">
        <v>73</v>
      </c>
      <c r="B34" s="33">
        <f>IF((($B$28-$B$32-$B$39-$B$77-$B$38)*C20/100)&lt;0,0,($B$28-$B$32-$B$39-$B$77-$B$38)*C20/100)</f>
        <v>419.2291666666668</v>
      </c>
      <c r="C34" s="168">
        <f>IF(ISERROR(B34/SUM($B$32,$B$34,$B$35,$B$36,$B$38,$B$39)*100),0,B34/SUM($B$32,$B$34,$B$35,$B$36,$B$38,$B$39)*100)</f>
        <v>4.2626249788171515</v>
      </c>
      <c r="D34" s="234"/>
      <c r="G34" s="15"/>
    </row>
    <row r="35" spans="1:7">
      <c r="A35" s="172" t="s">
        <v>74</v>
      </c>
      <c r="B35" s="33">
        <f>IF((($B$28-$B$32-$B$39-$B$77-$B$38)*C21/100)&lt;0,0,($B$28-$B$32-$B$39-$B$77-$B$38)*C21/100)</f>
        <v>1125.2993421052633</v>
      </c>
      <c r="C35" s="168">
        <f>IF(ISERROR(B35/SUM($B$32,$B$34,$B$35,$B$36,$B$38,$B$39)*100),0,B35/SUM($B$32,$B$34,$B$35,$B$36,$B$38,$B$39)*100)</f>
        <v>11.441782837877614</v>
      </c>
      <c r="D35" s="234"/>
      <c r="G35" s="15"/>
    </row>
    <row r="36" spans="1:7">
      <c r="A36" s="172" t="s">
        <v>75</v>
      </c>
      <c r="B36" s="33">
        <f>IF((($B$28-$B$32-$B$39-$B$77-$B$38)*C22/100)&lt;0,0,($B$28-$B$32-$B$39-$B$77-$B$38)*C22/100)</f>
        <v>467.7714912280702</v>
      </c>
      <c r="C36" s="168">
        <f>IF(ISERROR(B36/SUM($B$32,$B$34,$B$35,$B$36,$B$38,$B$39)*100),0,B36/SUM($B$32,$B$34,$B$35,$B$36,$B$38,$B$39)*100)</f>
        <v>4.7561920816275567</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1974.7</v>
      </c>
      <c r="C39" s="168">
        <f>IF(ISERROR(B39/SUM($B$32,$B$34,$B$35,$B$36,$B$38,$B$39)*100),0,B39/SUM($B$32,$B$34,$B$35,$B$36,$B$38,$B$39)*100)</f>
        <v>20.078291814946621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5848</v>
      </c>
      <c r="C44" s="34" t="s">
        <v>111</v>
      </c>
      <c r="D44" s="175"/>
    </row>
    <row r="45" spans="1:7">
      <c r="A45" s="172" t="s">
        <v>72</v>
      </c>
      <c r="B45" s="33" t="str">
        <f t="shared" si="0"/>
        <v>-</v>
      </c>
      <c r="C45" s="34" t="s">
        <v>111</v>
      </c>
      <c r="D45" s="175"/>
    </row>
    <row r="46" spans="1:7">
      <c r="A46" s="172" t="s">
        <v>73</v>
      </c>
      <c r="B46" s="33">
        <f t="shared" si="0"/>
        <v>419.2291666666668</v>
      </c>
      <c r="C46" s="34" t="s">
        <v>111</v>
      </c>
      <c r="D46" s="175"/>
    </row>
    <row r="47" spans="1:7">
      <c r="A47" s="172" t="s">
        <v>74</v>
      </c>
      <c r="B47" s="33">
        <f t="shared" si="0"/>
        <v>1125.2993421052633</v>
      </c>
      <c r="C47" s="34" t="s">
        <v>111</v>
      </c>
      <c r="D47" s="175"/>
    </row>
    <row r="48" spans="1:7">
      <c r="A48" s="172" t="s">
        <v>75</v>
      </c>
      <c r="B48" s="33">
        <f t="shared" si="0"/>
        <v>467.7714912280702</v>
      </c>
      <c r="C48" s="33">
        <f>B48*10</f>
        <v>4677.7149122807023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1974.7</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84</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39</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41018.207117266582</v>
      </c>
      <c r="C5" s="17">
        <f>IF(ISERROR('Eigen informatie GS &amp; warmtenet'!B58),0,'Eigen informatie GS &amp; warmtenet'!B58)</f>
        <v>0</v>
      </c>
      <c r="D5" s="30">
        <f>SUM(D6:D12)</f>
        <v>34467.761775317886</v>
      </c>
      <c r="E5" s="17">
        <f>SUM(E6:E12)</f>
        <v>794.58428762683468</v>
      </c>
      <c r="F5" s="17">
        <f>SUM(F6:F12)</f>
        <v>7773.100310662262</v>
      </c>
      <c r="G5" s="18"/>
      <c r="H5" s="17"/>
      <c r="I5" s="17"/>
      <c r="J5" s="17">
        <f>SUM(J6:J12)</f>
        <v>0</v>
      </c>
      <c r="K5" s="17"/>
      <c r="L5" s="17"/>
      <c r="M5" s="17"/>
      <c r="N5" s="17">
        <f>SUM(N6:N12)</f>
        <v>1593.7820181624329</v>
      </c>
      <c r="O5" s="17">
        <f>B38*B39*B40</f>
        <v>4.6900000000000004</v>
      </c>
      <c r="P5" s="17">
        <f>B46*B47*B48/1000-B46*B47*B48/1000/B49</f>
        <v>0</v>
      </c>
      <c r="R5" s="32"/>
    </row>
    <row r="6" spans="1:18">
      <c r="A6" s="32" t="s">
        <v>54</v>
      </c>
      <c r="B6" s="37">
        <f>B26</f>
        <v>8323.7411996249502</v>
      </c>
      <c r="C6" s="33"/>
      <c r="D6" s="37">
        <f>IF(ISERROR(TER_kantoor_gas_kWh/1000),0,TER_kantoor_gas_kWh/1000)*0.902</f>
        <v>8905.4215089523568</v>
      </c>
      <c r="E6" s="33">
        <f>$C$26*'E Balans VL '!I12/100/3.6*1000000</f>
        <v>291.36368547580997</v>
      </c>
      <c r="F6" s="33">
        <f>$C$26*('E Balans VL '!L12+'E Balans VL '!N12)/100/3.6*1000000</f>
        <v>1262.057874835511</v>
      </c>
      <c r="G6" s="34"/>
      <c r="H6" s="33"/>
      <c r="I6" s="33"/>
      <c r="J6" s="33">
        <f>$C$26*('E Balans VL '!D12+'E Balans VL '!E12)/100/3.6*1000000</f>
        <v>0</v>
      </c>
      <c r="K6" s="33"/>
      <c r="L6" s="33"/>
      <c r="M6" s="33"/>
      <c r="N6" s="33">
        <f>$C$26*'E Balans VL '!Y12/100/3.6*1000000</f>
        <v>64.339914213805343</v>
      </c>
      <c r="O6" s="33"/>
      <c r="P6" s="33"/>
      <c r="R6" s="32"/>
    </row>
    <row r="7" spans="1:18">
      <c r="A7" s="32" t="s">
        <v>53</v>
      </c>
      <c r="B7" s="37">
        <f t="shared" ref="B7:B12" si="0">B27</f>
        <v>4262.8174469670503</v>
      </c>
      <c r="C7" s="33"/>
      <c r="D7" s="37">
        <f>IF(ISERROR(TER_horeca_gas_kWh/1000),0,TER_horeca_gas_kWh/1000)*0.902</f>
        <v>2937.5762978645257</v>
      </c>
      <c r="E7" s="33">
        <f>$C$27*'E Balans VL '!I9/100/3.6*1000000</f>
        <v>240.47958567666115</v>
      </c>
      <c r="F7" s="33">
        <f>$C$27*('E Balans VL '!L9+'E Balans VL '!N9)/100/3.6*1000000</f>
        <v>742.60638999630248</v>
      </c>
      <c r="G7" s="34"/>
      <c r="H7" s="33"/>
      <c r="I7" s="33"/>
      <c r="J7" s="33">
        <f>$C$27*('E Balans VL '!D9+'E Balans VL '!E9)/100/3.6*1000000</f>
        <v>0</v>
      </c>
      <c r="K7" s="33"/>
      <c r="L7" s="33"/>
      <c r="M7" s="33"/>
      <c r="N7" s="33">
        <f>$C$27*'E Balans VL '!Y9/100/3.6*1000000</f>
        <v>0</v>
      </c>
      <c r="O7" s="33"/>
      <c r="P7" s="33"/>
      <c r="R7" s="32"/>
    </row>
    <row r="8" spans="1:18">
      <c r="A8" s="6" t="s">
        <v>52</v>
      </c>
      <c r="B8" s="37">
        <f t="shared" si="0"/>
        <v>14467.627358760201</v>
      </c>
      <c r="C8" s="33"/>
      <c r="D8" s="37">
        <f>IF(ISERROR(TER_handel_gas_kWh/1000),0,TER_handel_gas_kWh/1000)*0.902</f>
        <v>9210.7477466722667</v>
      </c>
      <c r="E8" s="33">
        <f>$C$28*'E Balans VL '!I13/100/3.6*1000000</f>
        <v>74.275328970253554</v>
      </c>
      <c r="F8" s="33">
        <f>$C$28*('E Balans VL '!L13+'E Balans VL '!N13)/100/3.6*1000000</f>
        <v>2230.6845909299473</v>
      </c>
      <c r="G8" s="34"/>
      <c r="H8" s="33"/>
      <c r="I8" s="33"/>
      <c r="J8" s="33">
        <f>$C$28*('E Balans VL '!D13+'E Balans VL '!E13)/100/3.6*1000000</f>
        <v>0</v>
      </c>
      <c r="K8" s="33"/>
      <c r="L8" s="33"/>
      <c r="M8" s="33"/>
      <c r="N8" s="33">
        <f>$C$28*'E Balans VL '!Y13/100/3.6*1000000</f>
        <v>6.7666859168552387</v>
      </c>
      <c r="O8" s="33"/>
      <c r="P8" s="33"/>
      <c r="R8" s="32"/>
    </row>
    <row r="9" spans="1:18">
      <c r="A9" s="32" t="s">
        <v>51</v>
      </c>
      <c r="B9" s="37">
        <f t="shared" si="0"/>
        <v>413.75378270573799</v>
      </c>
      <c r="C9" s="33"/>
      <c r="D9" s="37">
        <f>IF(ISERROR(TER_gezond_gas_kWh/1000),0,TER_gezond_gas_kWh/1000)*0.902</f>
        <v>682.03970093110559</v>
      </c>
      <c r="E9" s="33">
        <f>$C$29*'E Balans VL '!I10/100/3.6*1000000</f>
        <v>0.17149799628269521</v>
      </c>
      <c r="F9" s="33">
        <f>$C$29*('E Balans VL '!L10+'E Balans VL '!N10)/100/3.6*1000000</f>
        <v>101.90162265962523</v>
      </c>
      <c r="G9" s="34"/>
      <c r="H9" s="33"/>
      <c r="I9" s="33"/>
      <c r="J9" s="33">
        <f>$C$29*('E Balans VL '!D10+'E Balans VL '!E10)/100/3.6*1000000</f>
        <v>0</v>
      </c>
      <c r="K9" s="33"/>
      <c r="L9" s="33"/>
      <c r="M9" s="33"/>
      <c r="N9" s="33">
        <f>$C$29*'E Balans VL '!Y10/100/3.6*1000000</f>
        <v>3.5758567749577548</v>
      </c>
      <c r="O9" s="33"/>
      <c r="P9" s="33"/>
      <c r="R9" s="32"/>
    </row>
    <row r="10" spans="1:18">
      <c r="A10" s="32" t="s">
        <v>50</v>
      </c>
      <c r="B10" s="37">
        <f t="shared" si="0"/>
        <v>5704.1851556362799</v>
      </c>
      <c r="C10" s="33"/>
      <c r="D10" s="37">
        <f>IF(ISERROR(TER_ander_gas_kWh/1000),0,TER_ander_gas_kWh/1000)*0.902</f>
        <v>2105.7526607749437</v>
      </c>
      <c r="E10" s="33">
        <f>$C$30*'E Balans VL '!I14/100/3.6*1000000</f>
        <v>34.772853446393306</v>
      </c>
      <c r="F10" s="33">
        <f>$C$30*('E Balans VL '!L14+'E Balans VL '!N14)/100/3.6*1000000</f>
        <v>1512.257623232178</v>
      </c>
      <c r="G10" s="34"/>
      <c r="H10" s="33"/>
      <c r="I10" s="33"/>
      <c r="J10" s="33">
        <f>$C$30*('E Balans VL '!D14+'E Balans VL '!E14)/100/3.6*1000000</f>
        <v>0</v>
      </c>
      <c r="K10" s="33"/>
      <c r="L10" s="33"/>
      <c r="M10" s="33"/>
      <c r="N10" s="33">
        <f>$C$30*'E Balans VL '!Y14/100/3.6*1000000</f>
        <v>1314.691420005285</v>
      </c>
      <c r="O10" s="33"/>
      <c r="P10" s="33"/>
      <c r="R10" s="32"/>
    </row>
    <row r="11" spans="1:18">
      <c r="A11" s="32" t="s">
        <v>55</v>
      </c>
      <c r="B11" s="37">
        <f t="shared" si="0"/>
        <v>713.27088920810797</v>
      </c>
      <c r="C11" s="33"/>
      <c r="D11" s="37">
        <f>IF(ISERROR(TER_onderwijs_gas_kWh/1000),0,TER_onderwijs_gas_kWh/1000)*0.902</f>
        <v>3898.0635427679485</v>
      </c>
      <c r="E11" s="33">
        <f>$C$31*'E Balans VL '!I11/100/3.6*1000000</f>
        <v>0.54354955798414295</v>
      </c>
      <c r="F11" s="33">
        <f>$C$31*('E Balans VL '!L11+'E Balans VL '!N11)/100/3.6*1000000</f>
        <v>516.1619043021185</v>
      </c>
      <c r="G11" s="34"/>
      <c r="H11" s="33"/>
      <c r="I11" s="33"/>
      <c r="J11" s="33">
        <f>$C$31*('E Balans VL '!D11+'E Balans VL '!E11)/100/3.6*1000000</f>
        <v>0</v>
      </c>
      <c r="K11" s="33"/>
      <c r="L11" s="33"/>
      <c r="M11" s="33"/>
      <c r="N11" s="33">
        <f>$C$31*'E Balans VL '!Y11/100/3.6*1000000</f>
        <v>2.1021797791325412</v>
      </c>
      <c r="O11" s="33"/>
      <c r="P11" s="33"/>
      <c r="R11" s="32"/>
    </row>
    <row r="12" spans="1:18">
      <c r="A12" s="32" t="s">
        <v>260</v>
      </c>
      <c r="B12" s="37">
        <f t="shared" si="0"/>
        <v>7132.8112843642493</v>
      </c>
      <c r="C12" s="33"/>
      <c r="D12" s="37">
        <f>IF(ISERROR(TER_rest_gas_kWh/1000),0,TER_rest_gas_kWh/1000)*0.902</f>
        <v>6728.160317354741</v>
      </c>
      <c r="E12" s="33">
        <f>$C$32*'E Balans VL '!I8/100/3.6*1000000</f>
        <v>152.97778650344981</v>
      </c>
      <c r="F12" s="33">
        <f>$C$32*('E Balans VL '!L8+'E Balans VL '!N8)/100/3.6*1000000</f>
        <v>1407.4303047065803</v>
      </c>
      <c r="G12" s="34"/>
      <c r="H12" s="33"/>
      <c r="I12" s="33"/>
      <c r="J12" s="33">
        <f>$C$32*('E Balans VL '!D8+'E Balans VL '!E8)/100/3.6*1000000</f>
        <v>0</v>
      </c>
      <c r="K12" s="33"/>
      <c r="L12" s="33"/>
      <c r="M12" s="33"/>
      <c r="N12" s="33">
        <f>$C$32*'E Balans VL '!Y8/100/3.6*1000000</f>
        <v>202.30596147239694</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41018.207117266582</v>
      </c>
      <c r="C16" s="21">
        <f ca="1">C5+C13+C14</f>
        <v>0</v>
      </c>
      <c r="D16" s="21">
        <f t="shared" ref="D16:N16" ca="1" si="1">MAX((D5+D13+D14),0)</f>
        <v>34467.761775317886</v>
      </c>
      <c r="E16" s="21">
        <f t="shared" si="1"/>
        <v>794.58428762683468</v>
      </c>
      <c r="F16" s="21">
        <f t="shared" ca="1" si="1"/>
        <v>7773.100310662262</v>
      </c>
      <c r="G16" s="21">
        <f t="shared" si="1"/>
        <v>0</v>
      </c>
      <c r="H16" s="21">
        <f t="shared" si="1"/>
        <v>0</v>
      </c>
      <c r="I16" s="21">
        <f t="shared" si="1"/>
        <v>0</v>
      </c>
      <c r="J16" s="21">
        <f t="shared" si="1"/>
        <v>0</v>
      </c>
      <c r="K16" s="21">
        <f t="shared" si="1"/>
        <v>0</v>
      </c>
      <c r="L16" s="21">
        <f t="shared" ca="1" si="1"/>
        <v>0</v>
      </c>
      <c r="M16" s="21">
        <f t="shared" si="1"/>
        <v>0</v>
      </c>
      <c r="N16" s="21">
        <f t="shared" ca="1" si="1"/>
        <v>1593.7820181624329</v>
      </c>
      <c r="O16" s="21">
        <f>O5</f>
        <v>4.6900000000000004</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0.2148132177553316</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8811.2530574146786</v>
      </c>
      <c r="C20" s="23">
        <f t="shared" ref="C20:P20" ca="1" si="2">C16*C18</f>
        <v>0</v>
      </c>
      <c r="D20" s="23">
        <f t="shared" ca="1" si="2"/>
        <v>6962.4878786142135</v>
      </c>
      <c r="E20" s="23">
        <f t="shared" si="2"/>
        <v>180.37063329129148</v>
      </c>
      <c r="F20" s="23">
        <f t="shared" ca="1" si="2"/>
        <v>2075.417782946824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8323.7411996249502</v>
      </c>
      <c r="C26" s="39">
        <f>IF(ISERROR(B26*3.6/1000000/'E Balans VL '!Z12*100),0,B26*3.6/1000000/'E Balans VL '!Z12*100)</f>
        <v>0.17515932966037934</v>
      </c>
      <c r="D26" s="238" t="s">
        <v>719</v>
      </c>
      <c r="F26" s="6"/>
    </row>
    <row r="27" spans="1:18">
      <c r="A27" s="232" t="s">
        <v>53</v>
      </c>
      <c r="B27" s="33">
        <f>IF(ISERROR(TER_horeca_ele_kWh/1000),0,TER_horeca_ele_kWh/1000)</f>
        <v>4262.8174469670503</v>
      </c>
      <c r="C27" s="39">
        <f>IF(ISERROR(B27*3.6/1000000/'E Balans VL '!Z9*100),0,B27*3.6/1000000/'E Balans VL '!Z9*100)</f>
        <v>0.36092077482860169</v>
      </c>
      <c r="D27" s="238" t="s">
        <v>719</v>
      </c>
      <c r="F27" s="6"/>
    </row>
    <row r="28" spans="1:18">
      <c r="A28" s="172" t="s">
        <v>52</v>
      </c>
      <c r="B28" s="33">
        <f>IF(ISERROR(TER_handel_ele_kWh/1000),0,TER_handel_ele_kWh/1000)</f>
        <v>14467.627358760201</v>
      </c>
      <c r="C28" s="39">
        <f>IF(ISERROR(B28*3.6/1000000/'E Balans VL '!Z13*100),0,B28*3.6/1000000/'E Balans VL '!Z13*100)</f>
        <v>0.40053426285757127</v>
      </c>
      <c r="D28" s="238" t="s">
        <v>719</v>
      </c>
      <c r="F28" s="6"/>
    </row>
    <row r="29" spans="1:18">
      <c r="A29" s="232" t="s">
        <v>51</v>
      </c>
      <c r="B29" s="33">
        <f>IF(ISERROR(TER_gezond_ele_kWh/1000),0,TER_gezond_ele_kWh/1000)</f>
        <v>413.75378270573799</v>
      </c>
      <c r="C29" s="39">
        <f>IF(ISERROR(B29*3.6/1000000/'E Balans VL '!Z10*100),0,B29*3.6/1000000/'E Balans VL '!Z10*100)</f>
        <v>5.3783404756268124E-2</v>
      </c>
      <c r="D29" s="238" t="s">
        <v>719</v>
      </c>
      <c r="F29" s="6"/>
    </row>
    <row r="30" spans="1:18">
      <c r="A30" s="232" t="s">
        <v>50</v>
      </c>
      <c r="B30" s="33">
        <f>IF(ISERROR(TER_ander_ele_kWh/1000),0,TER_ander_ele_kWh/1000)</f>
        <v>5704.1851556362799</v>
      </c>
      <c r="C30" s="39">
        <f>IF(ISERROR(B30*3.6/1000000/'E Balans VL '!Z14*100),0,B30*3.6/1000000/'E Balans VL '!Z14*100)</f>
        <v>0.44212666093580799</v>
      </c>
      <c r="D30" s="238" t="s">
        <v>719</v>
      </c>
      <c r="F30" s="6"/>
    </row>
    <row r="31" spans="1:18">
      <c r="A31" s="232" t="s">
        <v>55</v>
      </c>
      <c r="B31" s="33">
        <f>IF(ISERROR(TER_onderwijs_ele_kWh/1000),0,TER_onderwijs_ele_kWh/1000)</f>
        <v>713.27088920810797</v>
      </c>
      <c r="C31" s="39">
        <f>IF(ISERROR(B31*3.6/1000000/'E Balans VL '!Z11*100),0,B31*3.6/1000000/'E Balans VL '!Z11*100)</f>
        <v>0.13646087498426104</v>
      </c>
      <c r="D31" s="238" t="s">
        <v>719</v>
      </c>
    </row>
    <row r="32" spans="1:18">
      <c r="A32" s="232" t="s">
        <v>260</v>
      </c>
      <c r="B32" s="33">
        <f>IF(ISERROR(TER_rest_ele_kWh/1000),0,TER_rest_ele_kWh/1000)</f>
        <v>7132.8112843642493</v>
      </c>
      <c r="C32" s="39">
        <f>IF(ISERROR(B32*3.6/1000000/'E Balans VL '!Z8*100),0,B32*3.6/1000000/'E Balans VL '!Z8*100)</f>
        <v>5.881550643637818E-2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3</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150376.89357074967</v>
      </c>
      <c r="C5" s="17">
        <f>IF(ISERROR('Eigen informatie GS &amp; warmtenet'!B59),0,'Eigen informatie GS &amp; warmtenet'!B59)</f>
        <v>0</v>
      </c>
      <c r="D5" s="30">
        <f>SUM(D6:D15)</f>
        <v>59285.63263947612</v>
      </c>
      <c r="E5" s="17">
        <f>SUM(E6:E15)</f>
        <v>1049.140254134421</v>
      </c>
      <c r="F5" s="17">
        <f>SUM(F6:F15)</f>
        <v>19498.095179080352</v>
      </c>
      <c r="G5" s="18"/>
      <c r="H5" s="17"/>
      <c r="I5" s="17"/>
      <c r="J5" s="17">
        <f>SUM(J6:J15)</f>
        <v>602.25774730033743</v>
      </c>
      <c r="K5" s="17"/>
      <c r="L5" s="17"/>
      <c r="M5" s="17"/>
      <c r="N5" s="17">
        <f>SUM(N6:N15)</f>
        <v>2010.1168315609843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382.46098458982397</v>
      </c>
      <c r="C8" s="33"/>
      <c r="D8" s="37">
        <f>IF( ISERROR(IND_metaal_Gas_kWH/1000),0,IND_metaal_Gas_kWH/1000)*0.902</f>
        <v>89.318822560582248</v>
      </c>
      <c r="E8" s="33">
        <f>C30*'E Balans VL '!I18/100/3.6*1000000</f>
        <v>2.6874689525242226</v>
      </c>
      <c r="F8" s="33">
        <f>C30*'E Balans VL '!L18/100/3.6*1000000+C30*'E Balans VL '!N18/100/3.6*1000000</f>
        <v>41.991978490957443</v>
      </c>
      <c r="G8" s="34"/>
      <c r="H8" s="33"/>
      <c r="I8" s="33"/>
      <c r="J8" s="40">
        <f>C30*'E Balans VL '!D18/100/3.6*1000000+C30*'E Balans VL '!E18/100/3.6*1000000</f>
        <v>7.8909944653475188</v>
      </c>
      <c r="K8" s="33"/>
      <c r="L8" s="33"/>
      <c r="M8" s="33"/>
      <c r="N8" s="33">
        <f>C30*'E Balans VL '!Y18/100/3.6*1000000</f>
        <v>1.4334913150532254</v>
      </c>
      <c r="O8" s="33"/>
      <c r="P8" s="33"/>
      <c r="R8" s="32"/>
    </row>
    <row r="9" spans="1:18">
      <c r="A9" s="6" t="s">
        <v>33</v>
      </c>
      <c r="B9" s="37">
        <f t="shared" si="0"/>
        <v>1700.22858895177</v>
      </c>
      <c r="C9" s="33"/>
      <c r="D9" s="37">
        <f>IF( ISERROR(IND_andere_gas_kWh/1000),0,IND_andere_gas_kWh/1000)*0.902</f>
        <v>1166.5621860728309</v>
      </c>
      <c r="E9" s="33">
        <f>C31*'E Balans VL '!I19/100/3.6*1000000</f>
        <v>28.557421997968035</v>
      </c>
      <c r="F9" s="33">
        <f>C31*'E Balans VL '!L19/100/3.6*1000000+C31*'E Balans VL '!N19/100/3.6*1000000</f>
        <v>1329.1418730527105</v>
      </c>
      <c r="G9" s="34"/>
      <c r="H9" s="33"/>
      <c r="I9" s="33"/>
      <c r="J9" s="40">
        <f>C31*'E Balans VL '!D19/100/3.6*1000000+C31*'E Balans VL '!E19/100/3.6*1000000</f>
        <v>0.1533456101512537</v>
      </c>
      <c r="K9" s="33"/>
      <c r="L9" s="33"/>
      <c r="M9" s="33"/>
      <c r="N9" s="33">
        <f>C31*'E Balans VL '!Y19/100/3.6*1000000</f>
        <v>126.01421620757588</v>
      </c>
      <c r="O9" s="33"/>
      <c r="P9" s="33"/>
      <c r="R9" s="32"/>
    </row>
    <row r="10" spans="1:18">
      <c r="A10" s="6" t="s">
        <v>41</v>
      </c>
      <c r="B10" s="37">
        <f t="shared" si="0"/>
        <v>7670.2099010270795</v>
      </c>
      <c r="C10" s="33"/>
      <c r="D10" s="37">
        <f>IF( ISERROR(IND_voed_gas_kWh/1000),0,IND_voed_gas_kWh/1000)*0.902</f>
        <v>721.22575083772972</v>
      </c>
      <c r="E10" s="33">
        <f>C32*'E Balans VL '!I20/100/3.6*1000000</f>
        <v>69.979807781399941</v>
      </c>
      <c r="F10" s="33">
        <f>C32*'E Balans VL '!L20/100/3.6*1000000+C32*'E Balans VL '!N20/100/3.6*1000000</f>
        <v>1237.444767161343</v>
      </c>
      <c r="G10" s="34"/>
      <c r="H10" s="33"/>
      <c r="I10" s="33"/>
      <c r="J10" s="40">
        <f>C32*'E Balans VL '!D20/100/3.6*1000000+C32*'E Balans VL '!E20/100/3.6*1000000</f>
        <v>31.590953205461702</v>
      </c>
      <c r="K10" s="33"/>
      <c r="L10" s="33"/>
      <c r="M10" s="33"/>
      <c r="N10" s="33">
        <f>C32*'E Balans VL '!Y20/100/3.6*1000000</f>
        <v>112.20912272177199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12.194466104611099</v>
      </c>
      <c r="C13" s="33"/>
      <c r="D13" s="37">
        <f>IF( ISERROR(IND_papier_gas_kWh/1000),0,IND_papier_gas_kWh/1000)*0.902</f>
        <v>43.768350085892891</v>
      </c>
      <c r="E13" s="33">
        <f>C35*'E Balans VL '!I23/100/3.6*1000000</f>
        <v>0.37519189731673991</v>
      </c>
      <c r="F13" s="33">
        <f>C35*'E Balans VL '!L23/100/3.6*1000000+C35*'E Balans VL '!N23/100/3.6*1000000</f>
        <v>2.5893113254200686</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57054.243839927003</v>
      </c>
      <c r="C14" s="33"/>
      <c r="D14" s="37">
        <f>IF( ISERROR(IND_chemie_gas_kWh/1000),0,IND_chemie_gas_kWh/1000)*0.902</f>
        <v>4955.7972143808274</v>
      </c>
      <c r="E14" s="33">
        <f>C36*'E Balans VL '!I24/100/3.6*1000000</f>
        <v>193.45318368030908</v>
      </c>
      <c r="F14" s="33">
        <f>C36*'E Balans VL '!L24/100/3.6*1000000+C36*'E Balans VL '!N24/100/3.6*1000000</f>
        <v>183.1008919319342</v>
      </c>
      <c r="G14" s="34"/>
      <c r="H14" s="33"/>
      <c r="I14" s="33"/>
      <c r="J14" s="40">
        <f>C36*'E Balans VL '!D24/100/3.6*1000000+C36*'E Balans VL '!E24/100/3.6*1000000</f>
        <v>0</v>
      </c>
      <c r="K14" s="33"/>
      <c r="L14" s="33"/>
      <c r="M14" s="33"/>
      <c r="N14" s="33">
        <f>C36*'E Balans VL '!Y24/100/3.6*1000000</f>
        <v>266.77018222030767</v>
      </c>
      <c r="O14" s="33"/>
      <c r="P14" s="33"/>
      <c r="R14" s="32"/>
    </row>
    <row r="15" spans="1:18">
      <c r="A15" s="6" t="s">
        <v>270</v>
      </c>
      <c r="B15" s="37">
        <f t="shared" si="0"/>
        <v>83557.555790149403</v>
      </c>
      <c r="C15" s="33"/>
      <c r="D15" s="37">
        <f>IF( ISERROR(IND_rest_gas_kWh/1000),0,IND_rest_gas_kWh/1000)*0.902</f>
        <v>52308.960315538257</v>
      </c>
      <c r="E15" s="33">
        <f>C37*'E Balans VL '!I15/100/3.6*1000000</f>
        <v>754.08717982490293</v>
      </c>
      <c r="F15" s="33">
        <f>C37*'E Balans VL '!L15/100/3.6*1000000+C37*'E Balans VL '!N15/100/3.6*1000000</f>
        <v>16703.826357117989</v>
      </c>
      <c r="G15" s="34"/>
      <c r="H15" s="33"/>
      <c r="I15" s="33"/>
      <c r="J15" s="40">
        <f>C37*'E Balans VL '!D15/100/3.6*1000000+C37*'E Balans VL '!E15/100/3.6*1000000</f>
        <v>562.62245401937696</v>
      </c>
      <c r="K15" s="33"/>
      <c r="L15" s="33"/>
      <c r="M15" s="33"/>
      <c r="N15" s="33">
        <f>C37*'E Balans VL '!Y15/100/3.6*1000000</f>
        <v>1503.6898190962756</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150376.89357074967</v>
      </c>
      <c r="C18" s="21">
        <f>C5+C16</f>
        <v>0</v>
      </c>
      <c r="D18" s="21">
        <f>MAX((D5+D16),0)</f>
        <v>59285.63263947612</v>
      </c>
      <c r="E18" s="21">
        <f>MAX((E5+E16),0)</f>
        <v>1049.140254134421</v>
      </c>
      <c r="F18" s="21">
        <f>MAX((F5+F16),0)</f>
        <v>19498.095179080352</v>
      </c>
      <c r="G18" s="21"/>
      <c r="H18" s="21"/>
      <c r="I18" s="21"/>
      <c r="J18" s="21">
        <f>MAX((J5+J16),0)</f>
        <v>602.25774730033743</v>
      </c>
      <c r="K18" s="21"/>
      <c r="L18" s="21">
        <f>MAX((L5+L16),0)</f>
        <v>0</v>
      </c>
      <c r="M18" s="21"/>
      <c r="N18" s="21">
        <f>MAX((N5+N16),0)</f>
        <v>2010.1168315609843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0.2148132177553316</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32302.944383983773</v>
      </c>
      <c r="C22" s="23">
        <f ca="1">C18*C20</f>
        <v>0</v>
      </c>
      <c r="D22" s="23">
        <f>D18*D20</f>
        <v>11975.697793174177</v>
      </c>
      <c r="E22" s="23">
        <f>E18*E20</f>
        <v>238.15483768851357</v>
      </c>
      <c r="F22" s="23">
        <f>F18*F20</f>
        <v>5205.9914128144546</v>
      </c>
      <c r="G22" s="23"/>
      <c r="H22" s="23"/>
      <c r="I22" s="23"/>
      <c r="J22" s="23">
        <f>J18*J20</f>
        <v>213.19924254431945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382.46098458982397</v>
      </c>
      <c r="C30" s="39">
        <f>IF(ISERROR(B30*3.6/1000000/'E Balans VL '!Z18*100),0,B30*3.6/1000000/'E Balans VL '!Z18*100)</f>
        <v>2.5460661294392867E-2</v>
      </c>
      <c r="D30" s="238" t="s">
        <v>719</v>
      </c>
    </row>
    <row r="31" spans="1:18">
      <c r="A31" s="6" t="s">
        <v>33</v>
      </c>
      <c r="B31" s="37">
        <f>IF( ISERROR(IND_ander_ele_kWh/1000),0,IND_ander_ele_kWh/1000)</f>
        <v>1700.22858895177</v>
      </c>
      <c r="C31" s="39">
        <f>IF(ISERROR(B31*3.6/1000000/'E Balans VL '!Z19*100),0,B31*3.6/1000000/'E Balans VL '!Z19*100)</f>
        <v>7.5364395432698059E-2</v>
      </c>
      <c r="D31" s="238" t="s">
        <v>719</v>
      </c>
    </row>
    <row r="32" spans="1:18">
      <c r="A32" s="172" t="s">
        <v>41</v>
      </c>
      <c r="B32" s="37">
        <f>IF( ISERROR(IND_voed_ele_kWh/1000),0,IND_voed_ele_kWh/1000)</f>
        <v>7670.2099010270795</v>
      </c>
      <c r="C32" s="39">
        <f>IF(ISERROR(B32*3.6/1000000/'E Balans VL '!Z20*100),0,B32*3.6/1000000/'E Balans VL '!Z20*100)</f>
        <v>0.2562070136787678</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12.194466104611099</v>
      </c>
      <c r="C35" s="39">
        <f>IF(ISERROR(B35*3.6/1000000/'E Balans VL '!Z22*100),0,B35*3.6/1000000/'E Balans VL '!Z22*100)</f>
        <v>2.3716897087507987E-3</v>
      </c>
      <c r="D35" s="238" t="s">
        <v>719</v>
      </c>
    </row>
    <row r="36" spans="1:5">
      <c r="A36" s="172" t="s">
        <v>34</v>
      </c>
      <c r="B36" s="37">
        <f>IF( ISERROR(IND_chemie_ele_kWh/1000),0,IND_chemie_ele_kWh/1000)</f>
        <v>57054.243839927003</v>
      </c>
      <c r="C36" s="39">
        <f>IF(ISERROR(B36*3.6/1000000/'E Balans VL '!Z24*100),0,B36*3.6/1000000/'E Balans VL '!Z24*100)</f>
        <v>1.3397873151702235</v>
      </c>
      <c r="D36" s="238" t="s">
        <v>719</v>
      </c>
    </row>
    <row r="37" spans="1:5">
      <c r="A37" s="172" t="s">
        <v>270</v>
      </c>
      <c r="B37" s="37">
        <f>IF( ISERROR(IND_rest_ele_kWh/1000),0,IND_rest_ele_kWh/1000)</f>
        <v>83557.555790149403</v>
      </c>
      <c r="C37" s="39">
        <f>IF(ISERROR(B37*3.6/1000000/'E Balans VL '!Z15*100),0,B37*3.6/1000000/'E Balans VL '!Z15*100)</f>
        <v>0.62153208817613714</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3494.6323970917883</v>
      </c>
      <c r="C5" s="17">
        <f>'Eigen informatie GS &amp; warmtenet'!B60</f>
        <v>0</v>
      </c>
      <c r="D5" s="30">
        <f>IF(ISERROR(SUM(LB_lb_gas_kWh,LB_rest_gas_kWh)/1000),0,SUM(LB_lb_gas_kWh,LB_rest_gas_kWh)/1000)*0.902</f>
        <v>16642.806818499248</v>
      </c>
      <c r="E5" s="17">
        <f>B17*'E Balans VL '!I25/3.6*1000000/100</f>
        <v>36.596547019406955</v>
      </c>
      <c r="F5" s="17">
        <f>B17*('E Balans VL '!L25/3.6*1000000+'E Balans VL '!N25/3.6*1000000)/100</f>
        <v>14959.68201623184</v>
      </c>
      <c r="G5" s="18"/>
      <c r="H5" s="17"/>
      <c r="I5" s="17"/>
      <c r="J5" s="17">
        <f>('E Balans VL '!D25+'E Balans VL '!E25)/3.6*1000000*landbouw!B17/100</f>
        <v>312.10199598483024</v>
      </c>
      <c r="K5" s="17"/>
      <c r="L5" s="17">
        <f>L6*(-1)</f>
        <v>0</v>
      </c>
      <c r="M5" s="17"/>
      <c r="N5" s="17">
        <f>N6*(-1)</f>
        <v>0</v>
      </c>
      <c r="O5" s="17"/>
      <c r="P5" s="17"/>
      <c r="R5" s="32"/>
    </row>
    <row r="6" spans="1:18">
      <c r="A6" s="16" t="s">
        <v>496</v>
      </c>
      <c r="B6" s="17" t="s">
        <v>211</v>
      </c>
      <c r="C6" s="17">
        <f>'lokale energieproductie'!O92+'lokale energieproductie'!O61</f>
        <v>7515</v>
      </c>
      <c r="D6" s="311">
        <f>('lokale energieproductie'!P61+'lokale energieproductie'!P92)*(-1)</f>
        <v>-15030.000000000002</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3494.6323970917883</v>
      </c>
      <c r="C8" s="21">
        <f>C5+C6</f>
        <v>7515</v>
      </c>
      <c r="D8" s="21">
        <f>MAX((D5+D6),0)</f>
        <v>1612.8068184992462</v>
      </c>
      <c r="E8" s="21">
        <f>MAX((E5+E6),0)</f>
        <v>36.596547019406955</v>
      </c>
      <c r="F8" s="21">
        <f>MAX((F5+F6),0)</f>
        <v>14959.68201623184</v>
      </c>
      <c r="G8" s="21"/>
      <c r="H8" s="21"/>
      <c r="I8" s="21"/>
      <c r="J8" s="21">
        <f>MAX((J5+J6),0)</f>
        <v>312.10199598483024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0.2148132177553316</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750.69323009131483</v>
      </c>
      <c r="C12" s="23">
        <f ca="1">C8*C10</f>
        <v>1785.9176470588238</v>
      </c>
      <c r="D12" s="23">
        <f>D8*D10</f>
        <v>325.78697733684777</v>
      </c>
      <c r="E12" s="23">
        <f>E8*E10</f>
        <v>8.3074161734053789</v>
      </c>
      <c r="F12" s="23">
        <f>F8*F10</f>
        <v>3994.2350983339015</v>
      </c>
      <c r="G12" s="23"/>
      <c r="H12" s="23"/>
      <c r="I12" s="23"/>
      <c r="J12" s="23">
        <f>J8*J10</f>
        <v>110.48410657862991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0.53789138478398413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384.42133550046259</v>
      </c>
      <c r="C26" s="248">
        <f>B26*'GWP N2O_CH4'!B5</f>
        <v>8072.8480455097142</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105.97532405866406</v>
      </c>
      <c r="C27" s="248">
        <f>B27*'GWP N2O_CH4'!B5</f>
        <v>2225.4818052319451</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7.0200727559844269</v>
      </c>
      <c r="C28" s="248">
        <f>B28*'GWP N2O_CH4'!B4</f>
        <v>2176.2225543551722</v>
      </c>
      <c r="D28" s="50"/>
    </row>
    <row r="29" spans="1:4">
      <c r="A29" s="41" t="s">
        <v>277</v>
      </c>
      <c r="B29" s="248">
        <f>B34*'ha_N2O bodem landbouw'!B4</f>
        <v>19.820528391876859</v>
      </c>
      <c r="C29" s="248">
        <f>B29*'GWP N2O_CH4'!B4</f>
        <v>6144.3638014818262</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3.2756026335666747E-3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6.3095076644437912E-6</v>
      </c>
      <c r="C5" s="446" t="s">
        <v>211</v>
      </c>
      <c r="D5" s="431">
        <f>SUM(D6:D11)</f>
        <v>2.9667570950553592E-5</v>
      </c>
      <c r="E5" s="431">
        <f>SUM(E6:E11)</f>
        <v>3.3268703679907828E-3</v>
      </c>
      <c r="F5" s="444" t="s">
        <v>211</v>
      </c>
      <c r="G5" s="431">
        <f>SUM(G6:G11)</f>
        <v>0.58018056498845438</v>
      </c>
      <c r="H5" s="431">
        <f>SUM(H6:H11)</f>
        <v>0.10131054328250856</v>
      </c>
      <c r="I5" s="446" t="s">
        <v>211</v>
      </c>
      <c r="J5" s="446" t="s">
        <v>211</v>
      </c>
      <c r="K5" s="446" t="s">
        <v>211</v>
      </c>
      <c r="L5" s="446" t="s">
        <v>211</v>
      </c>
      <c r="M5" s="431">
        <f>SUM(M6:M11)</f>
        <v>2.9740671027326401E-2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3.2819096691927865E-6</v>
      </c>
      <c r="C6" s="432"/>
      <c r="D6" s="432">
        <f>vkm_2011_GW_PW*SUMIFS(TableVerdeelsleutelVkm[CNG],TableVerdeelsleutelVkm[Voertuigtype],"Lichte voertuigen")*SUMIFS(TableECFTransport[EnergieConsumptieFactor (PJ per km)],TableECFTransport[Index],CONCATENATE($A6,"_CNG_CNG"))</f>
        <v>1.414793109513136E-5</v>
      </c>
      <c r="E6" s="434">
        <f>vkm_2011_GW_PW*SUMIFS(TableVerdeelsleutelVkm[LPG],TableVerdeelsleutelVkm[Voertuigtype],"Lichte voertuigen")*SUMIFS(TableECFTransport[EnergieConsumptieFactor (PJ per km)],TableECFTransport[Index],CONCATENATE($A6,"_LPG_LPG"))</f>
        <v>1.4720054205651942E-3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0.18106070779492087</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4.7669532237720767E-2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1.0024055693024194E-2</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6.3023388310099765E-2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2.1609846495648803E-5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2.7224922896438783E-3</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6.1124327741373477E-7</v>
      </c>
      <c r="C8" s="432"/>
      <c r="D8" s="434">
        <f>vkm_2011_NGW_PW*SUMIFS(TableVerdeelsleutelVkm[CNG],TableVerdeelsleutelVkm[Voertuigtype],"Lichte voertuigen")*SUMIFS(TableECFTransport[EnergieConsumptieFactor (PJ per km)],TableECFTransport[Index],CONCATENATE($A8,"_CNG_CNG"))</f>
        <v>4.7272518809154829E-6</v>
      </c>
      <c r="E8" s="434">
        <f>vkm_2011_NGW_PW*SUMIFS(TableVerdeelsleutelVkm[LPG],TableVerdeelsleutelVkm[Voertuigtype],"Lichte voertuigen")*SUMIFS(TableECFTransport[EnergieConsumptieFactor (PJ per km)],TableECFTransport[Index],CONCATENATE($A8,"_LPG_LPG"))</f>
        <v>4.4908781700598368E-4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5.2392966324033341E-2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1.5204203095081151E-2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2.9658736730804854E-3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3.4894001067281907E-3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1.0394006214887585E-6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1.5072827988999441E-4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2.4163547178372703E-6</v>
      </c>
      <c r="C10" s="432"/>
      <c r="D10" s="434">
        <f>vkm_2011_SW_PW*SUMIFS(TableVerdeelsleutelVkm[CNG],TableVerdeelsleutelVkm[Voertuigtype],"Lichte voertuigen")*SUMIFS(TableECFTransport[EnergieConsumptieFactor (PJ per km)],TableECFTransport[Index],CONCATENATE($A10,"_CNG_CNG"))</f>
        <v>1.079238797450675E-5</v>
      </c>
      <c r="E10" s="434">
        <f>vkm_2011_SW_PW*SUMIFS(TableVerdeelsleutelVkm[LPG],TableVerdeelsleutelVkm[Voertuigtype],"Lichte voertuigen")*SUMIFS(TableECFTransport[EnergieConsumptieFactor (PJ per km)],TableECFTransport[Index],CONCATENATE($A10,"_LPG_LPG"))</f>
        <v>1.4057771304196052E-3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0.15896724661337727</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3.8369801075508268E-2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8.6397553051646408E-3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0.12124685583929491</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4.4357627081233418E-5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5.2377657865232052E-3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1.7526410179010532</v>
      </c>
      <c r="C14" s="21"/>
      <c r="D14" s="21">
        <f t="shared" ref="D14:M14" si="0">((D5)*10^9/3600)+D12</f>
        <v>8.2409919307093311</v>
      </c>
      <c r="E14" s="21">
        <f t="shared" si="0"/>
        <v>924.13065777521751</v>
      </c>
      <c r="F14" s="21"/>
      <c r="G14" s="21">
        <f t="shared" si="0"/>
        <v>161161.26805234843</v>
      </c>
      <c r="H14" s="21">
        <f t="shared" si="0"/>
        <v>28141.817578474602</v>
      </c>
      <c r="I14" s="21"/>
      <c r="J14" s="21"/>
      <c r="K14" s="21"/>
      <c r="L14" s="21"/>
      <c r="M14" s="21">
        <f t="shared" si="0"/>
        <v>8261.297507590667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0.2148132177553316</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0.376490456625305</v>
      </c>
      <c r="C18" s="23"/>
      <c r="D18" s="23">
        <f t="shared" ref="D18:M18" si="1">D14*D16</f>
        <v>1.6646803700032851</v>
      </c>
      <c r="E18" s="23">
        <f t="shared" si="1"/>
        <v>209.77765931497439</v>
      </c>
      <c r="F18" s="23"/>
      <c r="G18" s="23">
        <f t="shared" si="1"/>
        <v>43030.058569977031</v>
      </c>
      <c r="H18" s="23">
        <f t="shared" si="1"/>
        <v>7007.3125770401757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7.2914669302232196E-3</v>
      </c>
      <c r="H50" s="322">
        <f t="shared" si="2"/>
        <v>0</v>
      </c>
      <c r="I50" s="322">
        <f t="shared" si="2"/>
        <v>0</v>
      </c>
      <c r="J50" s="322">
        <f t="shared" si="2"/>
        <v>0</v>
      </c>
      <c r="K50" s="322">
        <f t="shared" si="2"/>
        <v>0</v>
      </c>
      <c r="L50" s="322">
        <f t="shared" si="2"/>
        <v>0</v>
      </c>
      <c r="M50" s="322">
        <f t="shared" si="2"/>
        <v>3.1080355762819992E-4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7.2914669302232196E-3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3.1080355762819992E-4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2025.4074806175609</v>
      </c>
      <c r="H54" s="21">
        <f t="shared" si="3"/>
        <v>0</v>
      </c>
      <c r="I54" s="21">
        <f t="shared" si="3"/>
        <v>0</v>
      </c>
      <c r="J54" s="21">
        <f t="shared" si="3"/>
        <v>0</v>
      </c>
      <c r="K54" s="21">
        <f t="shared" si="3"/>
        <v>0</v>
      </c>
      <c r="L54" s="21">
        <f t="shared" si="3"/>
        <v>0</v>
      </c>
      <c r="M54" s="21">
        <f t="shared" si="3"/>
        <v>86.334321563388869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0.2148132177553316</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540.78379732488872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43154.908117266583</v>
      </c>
      <c r="D10" s="687">
        <f ca="1">tertiair!C16</f>
        <v>0</v>
      </c>
      <c r="E10" s="687">
        <f ca="1">tertiair!D16</f>
        <v>34467.761775317886</v>
      </c>
      <c r="F10" s="687">
        <f>tertiair!E16</f>
        <v>794.58428762683468</v>
      </c>
      <c r="G10" s="687">
        <f ca="1">tertiair!F16</f>
        <v>7773.100310662262</v>
      </c>
      <c r="H10" s="687">
        <f>tertiair!G16</f>
        <v>0</v>
      </c>
      <c r="I10" s="687">
        <f>tertiair!H16</f>
        <v>0</v>
      </c>
      <c r="J10" s="687">
        <f>tertiair!I16</f>
        <v>0</v>
      </c>
      <c r="K10" s="687">
        <f>tertiair!J16</f>
        <v>0</v>
      </c>
      <c r="L10" s="687">
        <f>tertiair!K16</f>
        <v>0</v>
      </c>
      <c r="M10" s="687">
        <f ca="1">tertiair!L16</f>
        <v>0</v>
      </c>
      <c r="N10" s="687">
        <f>tertiair!M16</f>
        <v>0</v>
      </c>
      <c r="O10" s="687">
        <f ca="1">tertiair!N16</f>
        <v>1593.7820181624329</v>
      </c>
      <c r="P10" s="687">
        <f>tertiair!O16</f>
        <v>4.6900000000000004</v>
      </c>
      <c r="Q10" s="688">
        <f>tertiair!P16</f>
        <v>0</v>
      </c>
      <c r="R10" s="690">
        <f ca="1">SUM(C10:Q10)</f>
        <v>87788.826509035993</v>
      </c>
      <c r="S10" s="67"/>
    </row>
    <row r="11" spans="1:19" s="456" customFormat="1">
      <c r="A11" s="802" t="s">
        <v>225</v>
      </c>
      <c r="B11" s="807"/>
      <c r="C11" s="687">
        <f>huishoudens!B8</f>
        <v>42062.674459261965</v>
      </c>
      <c r="D11" s="687">
        <f>huishoudens!C8</f>
        <v>0</v>
      </c>
      <c r="E11" s="687">
        <f>huishoudens!D8</f>
        <v>91833.782663169317</v>
      </c>
      <c r="F11" s="687">
        <f>huishoudens!E8</f>
        <v>8623.4104299131686</v>
      </c>
      <c r="G11" s="687">
        <f>huishoudens!F8</f>
        <v>45027.318442997617</v>
      </c>
      <c r="H11" s="687">
        <f>huishoudens!G8</f>
        <v>0</v>
      </c>
      <c r="I11" s="687">
        <f>huishoudens!H8</f>
        <v>0</v>
      </c>
      <c r="J11" s="687">
        <f>huishoudens!I8</f>
        <v>0</v>
      </c>
      <c r="K11" s="687">
        <f>huishoudens!J8</f>
        <v>0</v>
      </c>
      <c r="L11" s="687">
        <f>huishoudens!K8</f>
        <v>0</v>
      </c>
      <c r="M11" s="687">
        <f>huishoudens!L8</f>
        <v>0</v>
      </c>
      <c r="N11" s="687">
        <f>huishoudens!M8</f>
        <v>0</v>
      </c>
      <c r="O11" s="687">
        <f>huishoudens!N8</f>
        <v>27839.486322138473</v>
      </c>
      <c r="P11" s="687">
        <f>huishoudens!O8</f>
        <v>131.32000000000002</v>
      </c>
      <c r="Q11" s="688">
        <f>huishoudens!P8</f>
        <v>743.6</v>
      </c>
      <c r="R11" s="690">
        <f>SUM(C11:Q11)</f>
        <v>216261.59231748056</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150376.89357074967</v>
      </c>
      <c r="D13" s="687">
        <f>industrie!C18</f>
        <v>0</v>
      </c>
      <c r="E13" s="687">
        <f>industrie!D18</f>
        <v>59285.63263947612</v>
      </c>
      <c r="F13" s="687">
        <f>industrie!E18</f>
        <v>1049.140254134421</v>
      </c>
      <c r="G13" s="687">
        <f>industrie!F18</f>
        <v>19498.095179080352</v>
      </c>
      <c r="H13" s="687">
        <f>industrie!G18</f>
        <v>0</v>
      </c>
      <c r="I13" s="687">
        <f>industrie!H18</f>
        <v>0</v>
      </c>
      <c r="J13" s="687">
        <f>industrie!I18</f>
        <v>0</v>
      </c>
      <c r="K13" s="687">
        <f>industrie!J18</f>
        <v>602.25774730033743</v>
      </c>
      <c r="L13" s="687">
        <f>industrie!K18</f>
        <v>0</v>
      </c>
      <c r="M13" s="687">
        <f>industrie!L18</f>
        <v>0</v>
      </c>
      <c r="N13" s="687">
        <f>industrie!M18</f>
        <v>0</v>
      </c>
      <c r="O13" s="687">
        <f>industrie!N18</f>
        <v>2010.1168315609843</v>
      </c>
      <c r="P13" s="687">
        <f>industrie!O18</f>
        <v>0</v>
      </c>
      <c r="Q13" s="688">
        <f>industrie!P18</f>
        <v>0</v>
      </c>
      <c r="R13" s="690">
        <f>SUM(C13:Q13)</f>
        <v>232822.13622230192</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235594.47614727821</v>
      </c>
      <c r="D16" s="720">
        <f t="shared" ref="D16:R16" ca="1" si="0">SUM(D9:D15)</f>
        <v>0</v>
      </c>
      <c r="E16" s="720">
        <f t="shared" ca="1" si="0"/>
        <v>185587.17707796334</v>
      </c>
      <c r="F16" s="720">
        <f t="shared" si="0"/>
        <v>10467.134971674424</v>
      </c>
      <c r="G16" s="720">
        <f t="shared" ca="1" si="0"/>
        <v>72298.513932740228</v>
      </c>
      <c r="H16" s="720">
        <f t="shared" si="0"/>
        <v>0</v>
      </c>
      <c r="I16" s="720">
        <f t="shared" si="0"/>
        <v>0</v>
      </c>
      <c r="J16" s="720">
        <f t="shared" si="0"/>
        <v>0</v>
      </c>
      <c r="K16" s="720">
        <f t="shared" si="0"/>
        <v>602.25774730033743</v>
      </c>
      <c r="L16" s="720">
        <f t="shared" si="0"/>
        <v>0</v>
      </c>
      <c r="M16" s="720">
        <f t="shared" ca="1" si="0"/>
        <v>0</v>
      </c>
      <c r="N16" s="720">
        <f t="shared" si="0"/>
        <v>0</v>
      </c>
      <c r="O16" s="720">
        <f t="shared" ca="1" si="0"/>
        <v>31443.38517186189</v>
      </c>
      <c r="P16" s="720">
        <f t="shared" si="0"/>
        <v>136.01000000000002</v>
      </c>
      <c r="Q16" s="720">
        <f t="shared" si="0"/>
        <v>743.6</v>
      </c>
      <c r="R16" s="720">
        <f t="shared" ca="1" si="0"/>
        <v>536872.55504881847</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2025.4074806175609</v>
      </c>
      <c r="I19" s="687">
        <f>transport!H54</f>
        <v>0</v>
      </c>
      <c r="J19" s="687">
        <f>transport!I54</f>
        <v>0</v>
      </c>
      <c r="K19" s="687">
        <f>transport!J54</f>
        <v>0</v>
      </c>
      <c r="L19" s="687">
        <f>transport!K54</f>
        <v>0</v>
      </c>
      <c r="M19" s="687">
        <f>transport!L54</f>
        <v>0</v>
      </c>
      <c r="N19" s="687">
        <f>transport!M54</f>
        <v>86.334321563388869</v>
      </c>
      <c r="O19" s="687">
        <f>transport!N54</f>
        <v>0</v>
      </c>
      <c r="P19" s="687">
        <f>transport!O54</f>
        <v>0</v>
      </c>
      <c r="Q19" s="688">
        <f>transport!P54</f>
        <v>0</v>
      </c>
      <c r="R19" s="690">
        <f>SUM(C19:Q19)</f>
        <v>2111.7418021809499</v>
      </c>
      <c r="S19" s="67"/>
    </row>
    <row r="20" spans="1:19" s="456" customFormat="1">
      <c r="A20" s="802" t="s">
        <v>307</v>
      </c>
      <c r="B20" s="807"/>
      <c r="C20" s="687">
        <f>transport!B14</f>
        <v>1.7526410179010532</v>
      </c>
      <c r="D20" s="687">
        <f>transport!C14</f>
        <v>0</v>
      </c>
      <c r="E20" s="687">
        <f>transport!D14</f>
        <v>8.2409919307093311</v>
      </c>
      <c r="F20" s="687">
        <f>transport!E14</f>
        <v>924.13065777521751</v>
      </c>
      <c r="G20" s="687">
        <f>transport!F14</f>
        <v>0</v>
      </c>
      <c r="H20" s="687">
        <f>transport!G14</f>
        <v>161161.26805234843</v>
      </c>
      <c r="I20" s="687">
        <f>transport!H14</f>
        <v>28141.817578474602</v>
      </c>
      <c r="J20" s="687">
        <f>transport!I14</f>
        <v>0</v>
      </c>
      <c r="K20" s="687">
        <f>transport!J14</f>
        <v>0</v>
      </c>
      <c r="L20" s="687">
        <f>transport!K14</f>
        <v>0</v>
      </c>
      <c r="M20" s="687">
        <f>transport!L14</f>
        <v>0</v>
      </c>
      <c r="N20" s="687">
        <f>transport!M14</f>
        <v>8261.297507590667</v>
      </c>
      <c r="O20" s="687">
        <f>transport!N14</f>
        <v>0</v>
      </c>
      <c r="P20" s="687">
        <f>transport!O14</f>
        <v>0</v>
      </c>
      <c r="Q20" s="688">
        <f>transport!P14</f>
        <v>0</v>
      </c>
      <c r="R20" s="690">
        <f>SUM(C20:Q20)</f>
        <v>198498.50742913753</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1.7526410179010532</v>
      </c>
      <c r="D22" s="805">
        <f t="shared" ref="D22:R22" si="1">SUM(D18:D21)</f>
        <v>0</v>
      </c>
      <c r="E22" s="805">
        <f t="shared" si="1"/>
        <v>8.2409919307093311</v>
      </c>
      <c r="F22" s="805">
        <f t="shared" si="1"/>
        <v>924.13065777521751</v>
      </c>
      <c r="G22" s="805">
        <f t="shared" si="1"/>
        <v>0</v>
      </c>
      <c r="H22" s="805">
        <f t="shared" si="1"/>
        <v>163186.67553296598</v>
      </c>
      <c r="I22" s="805">
        <f t="shared" si="1"/>
        <v>28141.817578474602</v>
      </c>
      <c r="J22" s="805">
        <f t="shared" si="1"/>
        <v>0</v>
      </c>
      <c r="K22" s="805">
        <f t="shared" si="1"/>
        <v>0</v>
      </c>
      <c r="L22" s="805">
        <f t="shared" si="1"/>
        <v>0</v>
      </c>
      <c r="M22" s="805">
        <f t="shared" si="1"/>
        <v>0</v>
      </c>
      <c r="N22" s="805">
        <f t="shared" si="1"/>
        <v>8347.6318291540556</v>
      </c>
      <c r="O22" s="805">
        <f t="shared" si="1"/>
        <v>0</v>
      </c>
      <c r="P22" s="805">
        <f t="shared" si="1"/>
        <v>0</v>
      </c>
      <c r="Q22" s="805">
        <f t="shared" si="1"/>
        <v>0</v>
      </c>
      <c r="R22" s="805">
        <f t="shared" si="1"/>
        <v>200610.24923131848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3494.6323970917883</v>
      </c>
      <c r="D24" s="687">
        <f>+landbouw!C8</f>
        <v>7515</v>
      </c>
      <c r="E24" s="687">
        <f>+landbouw!D8</f>
        <v>1612.8068184992462</v>
      </c>
      <c r="F24" s="687">
        <f>+landbouw!E8</f>
        <v>36.596547019406955</v>
      </c>
      <c r="G24" s="687">
        <f>+landbouw!F8</f>
        <v>14959.68201623184</v>
      </c>
      <c r="H24" s="687">
        <f>+landbouw!G8</f>
        <v>0</v>
      </c>
      <c r="I24" s="687">
        <f>+landbouw!H8</f>
        <v>0</v>
      </c>
      <c r="J24" s="687">
        <f>+landbouw!I8</f>
        <v>0</v>
      </c>
      <c r="K24" s="687">
        <f>+landbouw!J8</f>
        <v>312.10199598483024</v>
      </c>
      <c r="L24" s="687">
        <f>+landbouw!K8</f>
        <v>0</v>
      </c>
      <c r="M24" s="687">
        <f>+landbouw!L8</f>
        <v>0</v>
      </c>
      <c r="N24" s="687">
        <f>+landbouw!M8</f>
        <v>0</v>
      </c>
      <c r="O24" s="687">
        <f>+landbouw!N8</f>
        <v>0</v>
      </c>
      <c r="P24" s="687">
        <f>+landbouw!O8</f>
        <v>0</v>
      </c>
      <c r="Q24" s="688">
        <f>+landbouw!P8</f>
        <v>0</v>
      </c>
      <c r="R24" s="690">
        <f>SUM(C24:Q24)</f>
        <v>27930.819774827112</v>
      </c>
      <c r="S24" s="67"/>
    </row>
    <row r="25" spans="1:19" s="456" customFormat="1" ht="15" thickBot="1">
      <c r="A25" s="824" t="s">
        <v>925</v>
      </c>
      <c r="B25" s="988"/>
      <c r="C25" s="989">
        <f>IF(Onbekend_ele_kWh="---",0,Onbekend_ele_kWh)/1000+IF(REST_rest_ele_kWh="---",0,REST_rest_ele_kWh)/1000</f>
        <v>2059.1464248286602</v>
      </c>
      <c r="D25" s="989"/>
      <c r="E25" s="989">
        <f>IF(onbekend_gas_kWh="---",0,onbekend_gas_kWh)/1000+IF(REST_rest_gas_kWh="---",0,REST_rest_gas_kWh)/1000</f>
        <v>5024.6460632749004</v>
      </c>
      <c r="F25" s="989"/>
      <c r="G25" s="989"/>
      <c r="H25" s="989"/>
      <c r="I25" s="989"/>
      <c r="J25" s="989"/>
      <c r="K25" s="989"/>
      <c r="L25" s="989"/>
      <c r="M25" s="989"/>
      <c r="N25" s="989"/>
      <c r="O25" s="989"/>
      <c r="P25" s="989"/>
      <c r="Q25" s="990"/>
      <c r="R25" s="690">
        <f>SUM(C25:Q25)</f>
        <v>7083.7924881035606</v>
      </c>
      <c r="S25" s="67"/>
    </row>
    <row r="26" spans="1:19" s="456" customFormat="1" ht="15.75" thickBot="1">
      <c r="A26" s="693" t="s">
        <v>926</v>
      </c>
      <c r="B26" s="810"/>
      <c r="C26" s="805">
        <f>SUM(C24:C25)</f>
        <v>5553.7788219204485</v>
      </c>
      <c r="D26" s="805">
        <f t="shared" ref="D26:R26" si="2">SUM(D24:D25)</f>
        <v>7515</v>
      </c>
      <c r="E26" s="805">
        <f t="shared" si="2"/>
        <v>6637.4528817741466</v>
      </c>
      <c r="F26" s="805">
        <f t="shared" si="2"/>
        <v>36.596547019406955</v>
      </c>
      <c r="G26" s="805">
        <f t="shared" si="2"/>
        <v>14959.68201623184</v>
      </c>
      <c r="H26" s="805">
        <f t="shared" si="2"/>
        <v>0</v>
      </c>
      <c r="I26" s="805">
        <f t="shared" si="2"/>
        <v>0</v>
      </c>
      <c r="J26" s="805">
        <f t="shared" si="2"/>
        <v>0</v>
      </c>
      <c r="K26" s="805">
        <f t="shared" si="2"/>
        <v>312.10199598483024</v>
      </c>
      <c r="L26" s="805">
        <f t="shared" si="2"/>
        <v>0</v>
      </c>
      <c r="M26" s="805">
        <f t="shared" si="2"/>
        <v>0</v>
      </c>
      <c r="N26" s="805">
        <f t="shared" si="2"/>
        <v>0</v>
      </c>
      <c r="O26" s="805">
        <f t="shared" si="2"/>
        <v>0</v>
      </c>
      <c r="P26" s="805">
        <f t="shared" si="2"/>
        <v>0</v>
      </c>
      <c r="Q26" s="805">
        <f t="shared" si="2"/>
        <v>0</v>
      </c>
      <c r="R26" s="805">
        <f t="shared" si="2"/>
        <v>35014.61226293067</v>
      </c>
      <c r="S26" s="67"/>
    </row>
    <row r="27" spans="1:19" s="456" customFormat="1" ht="17.25" thickTop="1" thickBot="1">
      <c r="A27" s="694" t="s">
        <v>116</v>
      </c>
      <c r="B27" s="797"/>
      <c r="C27" s="695">
        <f ca="1">C22+C16+C26</f>
        <v>241150.00761021656</v>
      </c>
      <c r="D27" s="695">
        <f t="shared" ref="D27:R27" ca="1" si="3">D22+D16+D26</f>
        <v>7515</v>
      </c>
      <c r="E27" s="695">
        <f t="shared" ca="1" si="3"/>
        <v>192232.87095166818</v>
      </c>
      <c r="F27" s="695">
        <f t="shared" si="3"/>
        <v>11427.862176469049</v>
      </c>
      <c r="G27" s="695">
        <f t="shared" ca="1" si="3"/>
        <v>87258.195948972076</v>
      </c>
      <c r="H27" s="695">
        <f t="shared" si="3"/>
        <v>163186.67553296598</v>
      </c>
      <c r="I27" s="695">
        <f t="shared" si="3"/>
        <v>28141.817578474602</v>
      </c>
      <c r="J27" s="695">
        <f t="shared" si="3"/>
        <v>0</v>
      </c>
      <c r="K27" s="695">
        <f t="shared" si="3"/>
        <v>914.35974328516772</v>
      </c>
      <c r="L27" s="695">
        <f t="shared" si="3"/>
        <v>0</v>
      </c>
      <c r="M27" s="695">
        <f t="shared" ca="1" si="3"/>
        <v>0</v>
      </c>
      <c r="N27" s="695">
        <f t="shared" si="3"/>
        <v>8347.6318291540556</v>
      </c>
      <c r="O27" s="695">
        <f t="shared" ca="1" si="3"/>
        <v>31443.38517186189</v>
      </c>
      <c r="P27" s="695">
        <f t="shared" si="3"/>
        <v>136.01000000000002</v>
      </c>
      <c r="Q27" s="695">
        <f t="shared" si="3"/>
        <v>743.6</v>
      </c>
      <c r="R27" s="695">
        <f t="shared" ca="1" si="3"/>
        <v>772497.41654306767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9270.244674605714</v>
      </c>
      <c r="D40" s="687">
        <f ca="1">tertiair!C20</f>
        <v>0</v>
      </c>
      <c r="E40" s="687">
        <f ca="1">tertiair!D20</f>
        <v>6962.4878786142135</v>
      </c>
      <c r="F40" s="687">
        <f>tertiair!E20</f>
        <v>180.37063329129148</v>
      </c>
      <c r="G40" s="687">
        <f ca="1">tertiair!F20</f>
        <v>2075.417782946824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18488.520969458044</v>
      </c>
    </row>
    <row r="41" spans="1:18">
      <c r="A41" s="815" t="s">
        <v>225</v>
      </c>
      <c r="B41" s="822"/>
      <c r="C41" s="687">
        <f ca="1">huishoudens!B12</f>
        <v>9035.6184479890653</v>
      </c>
      <c r="D41" s="687">
        <f ca="1">huishoudens!C12</f>
        <v>0</v>
      </c>
      <c r="E41" s="687">
        <f>huishoudens!D12</f>
        <v>18550.424097960204</v>
      </c>
      <c r="F41" s="687">
        <f>huishoudens!E12</f>
        <v>1957.5141675902894</v>
      </c>
      <c r="G41" s="687">
        <f>huishoudens!F12</f>
        <v>12022.294024280365</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41565.850737819921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32302.944383983773</v>
      </c>
      <c r="D43" s="687">
        <f ca="1">industrie!C22</f>
        <v>0</v>
      </c>
      <c r="E43" s="687">
        <f>industrie!D22</f>
        <v>11975.697793174177</v>
      </c>
      <c r="F43" s="687">
        <f>industrie!E22</f>
        <v>238.15483768851357</v>
      </c>
      <c r="G43" s="687">
        <f>industrie!F22</f>
        <v>5205.9914128144546</v>
      </c>
      <c r="H43" s="687">
        <f>industrie!G22</f>
        <v>0</v>
      </c>
      <c r="I43" s="687">
        <f>industrie!H22</f>
        <v>0</v>
      </c>
      <c r="J43" s="687">
        <f>industrie!I22</f>
        <v>0</v>
      </c>
      <c r="K43" s="687">
        <f>industrie!J22</f>
        <v>213.19924254431945</v>
      </c>
      <c r="L43" s="687">
        <f>industrie!K22</f>
        <v>0</v>
      </c>
      <c r="M43" s="687">
        <f>industrie!L22</f>
        <v>0</v>
      </c>
      <c r="N43" s="687">
        <f>industrie!M22</f>
        <v>0</v>
      </c>
      <c r="O43" s="687">
        <f>industrie!N22</f>
        <v>0</v>
      </c>
      <c r="P43" s="687">
        <f>industrie!O22</f>
        <v>0</v>
      </c>
      <c r="Q43" s="762">
        <f>industrie!P22</f>
        <v>0</v>
      </c>
      <c r="R43" s="842">
        <f t="shared" ca="1" si="4"/>
        <v>49935.987670205228</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50608.807506578552</v>
      </c>
      <c r="D46" s="720">
        <f t="shared" ref="D46:Q46" ca="1" si="5">SUM(D39:D45)</f>
        <v>0</v>
      </c>
      <c r="E46" s="720">
        <f t="shared" ca="1" si="5"/>
        <v>37488.609769748597</v>
      </c>
      <c r="F46" s="720">
        <f t="shared" si="5"/>
        <v>2376.0396385700942</v>
      </c>
      <c r="G46" s="720">
        <f t="shared" ca="1" si="5"/>
        <v>19303.703220041643</v>
      </c>
      <c r="H46" s="720">
        <f t="shared" si="5"/>
        <v>0</v>
      </c>
      <c r="I46" s="720">
        <f t="shared" si="5"/>
        <v>0</v>
      </c>
      <c r="J46" s="720">
        <f t="shared" si="5"/>
        <v>0</v>
      </c>
      <c r="K46" s="720">
        <f t="shared" si="5"/>
        <v>213.19924254431945</v>
      </c>
      <c r="L46" s="720">
        <f t="shared" si="5"/>
        <v>0</v>
      </c>
      <c r="M46" s="720">
        <f t="shared" ca="1" si="5"/>
        <v>0</v>
      </c>
      <c r="N46" s="720">
        <f t="shared" si="5"/>
        <v>0</v>
      </c>
      <c r="O46" s="720">
        <f t="shared" ca="1" si="5"/>
        <v>0</v>
      </c>
      <c r="P46" s="720">
        <f t="shared" si="5"/>
        <v>0</v>
      </c>
      <c r="Q46" s="720">
        <f t="shared" si="5"/>
        <v>0</v>
      </c>
      <c r="R46" s="720">
        <f ca="1">SUM(R39:R45)</f>
        <v>109990.3593774832</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540.78379732488872</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540.78379732488872</v>
      </c>
    </row>
    <row r="50" spans="1:18">
      <c r="A50" s="818" t="s">
        <v>307</v>
      </c>
      <c r="B50" s="828"/>
      <c r="C50" s="995">
        <f ca="1">transport!B18</f>
        <v>0.376490456625305</v>
      </c>
      <c r="D50" s="995">
        <f>transport!C18</f>
        <v>0</v>
      </c>
      <c r="E50" s="995">
        <f>transport!D18</f>
        <v>1.6646803700032851</v>
      </c>
      <c r="F50" s="995">
        <f>transport!E18</f>
        <v>209.77765931497439</v>
      </c>
      <c r="G50" s="995">
        <f>transport!F18</f>
        <v>0</v>
      </c>
      <c r="H50" s="995">
        <f>transport!G18</f>
        <v>43030.058569977031</v>
      </c>
      <c r="I50" s="995">
        <f>transport!H18</f>
        <v>7007.3125770401757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50249.189977158807</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0.376490456625305</v>
      </c>
      <c r="D52" s="720">
        <f t="shared" ref="D52:Q52" ca="1" si="6">SUM(D48:D51)</f>
        <v>0</v>
      </c>
      <c r="E52" s="720">
        <f t="shared" si="6"/>
        <v>1.6646803700032851</v>
      </c>
      <c r="F52" s="720">
        <f t="shared" si="6"/>
        <v>209.77765931497439</v>
      </c>
      <c r="G52" s="720">
        <f t="shared" si="6"/>
        <v>0</v>
      </c>
      <c r="H52" s="720">
        <f t="shared" si="6"/>
        <v>43570.842367301921</v>
      </c>
      <c r="I52" s="720">
        <f t="shared" si="6"/>
        <v>7007.3125770401757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50789.973774483697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750.69323009131483</v>
      </c>
      <c r="D54" s="995">
        <f ca="1">+landbouw!C12</f>
        <v>1785.9176470588238</v>
      </c>
      <c r="E54" s="995">
        <f>+landbouw!D12</f>
        <v>325.78697733684777</v>
      </c>
      <c r="F54" s="995">
        <f>+landbouw!E12</f>
        <v>8.3074161734053789</v>
      </c>
      <c r="G54" s="995">
        <f>+landbouw!F12</f>
        <v>3994.2350983339015</v>
      </c>
      <c r="H54" s="995">
        <f>+landbouw!G12</f>
        <v>0</v>
      </c>
      <c r="I54" s="995">
        <f>+landbouw!H12</f>
        <v>0</v>
      </c>
      <c r="J54" s="995">
        <f>+landbouw!I12</f>
        <v>0</v>
      </c>
      <c r="K54" s="995">
        <f>+landbouw!J12</f>
        <v>110.48410657862991</v>
      </c>
      <c r="L54" s="995">
        <f>+landbouw!K12</f>
        <v>0</v>
      </c>
      <c r="M54" s="995">
        <f>+landbouw!L12</f>
        <v>0</v>
      </c>
      <c r="N54" s="995">
        <f>+landbouw!M12</f>
        <v>0</v>
      </c>
      <c r="O54" s="995">
        <f>+landbouw!N12</f>
        <v>0</v>
      </c>
      <c r="P54" s="995">
        <f>+landbouw!O12</f>
        <v>0</v>
      </c>
      <c r="Q54" s="996">
        <f>+landbouw!P12</f>
        <v>0</v>
      </c>
      <c r="R54" s="719">
        <f ca="1">SUM(C54:Q54)</f>
        <v>6975.4244755729233</v>
      </c>
    </row>
    <row r="55" spans="1:18" ht="15" thickBot="1">
      <c r="A55" s="818" t="s">
        <v>925</v>
      </c>
      <c r="B55" s="828"/>
      <c r="C55" s="995">
        <f ca="1">C25*'EF ele_warmte'!B12</f>
        <v>442.33186934683152</v>
      </c>
      <c r="D55" s="995"/>
      <c r="E55" s="995">
        <f>E25*EF_CO2_aardgas</f>
        <v>1014.97850478153</v>
      </c>
      <c r="F55" s="995"/>
      <c r="G55" s="995"/>
      <c r="H55" s="995"/>
      <c r="I55" s="995"/>
      <c r="J55" s="995"/>
      <c r="K55" s="995"/>
      <c r="L55" s="995"/>
      <c r="M55" s="995"/>
      <c r="N55" s="995"/>
      <c r="O55" s="995"/>
      <c r="P55" s="995"/>
      <c r="Q55" s="996"/>
      <c r="R55" s="719">
        <f ca="1">SUM(C55:Q55)</f>
        <v>1457.3103741283614</v>
      </c>
    </row>
    <row r="56" spans="1:18" ht="15.75" thickBot="1">
      <c r="A56" s="816" t="s">
        <v>926</v>
      </c>
      <c r="B56" s="829"/>
      <c r="C56" s="720">
        <f ca="1">SUM(C54:C55)</f>
        <v>1193.0250994381463</v>
      </c>
      <c r="D56" s="720">
        <f t="shared" ref="D56:Q56" ca="1" si="7">SUM(D54:D55)</f>
        <v>1785.9176470588238</v>
      </c>
      <c r="E56" s="720">
        <f t="shared" si="7"/>
        <v>1340.7654821183778</v>
      </c>
      <c r="F56" s="720">
        <f t="shared" si="7"/>
        <v>8.3074161734053789</v>
      </c>
      <c r="G56" s="720">
        <f t="shared" si="7"/>
        <v>3994.2350983339015</v>
      </c>
      <c r="H56" s="720">
        <f t="shared" si="7"/>
        <v>0</v>
      </c>
      <c r="I56" s="720">
        <f t="shared" si="7"/>
        <v>0</v>
      </c>
      <c r="J56" s="720">
        <f t="shared" si="7"/>
        <v>0</v>
      </c>
      <c r="K56" s="720">
        <f t="shared" si="7"/>
        <v>110.48410657862991</v>
      </c>
      <c r="L56" s="720">
        <f t="shared" si="7"/>
        <v>0</v>
      </c>
      <c r="M56" s="720">
        <f t="shared" si="7"/>
        <v>0</v>
      </c>
      <c r="N56" s="720">
        <f t="shared" si="7"/>
        <v>0</v>
      </c>
      <c r="O56" s="720">
        <f t="shared" si="7"/>
        <v>0</v>
      </c>
      <c r="P56" s="720">
        <f t="shared" si="7"/>
        <v>0</v>
      </c>
      <c r="Q56" s="721">
        <f t="shared" si="7"/>
        <v>0</v>
      </c>
      <c r="R56" s="722">
        <f ca="1">SUM(R54:R55)</f>
        <v>8432.7348497012845</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51802.209096473329</v>
      </c>
      <c r="D61" s="728">
        <f t="shared" ref="D61:Q61" ca="1" si="8">D46+D52+D56</f>
        <v>1785.9176470588238</v>
      </c>
      <c r="E61" s="728">
        <f t="shared" ca="1" si="8"/>
        <v>38831.039932236978</v>
      </c>
      <c r="F61" s="728">
        <f t="shared" si="8"/>
        <v>2594.1247140584737</v>
      </c>
      <c r="G61" s="728">
        <f t="shared" ca="1" si="8"/>
        <v>23297.938318375545</v>
      </c>
      <c r="H61" s="728">
        <f t="shared" si="8"/>
        <v>43570.842367301921</v>
      </c>
      <c r="I61" s="728">
        <f t="shared" si="8"/>
        <v>7007.3125770401757</v>
      </c>
      <c r="J61" s="728">
        <f t="shared" si="8"/>
        <v>0</v>
      </c>
      <c r="K61" s="728">
        <f t="shared" si="8"/>
        <v>323.68334912294938</v>
      </c>
      <c r="L61" s="728">
        <f t="shared" si="8"/>
        <v>0</v>
      </c>
      <c r="M61" s="728">
        <f t="shared" ca="1" si="8"/>
        <v>0</v>
      </c>
      <c r="N61" s="728">
        <f t="shared" si="8"/>
        <v>0</v>
      </c>
      <c r="O61" s="728">
        <f t="shared" ca="1" si="8"/>
        <v>0</v>
      </c>
      <c r="P61" s="728">
        <f t="shared" si="8"/>
        <v>0</v>
      </c>
      <c r="Q61" s="728">
        <f t="shared" si="8"/>
        <v>0</v>
      </c>
      <c r="R61" s="728">
        <f ca="1">R46+R52+R56</f>
        <v>169213.06800166817</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0.21481321775533163</v>
      </c>
      <c r="D63" s="772">
        <f t="shared" ca="1" si="9"/>
        <v>0.23764705882352946</v>
      </c>
      <c r="E63" s="997">
        <f t="shared" ca="1" si="9"/>
        <v>0.20200000000000001</v>
      </c>
      <c r="F63" s="772">
        <f t="shared" si="9"/>
        <v>0.22699999999999998</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7147.124155320008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5260.5</v>
      </c>
      <c r="D76" s="1007">
        <f>'lokale energieproductie'!C8</f>
        <v>6188.8235294117649</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1250.1423529411766</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7147.124155320008</v>
      </c>
      <c r="C78" s="743">
        <f>SUM(C72:C77)</f>
        <v>5260.5</v>
      </c>
      <c r="D78" s="744">
        <f t="shared" ref="D78:H78" si="10">SUM(D76:D77)</f>
        <v>6188.8235294117649</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1250.1423529411766</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7515</v>
      </c>
      <c r="D87" s="765">
        <f>'lokale energieproductie'!C17</f>
        <v>8841.176470588236</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1785.9176470588238</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7515</v>
      </c>
      <c r="D90" s="743">
        <f t="shared" ref="D90:H90" si="12">SUM(D87:D89)</f>
        <v>8841.176470588236</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1785.9176470588238</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7147.124155320008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5260.5</v>
      </c>
      <c r="C8" s="557">
        <f>B101</f>
        <v>6188.8235294117649</v>
      </c>
      <c r="D8" s="985"/>
      <c r="E8" s="985">
        <f>E101</f>
        <v>0</v>
      </c>
      <c r="F8" s="986"/>
      <c r="G8" s="558"/>
      <c r="H8" s="985">
        <f>I101</f>
        <v>0</v>
      </c>
      <c r="I8" s="985">
        <f>G101+F101</f>
        <v>0</v>
      </c>
      <c r="J8" s="985">
        <f>H101+D101+C101</f>
        <v>0</v>
      </c>
      <c r="K8" s="985"/>
      <c r="L8" s="985"/>
      <c r="M8" s="985"/>
      <c r="N8" s="559"/>
      <c r="O8" s="560">
        <f>C8*$C$12+D8*$D$12+E8*$E$12+F8*$F$12+G8*$G$12+H8*$H$12+I8*$I$12+J8*$J$12</f>
        <v>1250.1423529411766</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12407.624155320009</v>
      </c>
      <c r="C10" s="569">
        <f t="shared" ref="C10:L10" si="0">SUM(C8:C9)</f>
        <v>6188.8235294117649</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1250.1423529411766</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7515</v>
      </c>
      <c r="C17" s="581">
        <f>B102</f>
        <v>8841.176470588236</v>
      </c>
      <c r="D17" s="582"/>
      <c r="E17" s="582">
        <f>E102</f>
        <v>0</v>
      </c>
      <c r="F17" s="583"/>
      <c r="G17" s="584"/>
      <c r="H17" s="581">
        <f>I102</f>
        <v>0</v>
      </c>
      <c r="I17" s="582">
        <f>G102+F102</f>
        <v>0</v>
      </c>
      <c r="J17" s="582">
        <f>H102+D102+C102</f>
        <v>0</v>
      </c>
      <c r="K17" s="582"/>
      <c r="L17" s="582"/>
      <c r="M17" s="582"/>
      <c r="N17" s="981"/>
      <c r="O17" s="585">
        <f>C17*$C$22+E17*$E$22+H17*$H$22+I17*$I$22+J17*$J$22+D17*$D$22+F17*$F$22+G17*$G$22+K17*$K$22+L17*$L$22</f>
        <v>1785.9176470588238</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7515</v>
      </c>
      <c r="C20" s="568">
        <f>SUM(C17:C19)</f>
        <v>8841.176470588236</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1785.9176470588238</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25.5">
      <c r="A28" s="593"/>
      <c r="B28" s="788">
        <v>13049</v>
      </c>
      <c r="C28" s="788">
        <v>2260</v>
      </c>
      <c r="D28" s="641" t="s">
        <v>965</v>
      </c>
      <c r="E28" s="640" t="s">
        <v>966</v>
      </c>
      <c r="F28" s="640" t="s">
        <v>967</v>
      </c>
      <c r="G28" s="640" t="s">
        <v>968</v>
      </c>
      <c r="H28" s="640" t="s">
        <v>969</v>
      </c>
      <c r="I28" s="640" t="s">
        <v>966</v>
      </c>
      <c r="J28" s="787">
        <v>39651</v>
      </c>
      <c r="K28" s="787">
        <v>39651</v>
      </c>
      <c r="L28" s="640" t="s">
        <v>970</v>
      </c>
      <c r="M28" s="640">
        <v>1169</v>
      </c>
      <c r="N28" s="640">
        <v>5260.5</v>
      </c>
      <c r="O28" s="640">
        <v>7515</v>
      </c>
      <c r="P28" s="640">
        <v>15030.000000000002</v>
      </c>
      <c r="Q28" s="640">
        <v>0</v>
      </c>
      <c r="R28" s="640">
        <v>0</v>
      </c>
      <c r="S28" s="640">
        <v>0</v>
      </c>
      <c r="T28" s="640">
        <v>0</v>
      </c>
      <c r="U28" s="640">
        <v>0</v>
      </c>
      <c r="V28" s="640">
        <v>0</v>
      </c>
      <c r="W28" s="640">
        <v>0</v>
      </c>
      <c r="X28" s="640">
        <v>10</v>
      </c>
      <c r="Y28" s="640" t="s">
        <v>112</v>
      </c>
      <c r="Z28" s="642" t="s">
        <v>112</v>
      </c>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1169</v>
      </c>
      <c r="N58" s="598">
        <f>SUM(N28:N57)</f>
        <v>5260.5</v>
      </c>
      <c r="O58" s="598">
        <f t="shared" ref="O58:W58" si="2">SUM(O28:O57)</f>
        <v>7515</v>
      </c>
      <c r="P58" s="598">
        <f t="shared" si="2"/>
        <v>15030.000000000002</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1169</v>
      </c>
      <c r="N61" s="603">
        <f t="shared" si="4"/>
        <v>5260.5</v>
      </c>
      <c r="O61" s="603">
        <f t="shared" si="4"/>
        <v>7515</v>
      </c>
      <c r="P61" s="603">
        <f t="shared" si="4"/>
        <v>15030.000000000002</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0.58823529411764708</v>
      </c>
      <c r="C98" s="623">
        <f>IF(ISERROR(N58/(O58+N58)),0,N58/(N58+O58))</f>
        <v>0.41176470588235292</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6188.8235294117649</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8841.176470588236</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42062.674459261965</v>
      </c>
      <c r="C4" s="460">
        <f>huishoudens!C8</f>
        <v>0</v>
      </c>
      <c r="D4" s="460">
        <f>huishoudens!D8</f>
        <v>91833.782663169317</v>
      </c>
      <c r="E4" s="460">
        <f>huishoudens!E8</f>
        <v>8623.4104299131686</v>
      </c>
      <c r="F4" s="460">
        <f>huishoudens!F8</f>
        <v>45027.318442997617</v>
      </c>
      <c r="G4" s="460">
        <f>huishoudens!G8</f>
        <v>0</v>
      </c>
      <c r="H4" s="460">
        <f>huishoudens!H8</f>
        <v>0</v>
      </c>
      <c r="I4" s="460">
        <f>huishoudens!I8</f>
        <v>0</v>
      </c>
      <c r="J4" s="460">
        <f>huishoudens!J8</f>
        <v>0</v>
      </c>
      <c r="K4" s="460">
        <f>huishoudens!K8</f>
        <v>0</v>
      </c>
      <c r="L4" s="460">
        <f>huishoudens!L8</f>
        <v>0</v>
      </c>
      <c r="M4" s="460">
        <f>huishoudens!M8</f>
        <v>0</v>
      </c>
      <c r="N4" s="460">
        <f>huishoudens!N8</f>
        <v>27839.486322138473</v>
      </c>
      <c r="O4" s="460">
        <f>huishoudens!O8</f>
        <v>131.32000000000002</v>
      </c>
      <c r="P4" s="461">
        <f>huishoudens!P8</f>
        <v>743.6</v>
      </c>
      <c r="Q4" s="462">
        <f>SUM(B4:P4)</f>
        <v>216261.59231748056</v>
      </c>
    </row>
    <row r="5" spans="1:17">
      <c r="A5" s="459" t="s">
        <v>156</v>
      </c>
      <c r="B5" s="460">
        <f ca="1">tertiair!B16</f>
        <v>41018.207117266582</v>
      </c>
      <c r="C5" s="460">
        <f ca="1">tertiair!C16</f>
        <v>0</v>
      </c>
      <c r="D5" s="460">
        <f ca="1">tertiair!D16</f>
        <v>34467.761775317886</v>
      </c>
      <c r="E5" s="460">
        <f>tertiair!E16</f>
        <v>794.58428762683468</v>
      </c>
      <c r="F5" s="460">
        <f ca="1">tertiair!F16</f>
        <v>7773.100310662262</v>
      </c>
      <c r="G5" s="460">
        <f>tertiair!G16</f>
        <v>0</v>
      </c>
      <c r="H5" s="460">
        <f>tertiair!H16</f>
        <v>0</v>
      </c>
      <c r="I5" s="460">
        <f>tertiair!I16</f>
        <v>0</v>
      </c>
      <c r="J5" s="460">
        <f>tertiair!J16</f>
        <v>0</v>
      </c>
      <c r="K5" s="460">
        <f>tertiair!K16</f>
        <v>0</v>
      </c>
      <c r="L5" s="460">
        <f ca="1">tertiair!L16</f>
        <v>0</v>
      </c>
      <c r="M5" s="460">
        <f>tertiair!M16</f>
        <v>0</v>
      </c>
      <c r="N5" s="460">
        <f ca="1">tertiair!N16</f>
        <v>1593.7820181624329</v>
      </c>
      <c r="O5" s="460">
        <f>tertiair!O16</f>
        <v>4.6900000000000004</v>
      </c>
      <c r="P5" s="461">
        <f>tertiair!P16</f>
        <v>0</v>
      </c>
      <c r="Q5" s="459">
        <f t="shared" ref="Q5:Q14" ca="1" si="0">SUM(B5:P5)</f>
        <v>85652.125509035992</v>
      </c>
    </row>
    <row r="6" spans="1:17">
      <c r="A6" s="459" t="s">
        <v>194</v>
      </c>
      <c r="B6" s="460">
        <f>'openbare verlichting'!B8</f>
        <v>2136.701</v>
      </c>
      <c r="C6" s="460"/>
      <c r="D6" s="460"/>
      <c r="E6" s="460"/>
      <c r="F6" s="460"/>
      <c r="G6" s="460"/>
      <c r="H6" s="460"/>
      <c r="I6" s="460"/>
      <c r="J6" s="460"/>
      <c r="K6" s="460"/>
      <c r="L6" s="460"/>
      <c r="M6" s="460"/>
      <c r="N6" s="460"/>
      <c r="O6" s="460"/>
      <c r="P6" s="461"/>
      <c r="Q6" s="459">
        <f t="shared" si="0"/>
        <v>2136.701</v>
      </c>
    </row>
    <row r="7" spans="1:17">
      <c r="A7" s="459" t="s">
        <v>112</v>
      </c>
      <c r="B7" s="460">
        <f>landbouw!B8</f>
        <v>3494.6323970917883</v>
      </c>
      <c r="C7" s="460">
        <f>landbouw!C8</f>
        <v>7515</v>
      </c>
      <c r="D7" s="460">
        <f>landbouw!D8</f>
        <v>1612.8068184992462</v>
      </c>
      <c r="E7" s="460">
        <f>landbouw!E8</f>
        <v>36.596547019406955</v>
      </c>
      <c r="F7" s="460">
        <f>landbouw!F8</f>
        <v>14959.68201623184</v>
      </c>
      <c r="G7" s="460">
        <f>landbouw!G8</f>
        <v>0</v>
      </c>
      <c r="H7" s="460">
        <f>landbouw!H8</f>
        <v>0</v>
      </c>
      <c r="I7" s="460">
        <f>landbouw!I8</f>
        <v>0</v>
      </c>
      <c r="J7" s="460">
        <f>landbouw!J8</f>
        <v>312.10199598483024</v>
      </c>
      <c r="K7" s="460">
        <f>landbouw!K8</f>
        <v>0</v>
      </c>
      <c r="L7" s="460">
        <f>landbouw!L8</f>
        <v>0</v>
      </c>
      <c r="M7" s="460">
        <f>landbouw!M8</f>
        <v>0</v>
      </c>
      <c r="N7" s="460">
        <f>landbouw!N8</f>
        <v>0</v>
      </c>
      <c r="O7" s="460">
        <f>landbouw!O8</f>
        <v>0</v>
      </c>
      <c r="P7" s="461">
        <f>landbouw!P8</f>
        <v>0</v>
      </c>
      <c r="Q7" s="459">
        <f t="shared" si="0"/>
        <v>27930.819774827112</v>
      </c>
    </row>
    <row r="8" spans="1:17">
      <c r="A8" s="459" t="s">
        <v>655</v>
      </c>
      <c r="B8" s="460">
        <f>industrie!B18</f>
        <v>150376.89357074967</v>
      </c>
      <c r="C8" s="460">
        <f>industrie!C18</f>
        <v>0</v>
      </c>
      <c r="D8" s="460">
        <f>industrie!D18</f>
        <v>59285.63263947612</v>
      </c>
      <c r="E8" s="460">
        <f>industrie!E18</f>
        <v>1049.140254134421</v>
      </c>
      <c r="F8" s="460">
        <f>industrie!F18</f>
        <v>19498.095179080352</v>
      </c>
      <c r="G8" s="460">
        <f>industrie!G18</f>
        <v>0</v>
      </c>
      <c r="H8" s="460">
        <f>industrie!H18</f>
        <v>0</v>
      </c>
      <c r="I8" s="460">
        <f>industrie!I18</f>
        <v>0</v>
      </c>
      <c r="J8" s="460">
        <f>industrie!J18</f>
        <v>602.25774730033743</v>
      </c>
      <c r="K8" s="460">
        <f>industrie!K18</f>
        <v>0</v>
      </c>
      <c r="L8" s="460">
        <f>industrie!L18</f>
        <v>0</v>
      </c>
      <c r="M8" s="460">
        <f>industrie!M18</f>
        <v>0</v>
      </c>
      <c r="N8" s="460">
        <f>industrie!N18</f>
        <v>2010.1168315609843</v>
      </c>
      <c r="O8" s="460">
        <f>industrie!O18</f>
        <v>0</v>
      </c>
      <c r="P8" s="461">
        <f>industrie!P18</f>
        <v>0</v>
      </c>
      <c r="Q8" s="459">
        <f t="shared" si="0"/>
        <v>232822.13622230192</v>
      </c>
    </row>
    <row r="9" spans="1:17" s="465" customFormat="1">
      <c r="A9" s="463" t="s">
        <v>573</v>
      </c>
      <c r="B9" s="464">
        <f>transport!B14</f>
        <v>1.7526410179010532</v>
      </c>
      <c r="C9" s="464">
        <f>transport!C14</f>
        <v>0</v>
      </c>
      <c r="D9" s="464">
        <f>transport!D14</f>
        <v>8.2409919307093311</v>
      </c>
      <c r="E9" s="464">
        <f>transport!E14</f>
        <v>924.13065777521751</v>
      </c>
      <c r="F9" s="464">
        <f>transport!F14</f>
        <v>0</v>
      </c>
      <c r="G9" s="464">
        <f>transport!G14</f>
        <v>161161.26805234843</v>
      </c>
      <c r="H9" s="464">
        <f>transport!H14</f>
        <v>28141.817578474602</v>
      </c>
      <c r="I9" s="464">
        <f>transport!I14</f>
        <v>0</v>
      </c>
      <c r="J9" s="464">
        <f>transport!J14</f>
        <v>0</v>
      </c>
      <c r="K9" s="464">
        <f>transport!K14</f>
        <v>0</v>
      </c>
      <c r="L9" s="464">
        <f>transport!L14</f>
        <v>0</v>
      </c>
      <c r="M9" s="464">
        <f>transport!M14</f>
        <v>8261.297507590667</v>
      </c>
      <c r="N9" s="464">
        <f>transport!N14</f>
        <v>0</v>
      </c>
      <c r="O9" s="464">
        <f>transport!O14</f>
        <v>0</v>
      </c>
      <c r="P9" s="464">
        <f>transport!P14</f>
        <v>0</v>
      </c>
      <c r="Q9" s="463">
        <f>SUM(B9:P9)</f>
        <v>198498.50742913753</v>
      </c>
    </row>
    <row r="10" spans="1:17">
      <c r="A10" s="459" t="s">
        <v>563</v>
      </c>
      <c r="B10" s="460">
        <f>transport!B54</f>
        <v>0</v>
      </c>
      <c r="C10" s="460">
        <f>transport!C54</f>
        <v>0</v>
      </c>
      <c r="D10" s="460">
        <f>transport!D54</f>
        <v>0</v>
      </c>
      <c r="E10" s="460">
        <f>transport!E54</f>
        <v>0</v>
      </c>
      <c r="F10" s="460">
        <f>transport!F54</f>
        <v>0</v>
      </c>
      <c r="G10" s="460">
        <f>transport!G54</f>
        <v>2025.4074806175609</v>
      </c>
      <c r="H10" s="460">
        <f>transport!H54</f>
        <v>0</v>
      </c>
      <c r="I10" s="460">
        <f>transport!I54</f>
        <v>0</v>
      </c>
      <c r="J10" s="460">
        <f>transport!J54</f>
        <v>0</v>
      </c>
      <c r="K10" s="460">
        <f>transport!K54</f>
        <v>0</v>
      </c>
      <c r="L10" s="460">
        <f>transport!L54</f>
        <v>0</v>
      </c>
      <c r="M10" s="460">
        <f>transport!M54</f>
        <v>86.334321563388869</v>
      </c>
      <c r="N10" s="460">
        <f>transport!N54</f>
        <v>0</v>
      </c>
      <c r="O10" s="460">
        <f>transport!O54</f>
        <v>0</v>
      </c>
      <c r="P10" s="461">
        <f>transport!P54</f>
        <v>0</v>
      </c>
      <c r="Q10" s="459">
        <f t="shared" si="0"/>
        <v>2111.7418021809499</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2059.1464248286602</v>
      </c>
      <c r="C14" s="467"/>
      <c r="D14" s="467">
        <f>'SEAP template'!E25</f>
        <v>5024.6460632749004</v>
      </c>
      <c r="E14" s="467"/>
      <c r="F14" s="467"/>
      <c r="G14" s="467"/>
      <c r="H14" s="467"/>
      <c r="I14" s="467"/>
      <c r="J14" s="467"/>
      <c r="K14" s="467"/>
      <c r="L14" s="467"/>
      <c r="M14" s="467"/>
      <c r="N14" s="467"/>
      <c r="O14" s="467"/>
      <c r="P14" s="468"/>
      <c r="Q14" s="459">
        <f t="shared" si="0"/>
        <v>7083.7924881035606</v>
      </c>
    </row>
    <row r="15" spans="1:17" s="472" customFormat="1">
      <c r="A15" s="469" t="s">
        <v>567</v>
      </c>
      <c r="B15" s="470">
        <f ca="1">SUM(B4:B14)</f>
        <v>241150.00761021653</v>
      </c>
      <c r="C15" s="470">
        <f t="shared" ref="C15:Q15" ca="1" si="1">SUM(C4:C14)</f>
        <v>7515</v>
      </c>
      <c r="D15" s="470">
        <f t="shared" ca="1" si="1"/>
        <v>192232.87095166818</v>
      </c>
      <c r="E15" s="470">
        <f t="shared" si="1"/>
        <v>11427.862176469051</v>
      </c>
      <c r="F15" s="470">
        <f t="shared" ca="1" si="1"/>
        <v>87258.195948972076</v>
      </c>
      <c r="G15" s="470">
        <f t="shared" si="1"/>
        <v>163186.67553296598</v>
      </c>
      <c r="H15" s="470">
        <f t="shared" si="1"/>
        <v>28141.817578474602</v>
      </c>
      <c r="I15" s="470">
        <f t="shared" si="1"/>
        <v>0</v>
      </c>
      <c r="J15" s="470">
        <f t="shared" si="1"/>
        <v>914.35974328516772</v>
      </c>
      <c r="K15" s="470">
        <f t="shared" si="1"/>
        <v>0</v>
      </c>
      <c r="L15" s="470">
        <f t="shared" ca="1" si="1"/>
        <v>0</v>
      </c>
      <c r="M15" s="470">
        <f t="shared" si="1"/>
        <v>8347.6318291540556</v>
      </c>
      <c r="N15" s="470">
        <f t="shared" ca="1" si="1"/>
        <v>31443.38517186189</v>
      </c>
      <c r="O15" s="470">
        <f t="shared" si="1"/>
        <v>136.01000000000002</v>
      </c>
      <c r="P15" s="470">
        <f t="shared" si="1"/>
        <v>743.6</v>
      </c>
      <c r="Q15" s="470">
        <f t="shared" ca="1" si="1"/>
        <v>772497.41654306767</v>
      </c>
    </row>
    <row r="17" spans="1:17">
      <c r="A17" s="473" t="s">
        <v>568</v>
      </c>
      <c r="B17" s="777">
        <f ca="1">huishoudens!B10</f>
        <v>0.2148132177553316</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9035.6184479890653</v>
      </c>
      <c r="C22" s="460">
        <f t="shared" ref="C22:C32" ca="1" si="3">C4*$C$17</f>
        <v>0</v>
      </c>
      <c r="D22" s="460">
        <f t="shared" ref="D22:D32" si="4">D4*$D$17</f>
        <v>18550.424097960204</v>
      </c>
      <c r="E22" s="460">
        <f t="shared" ref="E22:E32" si="5">E4*$E$17</f>
        <v>1957.5141675902894</v>
      </c>
      <c r="F22" s="460">
        <f t="shared" ref="F22:F32" si="6">F4*$F$17</f>
        <v>12022.294024280365</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41565.850737819921</v>
      </c>
    </row>
    <row r="23" spans="1:17">
      <c r="A23" s="459" t="s">
        <v>156</v>
      </c>
      <c r="B23" s="460">
        <f t="shared" ca="1" si="2"/>
        <v>8811.2530574146786</v>
      </c>
      <c r="C23" s="460">
        <f t="shared" ca="1" si="3"/>
        <v>0</v>
      </c>
      <c r="D23" s="460">
        <f t="shared" ca="1" si="4"/>
        <v>6962.4878786142135</v>
      </c>
      <c r="E23" s="460">
        <f t="shared" si="5"/>
        <v>180.37063329129148</v>
      </c>
      <c r="F23" s="460">
        <f t="shared" ca="1" si="6"/>
        <v>2075.417782946824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18029.529352267007</v>
      </c>
    </row>
    <row r="24" spans="1:17">
      <c r="A24" s="459" t="s">
        <v>194</v>
      </c>
      <c r="B24" s="460">
        <f t="shared" ca="1" si="2"/>
        <v>458.99161719103478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458.99161719103478</v>
      </c>
    </row>
    <row r="25" spans="1:17">
      <c r="A25" s="459" t="s">
        <v>112</v>
      </c>
      <c r="B25" s="460">
        <f t="shared" ca="1" si="2"/>
        <v>750.69323009131483</v>
      </c>
      <c r="C25" s="460">
        <f t="shared" ca="1" si="3"/>
        <v>1785.9176470588238</v>
      </c>
      <c r="D25" s="460">
        <f t="shared" si="4"/>
        <v>325.78697733684777</v>
      </c>
      <c r="E25" s="460">
        <f t="shared" si="5"/>
        <v>8.3074161734053789</v>
      </c>
      <c r="F25" s="460">
        <f t="shared" si="6"/>
        <v>3994.2350983339015</v>
      </c>
      <c r="G25" s="460">
        <f t="shared" si="7"/>
        <v>0</v>
      </c>
      <c r="H25" s="460">
        <f t="shared" si="8"/>
        <v>0</v>
      </c>
      <c r="I25" s="460">
        <f t="shared" si="9"/>
        <v>0</v>
      </c>
      <c r="J25" s="460">
        <f t="shared" si="10"/>
        <v>110.48410657862991</v>
      </c>
      <c r="K25" s="460">
        <f t="shared" si="11"/>
        <v>0</v>
      </c>
      <c r="L25" s="460">
        <f t="shared" si="12"/>
        <v>0</v>
      </c>
      <c r="M25" s="460">
        <f t="shared" si="13"/>
        <v>0</v>
      </c>
      <c r="N25" s="460">
        <f t="shared" si="14"/>
        <v>0</v>
      </c>
      <c r="O25" s="460">
        <f t="shared" si="15"/>
        <v>0</v>
      </c>
      <c r="P25" s="461">
        <f t="shared" si="16"/>
        <v>0</v>
      </c>
      <c r="Q25" s="459">
        <f t="shared" ca="1" si="17"/>
        <v>6975.4244755729233</v>
      </c>
    </row>
    <row r="26" spans="1:17">
      <c r="A26" s="459" t="s">
        <v>655</v>
      </c>
      <c r="B26" s="460">
        <f t="shared" ca="1" si="2"/>
        <v>32302.944383983773</v>
      </c>
      <c r="C26" s="460">
        <f t="shared" ca="1" si="3"/>
        <v>0</v>
      </c>
      <c r="D26" s="460">
        <f t="shared" si="4"/>
        <v>11975.697793174177</v>
      </c>
      <c r="E26" s="460">
        <f t="shared" si="5"/>
        <v>238.15483768851357</v>
      </c>
      <c r="F26" s="460">
        <f t="shared" si="6"/>
        <v>5205.9914128144546</v>
      </c>
      <c r="G26" s="460">
        <f t="shared" si="7"/>
        <v>0</v>
      </c>
      <c r="H26" s="460">
        <f t="shared" si="8"/>
        <v>0</v>
      </c>
      <c r="I26" s="460">
        <f t="shared" si="9"/>
        <v>0</v>
      </c>
      <c r="J26" s="460">
        <f t="shared" si="10"/>
        <v>213.19924254431945</v>
      </c>
      <c r="K26" s="460">
        <f t="shared" si="11"/>
        <v>0</v>
      </c>
      <c r="L26" s="460">
        <f t="shared" si="12"/>
        <v>0</v>
      </c>
      <c r="M26" s="460">
        <f t="shared" si="13"/>
        <v>0</v>
      </c>
      <c r="N26" s="460">
        <f t="shared" si="14"/>
        <v>0</v>
      </c>
      <c r="O26" s="460">
        <f t="shared" si="15"/>
        <v>0</v>
      </c>
      <c r="P26" s="461">
        <f t="shared" si="16"/>
        <v>0</v>
      </c>
      <c r="Q26" s="459">
        <f t="shared" ca="1" si="17"/>
        <v>49935.987670205228</v>
      </c>
    </row>
    <row r="27" spans="1:17" s="465" customFormat="1">
      <c r="A27" s="463" t="s">
        <v>573</v>
      </c>
      <c r="B27" s="771">
        <f t="shared" ca="1" si="2"/>
        <v>0.376490456625305</v>
      </c>
      <c r="C27" s="464">
        <f t="shared" ca="1" si="3"/>
        <v>0</v>
      </c>
      <c r="D27" s="464">
        <f t="shared" si="4"/>
        <v>1.6646803700032851</v>
      </c>
      <c r="E27" s="464">
        <f t="shared" si="5"/>
        <v>209.77765931497439</v>
      </c>
      <c r="F27" s="464">
        <f t="shared" si="6"/>
        <v>0</v>
      </c>
      <c r="G27" s="464">
        <f t="shared" si="7"/>
        <v>43030.058569977031</v>
      </c>
      <c r="H27" s="464">
        <f t="shared" si="8"/>
        <v>7007.3125770401757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50249.189977158807</v>
      </c>
    </row>
    <row r="28" spans="1:17">
      <c r="A28" s="459" t="s">
        <v>563</v>
      </c>
      <c r="B28" s="460">
        <f t="shared" ca="1" si="2"/>
        <v>0</v>
      </c>
      <c r="C28" s="460">
        <f t="shared" ca="1" si="3"/>
        <v>0</v>
      </c>
      <c r="D28" s="460">
        <f t="shared" si="4"/>
        <v>0</v>
      </c>
      <c r="E28" s="460">
        <f t="shared" si="5"/>
        <v>0</v>
      </c>
      <c r="F28" s="460">
        <f t="shared" si="6"/>
        <v>0</v>
      </c>
      <c r="G28" s="460">
        <f t="shared" si="7"/>
        <v>540.78379732488872</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540.78379732488872</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442.33186934683152</v>
      </c>
      <c r="C32" s="460">
        <f t="shared" ca="1" si="3"/>
        <v>0</v>
      </c>
      <c r="D32" s="460">
        <f t="shared" si="4"/>
        <v>1014.97850478153</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1457.3103741283614</v>
      </c>
    </row>
    <row r="33" spans="1:17" s="472" customFormat="1">
      <c r="A33" s="469" t="s">
        <v>567</v>
      </c>
      <c r="B33" s="470">
        <f ca="1">SUM(B22:B32)</f>
        <v>51802.209096473329</v>
      </c>
      <c r="C33" s="470">
        <f t="shared" ref="C33:Q33" ca="1" si="19">SUM(C22:C32)</f>
        <v>1785.9176470588238</v>
      </c>
      <c r="D33" s="470">
        <f t="shared" ca="1" si="19"/>
        <v>38831.039932236978</v>
      </c>
      <c r="E33" s="470">
        <f t="shared" si="19"/>
        <v>2594.1247140584737</v>
      </c>
      <c r="F33" s="470">
        <f t="shared" ca="1" si="19"/>
        <v>23297.938318375545</v>
      </c>
      <c r="G33" s="470">
        <f t="shared" si="19"/>
        <v>43570.842367301921</v>
      </c>
      <c r="H33" s="470">
        <f t="shared" si="19"/>
        <v>7007.3125770401757</v>
      </c>
      <c r="I33" s="470">
        <f t="shared" si="19"/>
        <v>0</v>
      </c>
      <c r="J33" s="470">
        <f t="shared" si="19"/>
        <v>323.68334912294938</v>
      </c>
      <c r="K33" s="470">
        <f t="shared" si="19"/>
        <v>0</v>
      </c>
      <c r="L33" s="470">
        <f t="shared" ca="1" si="19"/>
        <v>0</v>
      </c>
      <c r="M33" s="470">
        <f t="shared" si="19"/>
        <v>0</v>
      </c>
      <c r="N33" s="470">
        <f t="shared" ca="1" si="19"/>
        <v>0</v>
      </c>
      <c r="O33" s="470">
        <f t="shared" si="19"/>
        <v>0</v>
      </c>
      <c r="P33" s="470">
        <f t="shared" si="19"/>
        <v>0</v>
      </c>
      <c r="Q33" s="470">
        <f t="shared" ca="1" si="19"/>
        <v>169213.0680016682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7147.124155320008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5260.5</v>
      </c>
      <c r="D8" s="1028">
        <f>'SEAP template'!D76</f>
        <v>6188.8235294117649</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1250.1423529411766</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7147.124155320008</v>
      </c>
      <c r="C10" s="1032">
        <f>SUM(C4:C9)</f>
        <v>5260.5</v>
      </c>
      <c r="D10" s="1032">
        <f t="shared" ref="D10:H10" si="0">SUM(D8:D9)</f>
        <v>6188.8235294117649</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1250.1423529411766</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0.2148132177553316</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7515</v>
      </c>
      <c r="D17" s="1029">
        <f>'SEAP template'!D87</f>
        <v>8841.176470588236</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1785.9176470588238</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7515</v>
      </c>
      <c r="D20" s="1032">
        <f t="shared" ref="D20:H20" si="2">SUM(D17:D19)</f>
        <v>8841.176470588236</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1785.9176470588238</v>
      </c>
    </row>
    <row r="22" spans="1:16">
      <c r="A22" s="473" t="s">
        <v>946</v>
      </c>
      <c r="B22" s="777" t="s">
        <v>940</v>
      </c>
      <c r="C22" s="777">
        <f ca="1">'EF ele_warmte'!B22</f>
        <v>0.23764705882352946</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0.2148132177553316</v>
      </c>
      <c r="C17" s="509">
        <f ca="1">'EF ele_warmte'!B22</f>
        <v>0.23764705882352946</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2</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3.1266666666666669</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2019-08-12T09:19:52Z</dcterms:modified>
</cp:coreProperties>
</file>