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B17"/>
  <c r="B20" s="1"/>
  <c r="L20"/>
  <c r="O19"/>
  <c r="B10"/>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O78" i="14"/>
  <c r="O9" i="55"/>
  <c r="C77" i="14"/>
  <c r="C9" i="55" s="1"/>
  <c r="F9"/>
  <c r="N78" i="14"/>
  <c r="N9" i="55"/>
  <c r="N10" s="1"/>
  <c r="M90" i="14"/>
  <c r="M17" i="55"/>
  <c r="M20" s="1"/>
  <c r="P32" i="48"/>
  <c r="G101" i="18"/>
  <c r="I8" s="1"/>
  <c r="K22" i="14"/>
  <c r="D22"/>
  <c r="L22"/>
  <c r="G10" i="55"/>
  <c r="L20"/>
  <c r="P31" i="48"/>
  <c r="D14"/>
  <c r="C101" i="18"/>
  <c r="F90" i="14"/>
  <c r="F18" i="55"/>
  <c r="N90" i="14"/>
  <c r="N18" i="55"/>
  <c r="N20" s="1"/>
  <c r="F20"/>
  <c r="L90" i="14"/>
  <c r="O20" i="55"/>
  <c r="B14" i="48"/>
  <c r="F101" i="18"/>
  <c r="R9" i="14"/>
  <c r="O10" i="55"/>
  <c r="H20"/>
  <c r="P24" i="48"/>
  <c r="B101" i="18"/>
  <c r="C8" s="1"/>
  <c r="D76" i="14" s="1"/>
  <c r="D78" s="1"/>
  <c r="E90"/>
  <c r="E18" i="55"/>
  <c r="E20" s="1"/>
  <c r="H90" i="14"/>
  <c r="F76"/>
  <c r="K20" i="55"/>
  <c r="M22" i="14"/>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P9" i="55" l="1"/>
  <c r="F8"/>
  <c r="F10" s="1"/>
  <c r="F78" i="14"/>
  <c r="Q76"/>
  <c r="P8" i="55" s="1"/>
  <c r="D8"/>
  <c r="D10" s="1"/>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B90" i="14" l="1"/>
  <c r="B17" i="55"/>
  <c r="B20" s="1"/>
  <c r="C90" i="14"/>
  <c r="C17" i="55"/>
  <c r="C20" s="1"/>
  <c r="H5" i="48"/>
  <c r="I10" i="14"/>
  <c r="I16" s="1"/>
  <c r="H10"/>
  <c r="H16" s="1"/>
  <c r="G5" i="48"/>
  <c r="C78" i="14"/>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E30"/>
  <c r="E24"/>
  <c r="E32"/>
  <c r="E29"/>
  <c r="E28"/>
  <c r="E31"/>
  <c r="D30"/>
  <c r="D24"/>
  <c r="D28"/>
  <c r="D31"/>
  <c r="D29"/>
  <c r="D32"/>
  <c r="J10" i="14"/>
  <c r="J16" s="1"/>
  <c r="J27" s="1"/>
  <c r="I5" i="48"/>
  <c r="Q11" i="14"/>
  <c r="P4" i="48"/>
  <c r="P11" i="14"/>
  <c r="O4" i="48"/>
  <c r="N10" i="14"/>
  <c r="N16" s="1"/>
  <c r="M5" i="48"/>
  <c r="N32"/>
  <c r="N27"/>
  <c r="N29"/>
  <c r="N24"/>
  <c r="N31"/>
  <c r="N30"/>
  <c r="N28"/>
  <c r="L10" i="14"/>
  <c r="L16" s="1"/>
  <c r="L27" s="1"/>
  <c r="K5" i="48"/>
  <c r="P5"/>
  <c r="P23" s="1"/>
  <c r="Q10" i="14"/>
  <c r="K30" i="48"/>
  <c r="K32"/>
  <c r="K29"/>
  <c r="K27"/>
  <c r="K26"/>
  <c r="K28"/>
  <c r="K25"/>
  <c r="K24"/>
  <c r="K31"/>
  <c r="K22"/>
  <c r="B10"/>
  <c r="C19" i="14"/>
  <c r="D4" i="48"/>
  <c r="D22" s="1"/>
  <c r="E11" i="14"/>
  <c r="H30" i="48"/>
  <c r="H32"/>
  <c r="H26"/>
  <c r="H25"/>
  <c r="H22"/>
  <c r="H24"/>
  <c r="H29"/>
  <c r="H28"/>
  <c r="H23"/>
  <c r="C18" i="16"/>
  <c r="B4" i="48"/>
  <c r="C11" i="14"/>
  <c r="B7" i="48"/>
  <c r="C24" i="14"/>
  <c r="C26" s="1"/>
  <c r="M30" i="48"/>
  <c r="M24"/>
  <c r="M32"/>
  <c r="M26"/>
  <c r="M25"/>
  <c r="M29"/>
  <c r="M22"/>
  <c r="L32"/>
  <c r="L28"/>
  <c r="L24"/>
  <c r="L22"/>
  <c r="L30"/>
  <c r="L27"/>
  <c r="L31"/>
  <c r="L29"/>
  <c r="J32"/>
  <c r="J29"/>
  <c r="J27"/>
  <c r="J31"/>
  <c r="J24"/>
  <c r="J30"/>
  <c r="J28"/>
  <c r="I26"/>
  <c r="I24"/>
  <c r="I27"/>
  <c r="I30"/>
  <c r="I32"/>
  <c r="I28"/>
  <c r="I31"/>
  <c r="I29"/>
  <c r="I25"/>
  <c r="I22"/>
  <c r="H12" i="22"/>
  <c r="H13" i="48"/>
  <c r="H31" s="1"/>
  <c r="I18" i="14"/>
  <c r="C4" i="48"/>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G12" i="22"/>
  <c r="G13" i="48"/>
  <c r="H18" i="14"/>
  <c r="I15" i="48"/>
  <c r="I23"/>
  <c r="K33"/>
  <c r="L46" i="14"/>
  <c r="L61" s="1"/>
  <c r="L63" s="1"/>
  <c r="J63"/>
  <c r="O22" i="48"/>
  <c r="P10" i="14"/>
  <c r="O5" i="48"/>
  <c r="O23" s="1"/>
  <c r="M13"/>
  <c r="M31" s="1"/>
  <c r="N18" i="14"/>
  <c r="I20"/>
  <c r="I22" s="1"/>
  <c r="I27" s="1"/>
  <c r="H9" i="48"/>
  <c r="M23"/>
  <c r="F4"/>
  <c r="F22" s="1"/>
  <c r="G11" i="14"/>
  <c r="P22" i="16"/>
  <c r="Q43" i="14" s="1"/>
  <c r="Q13"/>
  <c r="P8" i="48"/>
  <c r="P26" s="1"/>
  <c r="D16" i="15"/>
  <c r="Q16" i="14"/>
  <c r="Q27" s="1"/>
  <c r="P22" i="48"/>
  <c r="I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G9"/>
  <c r="H20" i="14"/>
  <c r="H22" s="1"/>
  <c r="H27" s="1"/>
  <c r="C20"/>
  <c r="B9" i="48"/>
  <c r="Q13"/>
  <c r="G31"/>
  <c r="F20" i="14"/>
  <c r="F22" s="1"/>
  <c r="E9" i="48"/>
  <c r="E27" s="1"/>
  <c r="H27"/>
  <c r="H33" s="1"/>
  <c r="H15"/>
  <c r="D9"/>
  <c r="D27" s="1"/>
  <c r="E20" i="14"/>
  <c r="E22" s="1"/>
  <c r="P13"/>
  <c r="O8" i="48"/>
  <c r="O26" s="1"/>
  <c r="C15"/>
  <c r="P15"/>
  <c r="R18" i="14"/>
  <c r="Q46"/>
  <c r="Q61" s="1"/>
  <c r="Q63" s="1"/>
  <c r="P33" i="48"/>
  <c r="O15"/>
  <c r="M10"/>
  <c r="M28" s="1"/>
  <c r="N19" i="14"/>
  <c r="E12" i="13"/>
  <c r="F41" i="14" s="1"/>
  <c r="F11"/>
  <c r="E4" i="48"/>
  <c r="O33"/>
  <c r="J4"/>
  <c r="J22" s="1"/>
  <c r="K11" i="14"/>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G27"/>
  <c r="G15"/>
  <c r="H52" i="14"/>
  <c r="H61" s="1"/>
  <c r="H63" s="1"/>
  <c r="R11"/>
  <c r="M18" i="22"/>
  <c r="N50" i="14" s="1"/>
  <c r="M9" i="48"/>
  <c r="N20" i="14"/>
  <c r="N22" s="1"/>
  <c r="N27" s="1"/>
  <c r="C22"/>
  <c r="E22" i="48"/>
  <c r="Q4"/>
  <c r="D15"/>
  <c r="Q9"/>
  <c r="J5"/>
  <c r="K10" i="14"/>
  <c r="E20" i="15"/>
  <c r="F40" i="14" s="1"/>
  <c r="E5" i="48"/>
  <c r="F10" i="14"/>
  <c r="L15" i="48"/>
  <c r="Q7"/>
  <c r="R24" i="14"/>
  <c r="R26" s="1"/>
  <c r="J18" i="16"/>
  <c r="N18"/>
  <c r="E18"/>
  <c r="F18"/>
  <c r="F22" s="1"/>
  <c r="G43" i="14" s="1"/>
  <c r="N63" l="1"/>
  <c r="M27" i="48"/>
  <c r="M33" s="1"/>
  <c r="M15"/>
  <c r="R20" i="14"/>
  <c r="R22" s="1"/>
  <c r="G33" i="48"/>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<sst xmlns="http://schemas.openxmlformats.org/spreadsheetml/2006/main" count="2514" uniqueCount="977">
  <si>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</si>
  <si>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</si>
  <si>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</si>
  <si>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</si>
  <si>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</si>
  <si>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</si>
  <si>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</si>
  <si>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</si>
  <si>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</si>
  <si>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</si>
  <si>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</si>
  <si>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</si>
  <si>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</si>
  <si>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</si>
  <si>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</si>
  <si>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</si>
  <si>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</si>
  <si>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</si>
  <si>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</si>
  <si>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</si>
  <si>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</si>
  <si>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</si>
  <si>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</si>
  <si>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</si>
  <si>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</si>
  <si>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</si>
  <si>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</si>
  <si>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</si>
  <si>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</si>
  <si>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</si>
  <si>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</si>
  <si>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</si>
  <si>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</si>
  <si>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</si>
  <si>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</si>
  <si>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</si>
  <si>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</si>
  <si>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</si>
  <si>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</si>
  <si>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</si>
  <si>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</si>
  <si>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</si>
  <si>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</si>
  <si>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</si>
  <si>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</si>
  <si>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</si>
  <si>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</si>
  <si>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</si>
  <si>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</si>
  <si>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</si>
  <si>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</si>
  <si>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</si>
  <si>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</si>
  <si>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</si>
  <si>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</si>
  <si>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</si>
  <si>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</si>
  <si>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</si>
  <si>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</si>
  <si>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</si>
  <si>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</si>
  <si>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</si>
  <si>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</si>
  <si>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</si>
  <si>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</si>
  <si>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</si>
  <si>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</si>
  <si>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</si>
  <si>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</si>
  <si>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</si>
  <si>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</si>
  <si>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</si>
  <si>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</si>
  <si>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</si>
  <si>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</si>
  <si>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</si>
  <si>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</si>
  <si>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</si>
  <si>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</si>
  <si>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</si>
  <si>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</si>
  <si>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</si>
  <si>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</si>
  <si>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</si>
  <si>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</si>
  <si>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</si>
  <si>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</si>
  <si>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</si>
  <si>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</si>
  <si>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</si>
  <si>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</si>
  <si>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</si>
  <si>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</si>
  <si>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</si>
  <si>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</si>
  <si>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</si>
  <si>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</si>
  <si>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</si>
  <si>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</si>
  <si>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</si>
  <si>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</si>
  <si>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</si>
  <si>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</si>
  <si>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</si>
  <si>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</si>
  <si>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</si>
  <si>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</si>
  <si>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</si>
  <si>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</si>
  <si>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</si>
  <si>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</si>
  <si>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</si>
  <si>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</si>
  <si>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</si>
  <si>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</si>
  <si>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</si>
  <si>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</si>
  <si>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</si>
  <si>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</si>
  <si>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</si>
  <si>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</si>
  <si>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</si>
  <si>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</si>
  <si>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</si>
  <si>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</si>
  <si>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</si>
  <si>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</si>
  <si>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</si>
  <si>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</si>
  <si>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</si>
  <si>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</si>
  <si>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</si>
  <si>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</si>
  <si>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</si>
  <si>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</si>
  <si>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</si>
  <si>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</si>
  <si>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</si>
  <si>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</si>
  <si>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</si>
  <si>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</si>
  <si>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</si>
  <si>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</si>
  <si>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</si>
  <si>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</si>
  <si>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</si>
  <si>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</si>
  <si>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</si>
  <si>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</si>
  <si>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</si>
  <si>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</si>
  <si>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</si>
  <si>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</si>
  <si>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</si>
  <si>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</si>
  <si>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</si>
  <si>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</si>
  <si>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</si>
  <si>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</si>
  <si>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</si>
  <si>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</si>
  <si>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</si>
  <si>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</si>
  <si>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</si>
  <si>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</si>
  <si>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</si>
  <si>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</si>
  <si>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</si>
  <si>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</si>
  <si>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</si>
  <si>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</si>
  <si>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</si>
  <si>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</si>
  <si>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</si>
  <si>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</si>
  <si>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</si>
  <si>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</si>
  <si>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</si>
  <si>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</si>
  <si>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</si>
  <si>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</si>
  <si>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</si>
  <si>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</si>
  <si>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</si>
  <si>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</si>
  <si>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</si>
  <si>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</si>
  <si>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</si>
  <si>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</si>
  <si>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</si>
  <si>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</si>
  <si>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</si>
  <si>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</si>
  <si>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</si>
  <si>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</si>
  <si>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</si>
  <si>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</si>
  <si>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</si>
  <si>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</si>
  <si>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</si>
  <si>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</si>
  <si>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</si>
  <si>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</si>
  <si>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</si>
  <si>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</si>
  <si>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</si>
  <si>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</si>
  <si>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</si>
  <si>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</si>
  <si>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</si>
  <si>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</si>
  <si>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</si>
  <si>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</si>
  <si>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</si>
  <si>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</si>
  <si>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</si>
  <si>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</si>
  <si>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</si>
  <si>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</si>
  <si>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</si>
  <si>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</si>
  <si>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</si>
  <si>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</si>
  <si>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</si>
  <si>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</si>
  <si>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</si>
  <si>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</si>
  <si>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</si>
  <si>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</si>
  <si>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</si>
  <si>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</si>
  <si>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</si>
  <si>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</si>
  <si>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</si>
  <si>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</si>
  <si>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</si>
  <si>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</si>
  <si>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</si>
  <si>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</si>
  <si>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</si>
  <si>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</si>
  <si>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</si>
  <si>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</si>
  <si>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</si>
  <si>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</si>
  <si>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</si>
  <si>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</si>
  <si>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</si>
  <si>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</si>
  <si>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</si>
  <si>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</si>
  <si>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</si>
  <si>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</si>
  <si>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</si>
  <si>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</si>
  <si>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</si>
  <si>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</si>
  <si>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</si>
  <si>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</si>
  <si>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</si>
  <si>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</si>
  <si>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</si>
  <si>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</si>
  <si>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</si>
  <si>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</si>
  <si>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</si>
  <si>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</si>
  <si>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</si>
  <si>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</si>
  <si>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</si>
  <si>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</si>
  <si>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</si>
  <si>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</si>
  <si>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</si>
  <si>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</si>
  <si>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</si>
  <si>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</si>
  <si>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</si>
  <si>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</si>
  <si>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</si>
  <si>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</si>
  <si>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</si>
  <si>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</si>
  <si>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</si>
  <si>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</si>
  <si>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</si>
  <si>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</si>
  <si>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</si>
  <si>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</si>
  <si>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</si>
  <si>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</si>
  <si>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</si>
  <si>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</si>
  <si>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</si>
  <si>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</si>
  <si>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</si>
  <si>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</si>
  <si>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</si>
  <si>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</si>
  <si>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</si>
  <si>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</si>
  <si>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</si>
  <si>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</si>
  <si>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</si>
  <si>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</si>
  <si>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</si>
  <si>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</si>
  <si>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</si>
  <si>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</si>
  <si>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</si>
  <si>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</si>
  <si>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</si>
  <si>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</si>
  <si>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</si>
  <si>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</si>
  <si>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</si>
  <si>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</si>
  <si>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</si>
  <si>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</si>
  <si>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</si>
  <si>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</si>
  <si>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</si>
  <si>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</si>
  <si>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</si>
  <si>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</si>
  <si>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</si>
  <si>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</si>
  <si>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</si>
  <si>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</si>
  <si>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</si>
  <si>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</si>
  <si>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</si>
  <si>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</si>
  <si>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</si>
  <si>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</si>
  <si>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</si>
  <si>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</si>
  <si>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</si>
  <si>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</si>
  <si>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</si>
  <si>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</si>
  <si>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</si>
  <si>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</si>
  <si>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</si>
  <si>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</si>
  <si>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</si>
  <si>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</si>
  <si>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</si>
  <si>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</si>
  <si>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</si>
  <si>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</si>
  <si>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</si>
  <si>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</si>
  <si>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</si>
  <si>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</si>
  <si>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</si>
  <si>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</si>
  <si>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</si>
  <si>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</si>
  <si>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</si>
  <si>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</si>
  <si>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</si>
  <si>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</si>
  <si>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</si>
  <si>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</si>
  <si>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</si>
  <si>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</si>
  <si>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</si>
  <si>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</si>
  <si>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</si>
  <si>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</si>
  <si>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</si>
  <si>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</si>
  <si>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</si>
  <si>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</si>
  <si>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</si>
  <si>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</si>
  <si>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</si>
  <si>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</si>
  <si>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</si>
  <si>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</si>
  <si>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</si>
  <si>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</si>
  <si>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</si>
  <si>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</si>
  <si>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</si>
  <si>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</si>
  <si>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</si>
  <si>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</si>
  <si>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</si>
  <si>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</si>
  <si>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</si>
  <si>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</si>
  <si>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</si>
  <si>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</si>
  <si>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</si>
  <si>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</si>
  <si>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</si>
  <si>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</si>
  <si>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</si>
  <si>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</si>
  <si>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</si>
  <si>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</si>
  <si>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</si>
  <si>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</si>
  <si>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</si>
  <si>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</si>
  <si>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</si>
  <si>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</si>
  <si>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</si>
  <si>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</si>
  <si>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</si>
  <si>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</si>
  <si>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</si>
  <si>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</si>
  <si>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</si>
  <si>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</si>
  <si>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</si>
  <si>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</si>
  <si>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</si>
  <si>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</si>
  <si>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</si>
  <si>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</si>
  <si>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</si>
  <si>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</si>
  <si>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</si>
  <si>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</si>
  <si>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</si>
  <si>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</si>
  <si>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</si>
  <si>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</si>
  <si>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</si>
  <si>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</si>
  <si>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</si>
  <si>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</si>
  <si>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</si>
  <si>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</si>
  <si>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</si>
  <si>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</si>
  <si>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</si>
  <si>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</si>
  <si>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</si>
  <si>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</si>
  <si>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</si>
  <si>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</si>
  <si>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</si>
  <si>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</si>
  <si>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</si>
  <si>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</si>
  <si>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</si>
  <si>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</si>
  <si>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</si>
  <si>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</si>
  <si>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</si>
  <si>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</si>
  <si>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</si>
  <si>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</si>
  <si>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</si>
  <si>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</si>
  <si>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</si>
  <si>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</si>
  <si>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</si>
  <si>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</si>
  <si>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</si>
  <si>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</si>
  <si>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</si>
  <si>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</si>
  <si>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</si>
  <si>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</si>
  <si>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</si>
  <si>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</si>
  <si>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</si>
  <si>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</si>
  <si>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</si>
  <si>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</si>
  <si>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</si>
  <si>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</si>
  <si>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</si>
  <si>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</si>
  <si>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</si>
  <si>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</si>
  <si>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</si>
  <si>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</si>
  <si>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</si>
  <si>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</si>
  <si>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</si>
  <si>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</si>
  <si>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</si>
  <si>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</si>
  <si>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</si>
  <si>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</si>
  <si>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</si>
  <si>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</si>
  <si>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</si>
  <si>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</si>
  <si>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</si>
  <si>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</si>
  <si>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</si>
  <si>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</si>
  <si>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</si>
  <si>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</si>
  <si>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</si>
  <si>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</si>
  <si>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</si>
  <si>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</si>
  <si>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</si>
  <si>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</si>
  <si>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</si>
  <si>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</si>
  <si>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</si>
  <si>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</si>
  <si>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</si>
  <si>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</si>
  <si>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</si>
  <si>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</si>
  <si>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</si>
  <si>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</si>
  <si>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</si>
  <si>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</si>
  <si>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</si>
  <si>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</si>
  <si>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</si>
  <si>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</si>
  <si>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</si>
  <si>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</si>
  <si>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</si>
  <si>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</si>
  <si>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</si>
  <si>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</si>
  <si>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</si>
  <si>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</si>
  <si>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</si>
  <si>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</si>
  <si>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</si>
  <si>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</si>
  <si>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</si>
  <si>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</si>
  <si>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</si>
  <si>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</si>
  <si>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</si>
  <si>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</si>
  <si>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</si>
  <si>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</si>
  <si>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</si>
  <si>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</si>
  <si>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</si>
  <si>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</si>
  <si>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</si>
  <si>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</si>
  <si>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</si>
  <si>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</si>
  <si>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</si>
  <si>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</si>
  <si>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</si>
  <si>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</si>
  <si>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</si>
  <si>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</si>
  <si>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</si>
  <si>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</si>
  <si>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</si>
  <si>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</si>
  <si>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</si>
  <si>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</si>
  <si>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</si>
  <si>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</si>
  <si>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</si>
  <si>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</si>
  <si>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</si>
  <si>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</si>
  <si>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</si>
  <si>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</si>
  <si>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</si>
  <si>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</si>
  <si>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</si>
  <si>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</si>
  <si>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</si>
  <si>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</si>
  <si>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</si>
  <si>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</si>
  <si>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</si>
  <si>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</si>
  <si>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</si>
  <si>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</si>
  <si>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</si>
  <si>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</si>
  <si>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</si>
  <si>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</si>
  <si>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</si>
  <si>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</si>
  <si>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</si>
  <si>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</si>
  <si>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</si>
  <si>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</si>
  <si>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</si>
  <si>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</si>
  <si>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</si>
  <si>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</si>
  <si>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</si>
  <si>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</si>
  <si>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</si>
  <si>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</si>
  <si>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</si>
  <si>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</si>
  <si>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</si>
  <si>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</si>
  <si>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</si>
  <si>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</si>
  <si>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</si>
  <si>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</si>
  <si>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</si>
  <si>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</si>
  <si>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</si>
  <si>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</si>
  <si>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</si>
  <si>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</si>
  <si>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</si>
  <si>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</si>
  <si>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</si>
  <si>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</si>
  <si>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</si>
  <si>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</si>
  <si>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</si>
  <si>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</si>
  <si>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</si>
  <si>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</si>
  <si>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</si>
  <si>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</si>
  <si>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</si>
  <si>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</si>
  <si>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</si>
  <si>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</si>
  <si>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</si>
  <si>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</si>
  <si>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</si>
  <si>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</si>
  <si>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</si>
  <si>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</si>
  <si>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</si>
  <si>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</si>
  <si>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</si>
  <si>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</si>
  <si>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</si>
  <si>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</si>
  <si>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</si>
  <si>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</si>
  <si>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</si>
  <si>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</si>
  <si>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</si>
  <si>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</si>
  <si>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</si>
  <si>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</si>
  <si>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</si>
  <si>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</si>
  <si>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</si>
  <si>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</si>
  <si>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</si>
  <si>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</si>
  <si>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</si>
  <si>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</si>
  <si>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</si>
  <si>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</si>
  <si>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</si>
  <si>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</si>
  <si>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</si>
  <si>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</si>
  <si>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</si>
  <si>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</si>
  <si>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</si>
  <si>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</si>
  <si>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</si>
  <si>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</si>
  <si>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</si>
  <si>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</si>
  <si>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</si>
  <si>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</si>
  <si>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</si>
  <si>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</si>
  <si>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</si>
  <si>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</si>
  <si>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</si>
  <si>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</si>
  <si>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</si>
  <si>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</si>
  <si>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</si>
  <si>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</si>
  <si>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</si>
  <si>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</si>
  <si>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</si>
  <si>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</si>
  <si>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</si>
  <si>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</si>
  <si>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</si>
  <si>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</si>
  <si>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</si>
  <si>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</si>
  <si>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</si>
  <si>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</si>
  <si>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</si>
  <si>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</si>
  <si>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</si>
  <si>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</si>
  <si>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</si>
  <si>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</si>
  <si>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</si>
  <si>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</si>
  <si>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</si>
  <si>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</si>
  <si>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</si>
  <si>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</si>
  <si>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</si>
  <si>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</si>
  <si>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</si>
  <si>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</si>
  <si>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</si>
  <si>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</si>
  <si>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</si>
  <si>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</si>
  <si>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</si>
  <si>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</si>
  <si>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</si>
  <si>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</si>
  <si>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</si>
  <si>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</si>
  <si>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</si>
  <si>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</si>
  <si>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</si>
  <si>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</si>
  <si>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</si>
  <si>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</si>
  <si>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</si>
  <si>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</si>
  <si>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</si>
  <si>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</si>
  <si>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</si>
  <si>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</si>
  <si>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</si>
  <si>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</si>
  <si>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</si>
  <si>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</si>
  <si>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</si>
  <si>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</si>
  <si>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</si>
  <si>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</si>
  <si>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</si>
  <si>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</si>
  <si>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</si>
  <si>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</si>
  <si>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</si>
  <si>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</si>
  <si>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</si>
  <si>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</si>
  <si>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</si>
  <si>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</si>
  <si>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</si>
  <si>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</si>
  <si>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</si>
  <si>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</si>
  <si>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</si>
  <si>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</si>
  <si>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</si>
  <si>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</si>
  <si>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</si>
  <si>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</si>
  <si>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</si>
  <si>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</si>
  <si>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</si>
  <si>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</si>
  <si>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</si>
  <si>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</si>
  <si>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</si>
  <si>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</si>
  <si>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</si>
  <si>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</si>
  <si>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</si>
  <si>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</si>
  <si>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</si>
  <si>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</si>
  <si>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</si>
  <si>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</si>
  <si>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</si>
  <si>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</si>
  <si>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</si>
  <si>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</si>
  <si>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</si>
  <si>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</si>
  <si>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</si>
  <si>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</si>
  <si>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</si>
  <si>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</si>
  <si>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</si>
  <si>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</si>
  <si>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</si>
  <si>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</si>
  <si>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</si>
  <si>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</si>
  <si>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</si>
  <si>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</si>
  <si>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</si>
  <si>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</si>
  <si>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</si>
  <si>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</si>
  <si>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</si>
  <si>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</si>
  <si>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</si>
  <si>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</si>
  <si>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</si>
  <si>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</si>
  <si>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</si>
  <si>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</si>
  <si>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</si>
  <si>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</si>
  <si>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</si>
  <si>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</si>
  <si>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</si>
  <si>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</si>
  <si>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</si>
  <si>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</si>
  <si>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</si>
  <si>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</si>
  <si>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</si>
  <si>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</si>
  <si>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</si>
  <si>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</si>
  <si>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</si>
  <si>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</si>
  <si>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</si>
  <si>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</si>
  <si>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</si>
  <si>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</si>
  <si>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</si>
  <si>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</si>
  <si>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</si>
  <si>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</si>
  <si>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</si>
  <si>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</si>
  <si>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</si>
  <si>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</si>
  <si>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</si>
  <si>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</si>
  <si>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</si>
  <si>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</si>
  <si>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</si>
  <si>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</si>
  <si>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</si>
  <si>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</si>
  <si>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</si>
  <si>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</si>
  <si>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</si>
  <si>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</si>
  <si>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</si>
  <si>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</si>
  <si>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</si>
  <si>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</si>
  <si>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</si>
  <si>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</si>
  <si>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</si>
  <si>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</si>
  <si>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</si>
  <si>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</si>
  <si>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</si>
  <si>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</si>
  <si>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</si>
  <si>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</si>
  <si>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</si>
  <si>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</si>
  <si>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</si>
  <si>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</si>
  <si>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</si>
  <si>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</si>
  <si>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</si>
  <si>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</si>
  <si>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</si>
  <si>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</si>
  <si>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</si>
  <si>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</si>
  <si>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</si>
  <si>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</si>
  <si>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</si>
  <si>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</si>
  <si>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</si>
  <si>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</si>
  <si>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</si>
  <si>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</si>
  <si>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</si>
  <si>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</si>
  <si>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</si>
  <si>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</si>
  <si>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</si>
  <si>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</si>
  <si>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</si>
  <si>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</si>
  <si>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</si>
  <si>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</si>
  <si>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</si>
  <si>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</si>
  <si>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</si>
  <si>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</si>
  <si>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</si>
  <si>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</si>
  <si>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</si>
  <si>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</si>
  <si>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</si>
  <si>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</si>
  <si>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</si>
  <si>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</si>
  <si>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</si>
  <si>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</si>
  <si>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</si>
  <si>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</si>
  <si>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</si>
  <si>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</si>
  <si>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</si>
  <si>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</si>
  <si>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</si>
  <si>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</si>
  <si>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</si>
  <si>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</si>
  <si>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</si>
  <si>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</si>
  <si>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</si>
  <si>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</si>
  <si>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</si>
  <si>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</si>
  <si>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</si>
  <si>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</si>
  <si>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</si>
  <si>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</si>
  <si>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</si>
  <si>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</si>
  <si>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</si>
  <si>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</si>
  <si>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</si>
  <si>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</si>
  <si>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</si>
  <si>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</si>
  <si>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</si>
  <si>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</si>
  <si>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</si>
  <si>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</si>
  <si>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</si>
  <si>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</si>
  <si>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</si>
  <si>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</si>
  <si>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</si>
  <si>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</si>
  <si>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</si>
  <si>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</si>
  <si>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</si>
  <si>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</si>
  <si>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</si>
  <si>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</si>
  <si>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</si>
  <si>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</si>
  <si>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</si>
  <si>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</si>
  <si>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</si>
  <si>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13029</t>
  </si>
  <si>
    <t>OLEN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</si>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</sst>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13029</v>
      </c>
      <c r="B6" s="396"/>
      <c r="C6" s="397"/>
    </row>
    <row r="7" spans="1:7" s="394" customFormat="1" ht="15.75" customHeight="1">
      <c r="A7" s="398" t="str">
        <f>txtMunicipality</f>
        <v>OLEN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18396.276648482159</v>
      </c>
      <c r="D10" s="687">
        <f ca="1">tertiair!C16</f>
        <v>0</v>
      </c>
      <c r="E10" s="687">
        <f ca="1">tertiair!D16</f>
        <v>45746.461367331998</v>
      </c>
      <c r="F10" s="687">
        <f>tertiair!E16</f>
        <v>370.80625349689922</v>
      </c>
      <c r="G10" s="687">
        <f ca="1">tertiair!F16</f>
        <v>3095.5937627931194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67610.701365437519</v>
      </c>
      <c r="S10" s="67"/>
    </row>
    <row r="11" spans="1:19" s="456" customFormat="1">
      <c r="A11" s="802" t="s">
        <v>225</v>
      </c>
      <c r="B11" s="807"/>
      <c r="C11" s="687">
        <f>huishoudens!B8</f>
        <v>20057.891446161113</v>
      </c>
      <c r="D11" s="687">
        <f>huishoudens!C8</f>
        <v>0</v>
      </c>
      <c r="E11" s="687">
        <f>huishoudens!D8</f>
        <v>48276.980037441921</v>
      </c>
      <c r="F11" s="687">
        <f>huishoudens!E8</f>
        <v>7344.8267184118167</v>
      </c>
      <c r="G11" s="687">
        <f>huishoudens!F8</f>
        <v>15275.130716039954</v>
      </c>
      <c r="H11" s="687">
        <f>huishoudens!G8</f>
        <v>0</v>
      </c>
      <c r="I11" s="687">
        <f>huishoudens!H8</f>
        <v>0</v>
      </c>
      <c r="J11" s="687">
        <f>huishoudens!I8</f>
        <v>0</v>
      </c>
      <c r="K11" s="687">
        <f>huishoudens!J8</f>
        <v>461.84537855635836</v>
      </c>
      <c r="L11" s="687">
        <f>huishoudens!K8</f>
        <v>0</v>
      </c>
      <c r="M11" s="687">
        <f>huishoudens!L8</f>
        <v>0</v>
      </c>
      <c r="N11" s="687">
        <f>huishoudens!M8</f>
        <v>0</v>
      </c>
      <c r="O11" s="687">
        <f>huishoudens!N8</f>
        <v>14033.746582492573</v>
      </c>
      <c r="P11" s="687">
        <f>huishoudens!O8</f>
        <v>168.84</v>
      </c>
      <c r="Q11" s="688">
        <f>huishoudens!P8</f>
        <v>266.93333333333334</v>
      </c>
      <c r="R11" s="690">
        <f>SUM(C11:Q11)</f>
        <v>105886.19421243707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81085.894663371437</v>
      </c>
      <c r="D13" s="687">
        <f>industrie!C18</f>
        <v>0</v>
      </c>
      <c r="E13" s="687">
        <f>industrie!D18</f>
        <v>74932.819653560655</v>
      </c>
      <c r="F13" s="687">
        <f>industrie!E18</f>
        <v>751.98113368912323</v>
      </c>
      <c r="G13" s="687">
        <f>industrie!F18</f>
        <v>16198.974333866945</v>
      </c>
      <c r="H13" s="687">
        <f>industrie!G18</f>
        <v>0</v>
      </c>
      <c r="I13" s="687">
        <f>industrie!H18</f>
        <v>0</v>
      </c>
      <c r="J13" s="687">
        <f>industrie!I18</f>
        <v>0</v>
      </c>
      <c r="K13" s="687">
        <f>industrie!J18</f>
        <v>445.27227129955673</v>
      </c>
      <c r="L13" s="687">
        <f>industrie!K18</f>
        <v>0</v>
      </c>
      <c r="M13" s="687">
        <f>industrie!L18</f>
        <v>0</v>
      </c>
      <c r="N13" s="687">
        <f>industrie!M18</f>
        <v>0</v>
      </c>
      <c r="O13" s="687">
        <f>industrie!N18</f>
        <v>1469.6901173645972</v>
      </c>
      <c r="P13" s="687">
        <f>industrie!O18</f>
        <v>0</v>
      </c>
      <c r="Q13" s="688">
        <f>industrie!P18</f>
        <v>0</v>
      </c>
      <c r="R13" s="690">
        <f>SUM(C13:Q13)</f>
        <v>174884.63217315229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119540.06275801471</v>
      </c>
      <c r="D16" s="720">
        <f t="shared" ref="D16:R16" ca="1" si="0">SUM(D9:D15)</f>
        <v>0</v>
      </c>
      <c r="E16" s="720">
        <f t="shared" ca="1" si="0"/>
        <v>168956.26105833455</v>
      </c>
      <c r="F16" s="720">
        <f t="shared" si="0"/>
        <v>8467.6141055978387</v>
      </c>
      <c r="G16" s="720">
        <f t="shared" ca="1" si="0"/>
        <v>34569.698812700015</v>
      </c>
      <c r="H16" s="720">
        <f t="shared" si="0"/>
        <v>0</v>
      </c>
      <c r="I16" s="720">
        <f t="shared" si="0"/>
        <v>0</v>
      </c>
      <c r="J16" s="720">
        <f t="shared" si="0"/>
        <v>0</v>
      </c>
      <c r="K16" s="720">
        <f t="shared" si="0"/>
        <v>907.11764985591503</v>
      </c>
      <c r="L16" s="720">
        <f t="shared" si="0"/>
        <v>0</v>
      </c>
      <c r="M16" s="720">
        <f t="shared" ca="1" si="0"/>
        <v>0</v>
      </c>
      <c r="N16" s="720">
        <f t="shared" si="0"/>
        <v>0</v>
      </c>
      <c r="O16" s="720">
        <f t="shared" ca="1" si="0"/>
        <v>15503.43669985717</v>
      </c>
      <c r="P16" s="720">
        <f t="shared" si="0"/>
        <v>170.40333333333334</v>
      </c>
      <c r="Q16" s="720">
        <f t="shared" si="0"/>
        <v>266.93333333333334</v>
      </c>
      <c r="R16" s="720">
        <f t="shared" ca="1" si="0"/>
        <v>348381.52775102691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708.63866937072999</v>
      </c>
      <c r="I19" s="687">
        <f>transport!H54</f>
        <v>0</v>
      </c>
      <c r="J19" s="687">
        <f>transport!I54</f>
        <v>0</v>
      </c>
      <c r="K19" s="687">
        <f>transport!J54</f>
        <v>0</v>
      </c>
      <c r="L19" s="687">
        <f>transport!K54</f>
        <v>0</v>
      </c>
      <c r="M19" s="687">
        <f>transport!L54</f>
        <v>0</v>
      </c>
      <c r="N19" s="687">
        <f>transport!M54</f>
        <v>30.206187811180808</v>
      </c>
      <c r="O19" s="687">
        <f>transport!N54</f>
        <v>0</v>
      </c>
      <c r="P19" s="687">
        <f>transport!O54</f>
        <v>0</v>
      </c>
      <c r="Q19" s="688">
        <f>transport!P54</f>
        <v>0</v>
      </c>
      <c r="R19" s="690">
        <f>SUM(C19:Q19)</f>
        <v>738.84485718191081</v>
      </c>
      <c r="S19" s="67"/>
    </row>
    <row r="20" spans="1:19" s="456" customFormat="1">
      <c r="A20" s="802" t="s">
        <v>307</v>
      </c>
      <c r="B20" s="807"/>
      <c r="C20" s="687">
        <f>transport!B14</f>
        <v>1.1624101078086952</v>
      </c>
      <c r="D20" s="687">
        <f>transport!C14</f>
        <v>0</v>
      </c>
      <c r="E20" s="687">
        <f>transport!D14</f>
        <v>5.2954464086640334</v>
      </c>
      <c r="F20" s="687">
        <f>transport!E14</f>
        <v>605.63584142857883</v>
      </c>
      <c r="G20" s="687">
        <f>transport!F14</f>
        <v>0</v>
      </c>
      <c r="H20" s="687">
        <f>transport!G14</f>
        <v>110529.56205691522</v>
      </c>
      <c r="I20" s="687">
        <f>transport!H14</f>
        <v>18202.523728322391</v>
      </c>
      <c r="J20" s="687">
        <f>transport!I14</f>
        <v>0</v>
      </c>
      <c r="K20" s="687">
        <f>transport!J14</f>
        <v>0</v>
      </c>
      <c r="L20" s="687">
        <f>transport!K14</f>
        <v>0</v>
      </c>
      <c r="M20" s="687">
        <f>transport!L14</f>
        <v>0</v>
      </c>
      <c r="N20" s="687">
        <f>transport!M14</f>
        <v>5615.0615857882794</v>
      </c>
      <c r="O20" s="687">
        <f>transport!N14</f>
        <v>0</v>
      </c>
      <c r="P20" s="687">
        <f>transport!O14</f>
        <v>0</v>
      </c>
      <c r="Q20" s="688">
        <f>transport!P14</f>
        <v>0</v>
      </c>
      <c r="R20" s="690">
        <f>SUM(C20:Q20)</f>
        <v>134959.24106897094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1.1624101078086952</v>
      </c>
      <c r="D22" s="805">
        <f t="shared" ref="D22:R22" si="1">SUM(D18:D21)</f>
        <v>0</v>
      </c>
      <c r="E22" s="805">
        <f t="shared" si="1"/>
        <v>5.2954464086640334</v>
      </c>
      <c r="F22" s="805">
        <f t="shared" si="1"/>
        <v>605.63584142857883</v>
      </c>
      <c r="G22" s="805">
        <f t="shared" si="1"/>
        <v>0</v>
      </c>
      <c r="H22" s="805">
        <f t="shared" si="1"/>
        <v>111238.20072628596</v>
      </c>
      <c r="I22" s="805">
        <f t="shared" si="1"/>
        <v>18202.523728322391</v>
      </c>
      <c r="J22" s="805">
        <f t="shared" si="1"/>
        <v>0</v>
      </c>
      <c r="K22" s="805">
        <f t="shared" si="1"/>
        <v>0</v>
      </c>
      <c r="L22" s="805">
        <f t="shared" si="1"/>
        <v>0</v>
      </c>
      <c r="M22" s="805">
        <f t="shared" si="1"/>
        <v>0</v>
      </c>
      <c r="N22" s="805">
        <f t="shared" si="1"/>
        <v>5645.2677735994603</v>
      </c>
      <c r="O22" s="805">
        <f t="shared" si="1"/>
        <v>0</v>
      </c>
      <c r="P22" s="805">
        <f t="shared" si="1"/>
        <v>0</v>
      </c>
      <c r="Q22" s="805">
        <f t="shared" si="1"/>
        <v>0</v>
      </c>
      <c r="R22" s="805">
        <f t="shared" si="1"/>
        <v>135698.08592615285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521.05048715731505</v>
      </c>
      <c r="D24" s="687">
        <f>+landbouw!C8</f>
        <v>9000</v>
      </c>
      <c r="E24" s="687">
        <f>+landbouw!D8</f>
        <v>3381.8252181979988</v>
      </c>
      <c r="F24" s="687">
        <f>+landbouw!E8</f>
        <v>5.456553504341799</v>
      </c>
      <c r="G24" s="687">
        <f>+landbouw!F8</f>
        <v>2230.4919993195472</v>
      </c>
      <c r="H24" s="687">
        <f>+landbouw!G8</f>
        <v>0</v>
      </c>
      <c r="I24" s="687">
        <f>+landbouw!H8</f>
        <v>0</v>
      </c>
      <c r="J24" s="687">
        <f>+landbouw!I8</f>
        <v>0</v>
      </c>
      <c r="K24" s="687">
        <f>+landbouw!J8</f>
        <v>46.534478758337592</v>
      </c>
      <c r="L24" s="687">
        <f>+landbouw!K8</f>
        <v>0</v>
      </c>
      <c r="M24" s="687">
        <f>+landbouw!L8</f>
        <v>0</v>
      </c>
      <c r="N24" s="687">
        <f>+landbouw!M8</f>
        <v>0</v>
      </c>
      <c r="O24" s="687">
        <f>+landbouw!N8</f>
        <v>0</v>
      </c>
      <c r="P24" s="687">
        <f>+landbouw!O8</f>
        <v>0</v>
      </c>
      <c r="Q24" s="688">
        <f>+landbouw!P8</f>
        <v>0</v>
      </c>
      <c r="R24" s="690">
        <f>SUM(C24:Q24)</f>
        <v>15185.358736937542</v>
      </c>
      <c r="S24" s="67"/>
    </row>
    <row r="25" spans="1:19" s="456" customFormat="1" ht="15" thickBot="1">
      <c r="A25" s="824" t="s">
        <v>925</v>
      </c>
      <c r="B25" s="988"/>
      <c r="C25" s="989">
        <f>IF(Onbekend_ele_kWh="---",0,Onbekend_ele_kWh)/1000+IF(REST_rest_ele_kWh="---",0,REST_rest_ele_kWh)/1000</f>
        <v>1040.15370838135</v>
      </c>
      <c r="D25" s="989"/>
      <c r="E25" s="989">
        <f>IF(onbekend_gas_kWh="---",0,onbekend_gas_kWh)/1000+IF(REST_rest_gas_kWh="---",0,REST_rest_gas_kWh)/1000</f>
        <v>2505.5932337692198</v>
      </c>
      <c r="F25" s="989"/>
      <c r="G25" s="989"/>
      <c r="H25" s="989"/>
      <c r="I25" s="989"/>
      <c r="J25" s="989"/>
      <c r="K25" s="989"/>
      <c r="L25" s="989"/>
      <c r="M25" s="989"/>
      <c r="N25" s="989"/>
      <c r="O25" s="989"/>
      <c r="P25" s="989"/>
      <c r="Q25" s="990"/>
      <c r="R25" s="690">
        <f>SUM(C25:Q25)</f>
        <v>3545.7469421505698</v>
      </c>
      <c r="S25" s="67"/>
    </row>
    <row r="26" spans="1:19" s="456" customFormat="1" ht="15.75" thickBot="1">
      <c r="A26" s="693" t="s">
        <v>926</v>
      </c>
      <c r="B26" s="810"/>
      <c r="C26" s="805">
        <f>SUM(C24:C25)</f>
        <v>1561.2041955386651</v>
      </c>
      <c r="D26" s="805">
        <f t="shared" ref="D26:R26" si="2">SUM(D24:D25)</f>
        <v>9000</v>
      </c>
      <c r="E26" s="805">
        <f t="shared" si="2"/>
        <v>5887.4184519672181</v>
      </c>
      <c r="F26" s="805">
        <f t="shared" si="2"/>
        <v>5.456553504341799</v>
      </c>
      <c r="G26" s="805">
        <f t="shared" si="2"/>
        <v>2230.4919993195472</v>
      </c>
      <c r="H26" s="805">
        <f t="shared" si="2"/>
        <v>0</v>
      </c>
      <c r="I26" s="805">
        <f t="shared" si="2"/>
        <v>0</v>
      </c>
      <c r="J26" s="805">
        <f t="shared" si="2"/>
        <v>0</v>
      </c>
      <c r="K26" s="805">
        <f t="shared" si="2"/>
        <v>46.534478758337592</v>
      </c>
      <c r="L26" s="805">
        <f t="shared" si="2"/>
        <v>0</v>
      </c>
      <c r="M26" s="805">
        <f t="shared" si="2"/>
        <v>0</v>
      </c>
      <c r="N26" s="805">
        <f t="shared" si="2"/>
        <v>0</v>
      </c>
      <c r="O26" s="805">
        <f t="shared" si="2"/>
        <v>0</v>
      </c>
      <c r="P26" s="805">
        <f t="shared" si="2"/>
        <v>0</v>
      </c>
      <c r="Q26" s="805">
        <f t="shared" si="2"/>
        <v>0</v>
      </c>
      <c r="R26" s="805">
        <f t="shared" si="2"/>
        <v>18731.105679088112</v>
      </c>
      <c r="S26" s="67"/>
    </row>
    <row r="27" spans="1:19" s="456" customFormat="1" ht="17.25" thickTop="1" thickBot="1">
      <c r="A27" s="694" t="s">
        <v>116</v>
      </c>
      <c r="B27" s="797"/>
      <c r="C27" s="695">
        <f ca="1">C22+C16+C26</f>
        <v>121102.42936366118</v>
      </c>
      <c r="D27" s="695">
        <f t="shared" ref="D27:R27" ca="1" si="3">D22+D16+D26</f>
        <v>9000</v>
      </c>
      <c r="E27" s="695">
        <f t="shared" ca="1" si="3"/>
        <v>174848.97495671042</v>
      </c>
      <c r="F27" s="695">
        <f t="shared" si="3"/>
        <v>9078.7065005307595</v>
      </c>
      <c r="G27" s="695">
        <f t="shared" ca="1" si="3"/>
        <v>36800.190812019559</v>
      </c>
      <c r="H27" s="695">
        <f t="shared" si="3"/>
        <v>111238.20072628596</v>
      </c>
      <c r="I27" s="695">
        <f t="shared" si="3"/>
        <v>18202.523728322391</v>
      </c>
      <c r="J27" s="695">
        <f t="shared" si="3"/>
        <v>0</v>
      </c>
      <c r="K27" s="695">
        <f t="shared" si="3"/>
        <v>953.65212861425266</v>
      </c>
      <c r="L27" s="695">
        <f t="shared" si="3"/>
        <v>0</v>
      </c>
      <c r="M27" s="695">
        <f t="shared" ca="1" si="3"/>
        <v>0</v>
      </c>
      <c r="N27" s="695">
        <f t="shared" si="3"/>
        <v>5645.2677735994603</v>
      </c>
      <c r="O27" s="695">
        <f t="shared" ca="1" si="3"/>
        <v>15503.43669985717</v>
      </c>
      <c r="P27" s="695">
        <f t="shared" si="3"/>
        <v>170.40333333333334</v>
      </c>
      <c r="Q27" s="695">
        <f t="shared" si="3"/>
        <v>266.93333333333334</v>
      </c>
      <c r="R27" s="695">
        <f t="shared" ca="1" si="3"/>
        <v>502810.71935626789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3908.6131079731472</v>
      </c>
      <c r="D40" s="687">
        <f ca="1">tertiair!C20</f>
        <v>0</v>
      </c>
      <c r="E40" s="687">
        <f ca="1">tertiair!D20</f>
        <v>9240.7851962010645</v>
      </c>
      <c r="F40" s="687">
        <f>tertiair!E20</f>
        <v>84.17301954379613</v>
      </c>
      <c r="G40" s="687">
        <f ca="1">tertiair!F20</f>
        <v>826.5235346657629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14060.094858383771</v>
      </c>
    </row>
    <row r="41" spans="1:18">
      <c r="A41" s="815" t="s">
        <v>225</v>
      </c>
      <c r="B41" s="822"/>
      <c r="C41" s="687">
        <f ca="1">huishoudens!B12</f>
        <v>4261.6524486348335</v>
      </c>
      <c r="D41" s="687">
        <f ca="1">huishoudens!C12</f>
        <v>0</v>
      </c>
      <c r="E41" s="687">
        <f>huishoudens!D12</f>
        <v>9751.9499675632687</v>
      </c>
      <c r="F41" s="687">
        <f>huishoudens!E12</f>
        <v>1667.2756650794825</v>
      </c>
      <c r="G41" s="687">
        <f>huishoudens!F12</f>
        <v>4078.4599011826681</v>
      </c>
      <c r="H41" s="687">
        <f>huishoudens!G12</f>
        <v>0</v>
      </c>
      <c r="I41" s="687">
        <f>huishoudens!H12</f>
        <v>0</v>
      </c>
      <c r="J41" s="687">
        <f>huishoudens!I12</f>
        <v>0</v>
      </c>
      <c r="K41" s="687">
        <f>huishoudens!J12</f>
        <v>163.49326400895086</v>
      </c>
      <c r="L41" s="687">
        <f>huishoudens!K12</f>
        <v>0</v>
      </c>
      <c r="M41" s="687">
        <f>huishoudens!L12</f>
        <v>0</v>
      </c>
      <c r="N41" s="687">
        <f>huishoudens!M12</f>
        <v>0</v>
      </c>
      <c r="O41" s="687">
        <f>huishoudens!N12</f>
        <v>0</v>
      </c>
      <c r="P41" s="687">
        <f>huishoudens!O12</f>
        <v>0</v>
      </c>
      <c r="Q41" s="762">
        <f>huishoudens!P12</f>
        <v>0</v>
      </c>
      <c r="R41" s="843">
        <f t="shared" ca="1" si="4"/>
        <v>19922.831246469203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17228.127017710023</v>
      </c>
      <c r="D43" s="687">
        <f ca="1">industrie!C22</f>
        <v>0</v>
      </c>
      <c r="E43" s="687">
        <f>industrie!D22</f>
        <v>15136.429570019252</v>
      </c>
      <c r="F43" s="687">
        <f>industrie!E22</f>
        <v>170.69971734743098</v>
      </c>
      <c r="G43" s="687">
        <f>industrie!F22</f>
        <v>4325.1261471424741</v>
      </c>
      <c r="H43" s="687">
        <f>industrie!G22</f>
        <v>0</v>
      </c>
      <c r="I43" s="687">
        <f>industrie!H22</f>
        <v>0</v>
      </c>
      <c r="J43" s="687">
        <f>industrie!I22</f>
        <v>0</v>
      </c>
      <c r="K43" s="687">
        <f>industrie!J22</f>
        <v>157.62638404004306</v>
      </c>
      <c r="L43" s="687">
        <f>industrie!K22</f>
        <v>0</v>
      </c>
      <c r="M43" s="687">
        <f>industrie!L22</f>
        <v>0</v>
      </c>
      <c r="N43" s="687">
        <f>industrie!M22</f>
        <v>0</v>
      </c>
      <c r="O43" s="687">
        <f>industrie!N22</f>
        <v>0</v>
      </c>
      <c r="P43" s="687">
        <f>industrie!O22</f>
        <v>0</v>
      </c>
      <c r="Q43" s="762">
        <f>industrie!P22</f>
        <v>0</v>
      </c>
      <c r="R43" s="842">
        <f t="shared" ca="1" si="4"/>
        <v>37018.008836259221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25398.392574318004</v>
      </c>
      <c r="D46" s="720">
        <f t="shared" ref="D46:Q46" ca="1" si="5">SUM(D39:D45)</f>
        <v>0</v>
      </c>
      <c r="E46" s="720">
        <f t="shared" ca="1" si="5"/>
        <v>34129.164733783589</v>
      </c>
      <c r="F46" s="720">
        <f t="shared" si="5"/>
        <v>1922.1484019707095</v>
      </c>
      <c r="G46" s="720">
        <f t="shared" ca="1" si="5"/>
        <v>9230.1095829909063</v>
      </c>
      <c r="H46" s="720">
        <f t="shared" si="5"/>
        <v>0</v>
      </c>
      <c r="I46" s="720">
        <f t="shared" si="5"/>
        <v>0</v>
      </c>
      <c r="J46" s="720">
        <f t="shared" si="5"/>
        <v>0</v>
      </c>
      <c r="K46" s="720">
        <f t="shared" si="5"/>
        <v>321.11964804899389</v>
      </c>
      <c r="L46" s="720">
        <f t="shared" si="5"/>
        <v>0</v>
      </c>
      <c r="M46" s="720">
        <f t="shared" ca="1" si="5"/>
        <v>0</v>
      </c>
      <c r="N46" s="720">
        <f t="shared" si="5"/>
        <v>0</v>
      </c>
      <c r="O46" s="720">
        <f t="shared" ca="1" si="5"/>
        <v>0</v>
      </c>
      <c r="P46" s="720">
        <f t="shared" si="5"/>
        <v>0</v>
      </c>
      <c r="Q46" s="720">
        <f t="shared" si="5"/>
        <v>0</v>
      </c>
      <c r="R46" s="720">
        <f ca="1">SUM(R39:R45)</f>
        <v>71000.934941112195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189.20652472198492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189.20652472198492</v>
      </c>
    </row>
    <row r="50" spans="1:18">
      <c r="A50" s="818" t="s">
        <v>307</v>
      </c>
      <c r="B50" s="828"/>
      <c r="C50" s="995">
        <f ca="1">transport!B18</f>
        <v>0.2469745085398253</v>
      </c>
      <c r="D50" s="995">
        <f>transport!C18</f>
        <v>0</v>
      </c>
      <c r="E50" s="995">
        <f>transport!D18</f>
        <v>1.0696801745501348</v>
      </c>
      <c r="F50" s="995">
        <f>transport!E18</f>
        <v>137.4793360042874</v>
      </c>
      <c r="G50" s="995">
        <f>transport!F18</f>
        <v>0</v>
      </c>
      <c r="H50" s="995">
        <f>transport!G18</f>
        <v>29511.393069196365</v>
      </c>
      <c r="I50" s="995">
        <f>transport!H18</f>
        <v>4532.4284083522753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34182.617468236014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0.2469745085398253</v>
      </c>
      <c r="D52" s="720">
        <f t="shared" ref="D52:Q52" ca="1" si="6">SUM(D48:D51)</f>
        <v>0</v>
      </c>
      <c r="E52" s="720">
        <f t="shared" si="6"/>
        <v>1.0696801745501348</v>
      </c>
      <c r="F52" s="720">
        <f t="shared" si="6"/>
        <v>137.4793360042874</v>
      </c>
      <c r="G52" s="720">
        <f t="shared" si="6"/>
        <v>0</v>
      </c>
      <c r="H52" s="720">
        <f t="shared" si="6"/>
        <v>29700.599593918349</v>
      </c>
      <c r="I52" s="720">
        <f t="shared" si="6"/>
        <v>4532.4284083522753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34371.823992958001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110.70635666847892</v>
      </c>
      <c r="D54" s="995">
        <f ca="1">+landbouw!C12</f>
        <v>2138.8235294117649</v>
      </c>
      <c r="E54" s="995">
        <f>+landbouw!D12</f>
        <v>683.12869407599578</v>
      </c>
      <c r="F54" s="995">
        <f>+landbouw!E12</f>
        <v>1.2386376454855883</v>
      </c>
      <c r="G54" s="995">
        <f>+landbouw!F12</f>
        <v>595.54136381831916</v>
      </c>
      <c r="H54" s="995">
        <f>+landbouw!G12</f>
        <v>0</v>
      </c>
      <c r="I54" s="995">
        <f>+landbouw!H12</f>
        <v>0</v>
      </c>
      <c r="J54" s="995">
        <f>+landbouw!I12</f>
        <v>0</v>
      </c>
      <c r="K54" s="995">
        <f>+landbouw!J12</f>
        <v>16.473205480451508</v>
      </c>
      <c r="L54" s="995">
        <f>+landbouw!K12</f>
        <v>0</v>
      </c>
      <c r="M54" s="995">
        <f>+landbouw!L12</f>
        <v>0</v>
      </c>
      <c r="N54" s="995">
        <f>+landbouw!M12</f>
        <v>0</v>
      </c>
      <c r="O54" s="995">
        <f>+landbouw!N12</f>
        <v>0</v>
      </c>
      <c r="P54" s="995">
        <f>+landbouw!O12</f>
        <v>0</v>
      </c>
      <c r="Q54" s="996">
        <f>+landbouw!P12</f>
        <v>0</v>
      </c>
      <c r="R54" s="719">
        <f ca="1">SUM(C54:Q54)</f>
        <v>3545.911787100496</v>
      </c>
    </row>
    <row r="55" spans="1:18" ht="15" thickBot="1">
      <c r="A55" s="818" t="s">
        <v>925</v>
      </c>
      <c r="B55" s="828"/>
      <c r="C55" s="995">
        <f ca="1">C25*'EF ele_warmte'!B12</f>
        <v>220.99898237949498</v>
      </c>
      <c r="D55" s="995"/>
      <c r="E55" s="995">
        <f>E25*EF_CO2_aardgas</f>
        <v>506.1298332213824</v>
      </c>
      <c r="F55" s="995"/>
      <c r="G55" s="995"/>
      <c r="H55" s="995"/>
      <c r="I55" s="995"/>
      <c r="J55" s="995"/>
      <c r="K55" s="995"/>
      <c r="L55" s="995"/>
      <c r="M55" s="995"/>
      <c r="N55" s="995"/>
      <c r="O55" s="995"/>
      <c r="P55" s="995"/>
      <c r="Q55" s="996"/>
      <c r="R55" s="719">
        <f ca="1">SUM(C55:Q55)</f>
        <v>727.12881560087737</v>
      </c>
    </row>
    <row r="56" spans="1:18" ht="15.75" thickBot="1">
      <c r="A56" s="816" t="s">
        <v>926</v>
      </c>
      <c r="B56" s="829"/>
      <c r="C56" s="720">
        <f ca="1">SUM(C54:C55)</f>
        <v>331.70533904797389</v>
      </c>
      <c r="D56" s="720">
        <f t="shared" ref="D56:Q56" ca="1" si="7">SUM(D54:D55)</f>
        <v>2138.8235294117649</v>
      </c>
      <c r="E56" s="720">
        <f t="shared" si="7"/>
        <v>1189.2585272973781</v>
      </c>
      <c r="F56" s="720">
        <f t="shared" si="7"/>
        <v>1.2386376454855883</v>
      </c>
      <c r="G56" s="720">
        <f t="shared" si="7"/>
        <v>595.54136381831916</v>
      </c>
      <c r="H56" s="720">
        <f t="shared" si="7"/>
        <v>0</v>
      </c>
      <c r="I56" s="720">
        <f t="shared" si="7"/>
        <v>0</v>
      </c>
      <c r="J56" s="720">
        <f t="shared" si="7"/>
        <v>0</v>
      </c>
      <c r="K56" s="720">
        <f t="shared" si="7"/>
        <v>16.473205480451508</v>
      </c>
      <c r="L56" s="720">
        <f t="shared" si="7"/>
        <v>0</v>
      </c>
      <c r="M56" s="720">
        <f t="shared" si="7"/>
        <v>0</v>
      </c>
      <c r="N56" s="720">
        <f t="shared" si="7"/>
        <v>0</v>
      </c>
      <c r="O56" s="720">
        <f t="shared" si="7"/>
        <v>0</v>
      </c>
      <c r="P56" s="720">
        <f t="shared" si="7"/>
        <v>0</v>
      </c>
      <c r="Q56" s="721">
        <f t="shared" si="7"/>
        <v>0</v>
      </c>
      <c r="R56" s="722">
        <f ca="1">SUM(R54:R55)</f>
        <v>4273.0406027013732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25730.344887874518</v>
      </c>
      <c r="D61" s="728">
        <f t="shared" ref="D61:Q61" ca="1" si="8">D46+D52+D56</f>
        <v>2138.8235294117649</v>
      </c>
      <c r="E61" s="728">
        <f t="shared" ca="1" si="8"/>
        <v>35319.492941255521</v>
      </c>
      <c r="F61" s="728">
        <f t="shared" si="8"/>
        <v>2060.8663756204824</v>
      </c>
      <c r="G61" s="728">
        <f t="shared" ca="1" si="8"/>
        <v>9825.6509468092263</v>
      </c>
      <c r="H61" s="728">
        <f t="shared" si="8"/>
        <v>29700.599593918349</v>
      </c>
      <c r="I61" s="728">
        <f t="shared" si="8"/>
        <v>4532.4284083522753</v>
      </c>
      <c r="J61" s="728">
        <f t="shared" si="8"/>
        <v>0</v>
      </c>
      <c r="K61" s="728">
        <f t="shared" si="8"/>
        <v>337.59285352944539</v>
      </c>
      <c r="L61" s="728">
        <f t="shared" si="8"/>
        <v>0</v>
      </c>
      <c r="M61" s="728">
        <f t="shared" ca="1" si="8"/>
        <v>0</v>
      </c>
      <c r="N61" s="728">
        <f t="shared" si="8"/>
        <v>0</v>
      </c>
      <c r="O61" s="728">
        <f t="shared" ca="1" si="8"/>
        <v>0</v>
      </c>
      <c r="P61" s="728">
        <f t="shared" si="8"/>
        <v>0</v>
      </c>
      <c r="Q61" s="728">
        <f t="shared" si="8"/>
        <v>0</v>
      </c>
      <c r="R61" s="728">
        <f ca="1">R46+R52+R56</f>
        <v>109645.79953677156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0.21246761954385154</v>
      </c>
      <c r="D63" s="772">
        <f t="shared" ca="1" si="9"/>
        <v>0.23764705882352943</v>
      </c>
      <c r="E63" s="997">
        <f t="shared" ca="1" si="9"/>
        <v>0.2020000000000001</v>
      </c>
      <c r="F63" s="772">
        <f t="shared" si="9"/>
        <v>0.22700000000000001</v>
      </c>
      <c r="G63" s="772">
        <f t="shared" ca="1" si="9"/>
        <v>0.26700000000000013</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4115.083584085236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6300</v>
      </c>
      <c r="D76" s="1007">
        <f>'lokale energieproductie'!C8</f>
        <v>7411.7647058823522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1497.1764705882354</v>
      </c>
      <c r="R76" s="845">
        <v>0</v>
      </c>
    </row>
    <row r="77" spans="1:18" ht="30.75" thickBot="1">
      <c r="A77" s="741" t="s">
        <v>353</v>
      </c>
      <c r="B77" s="738">
        <f>'lokale energieproductie'!B9*IFERROR(SUM(I77:O77)/SUM(D77:O77),0)</f>
        <v>1035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2957.1428571428573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5150.083584085236</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2957.1428571428573</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9000</v>
      </c>
      <c r="D87" s="765">
        <f>'lokale energieproductie'!C17</f>
        <v>10588.235294117647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20057.891446161113</v>
      </c>
      <c r="C4" s="460">
        <f>huishoudens!C8</f>
        <v>0</v>
      </c>
      <c r="D4" s="460">
        <f>huishoudens!D8</f>
        <v>48276.980037441921</v>
      </c>
      <c r="E4" s="460">
        <f>huishoudens!E8</f>
        <v>7344.8267184118167</v>
      </c>
      <c r="F4" s="460">
        <f>huishoudens!F8</f>
        <v>15275.130716039954</v>
      </c>
      <c r="G4" s="460">
        <f>huishoudens!G8</f>
        <v>0</v>
      </c>
      <c r="H4" s="460">
        <f>huishoudens!H8</f>
        <v>0</v>
      </c>
      <c r="I4" s="460">
        <f>huishoudens!I8</f>
        <v>0</v>
      </c>
      <c r="J4" s="460">
        <f>huishoudens!J8</f>
        <v>461.84537855635836</v>
      </c>
      <c r="K4" s="460">
        <f>huishoudens!K8</f>
        <v>0</v>
      </c>
      <c r="L4" s="460">
        <f>huishoudens!L8</f>
        <v>0</v>
      </c>
      <c r="M4" s="460">
        <f>huishoudens!M8</f>
        <v>0</v>
      </c>
      <c r="N4" s="460">
        <f>huishoudens!N8</f>
        <v>14033.746582492573</v>
      </c>
      <c r="O4" s="460">
        <f>huishoudens!O8</f>
        <v>168.84</v>
      </c>
      <c r="P4" s="461">
        <f>huishoudens!P8</f>
        <v>266.93333333333334</v>
      </c>
      <c r="Q4" s="462">
        <f>SUM(B4:P4)</f>
        <v>105886.19421243707</v>
      </c>
    </row>
    <row r="5" spans="1:17">
      <c r="A5" s="459" t="s">
        <v>156</v>
      </c>
      <c r="B5" s="460">
        <f ca="1">tertiair!B16</f>
        <v>17761.754648482158</v>
      </c>
      <c r="C5" s="460">
        <f ca="1">tertiair!C16</f>
        <v>0</v>
      </c>
      <c r="D5" s="460">
        <f ca="1">tertiair!D16</f>
        <v>45746.461367331998</v>
      </c>
      <c r="E5" s="460">
        <f>tertiair!E16</f>
        <v>370.80625349689922</v>
      </c>
      <c r="F5" s="460">
        <f ca="1">tertiair!F16</f>
        <v>3095.5937627931194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66976.179365437507</v>
      </c>
    </row>
    <row r="6" spans="1:17">
      <c r="A6" s="459" t="s">
        <v>194</v>
      </c>
      <c r="B6" s="460">
        <f>'openbare verlichting'!B8</f>
        <v>634.52200000000005</v>
      </c>
      <c r="C6" s="460"/>
      <c r="D6" s="460"/>
      <c r="E6" s="460"/>
      <c r="F6" s="460"/>
      <c r="G6" s="460"/>
      <c r="H6" s="460"/>
      <c r="I6" s="460"/>
      <c r="J6" s="460"/>
      <c r="K6" s="460"/>
      <c r="L6" s="460"/>
      <c r="M6" s="460"/>
      <c r="N6" s="460"/>
      <c r="O6" s="460"/>
      <c r="P6" s="461"/>
      <c r="Q6" s="459">
        <f t="shared" si="0"/>
        <v>634.52200000000005</v>
      </c>
    </row>
    <row r="7" spans="1:17">
      <c r="A7" s="459" t="s">
        <v>112</v>
      </c>
      <c r="B7" s="460">
        <f>landbouw!B8</f>
        <v>521.05048715731505</v>
      </c>
      <c r="C7" s="460">
        <f>landbouw!C8</f>
        <v>9000</v>
      </c>
      <c r="D7" s="460">
        <f>landbouw!D8</f>
        <v>3381.8252181979988</v>
      </c>
      <c r="E7" s="460">
        <f>landbouw!E8</f>
        <v>5.456553504341799</v>
      </c>
      <c r="F7" s="460">
        <f>landbouw!F8</f>
        <v>2230.4919993195472</v>
      </c>
      <c r="G7" s="460">
        <f>landbouw!G8</f>
        <v>0</v>
      </c>
      <c r="H7" s="460">
        <f>landbouw!H8</f>
        <v>0</v>
      </c>
      <c r="I7" s="460">
        <f>landbouw!I8</f>
        <v>0</v>
      </c>
      <c r="J7" s="460">
        <f>landbouw!J8</f>
        <v>46.534478758337592</v>
      </c>
      <c r="K7" s="460">
        <f>landbouw!K8</f>
        <v>0</v>
      </c>
      <c r="L7" s="460">
        <f>landbouw!L8</f>
        <v>0</v>
      </c>
      <c r="M7" s="460">
        <f>landbouw!M8</f>
        <v>0</v>
      </c>
      <c r="N7" s="460">
        <f>landbouw!N8</f>
        <v>0</v>
      </c>
      <c r="O7" s="460">
        <f>landbouw!O8</f>
        <v>0</v>
      </c>
      <c r="P7" s="461">
        <f>landbouw!P8</f>
        <v>0</v>
      </c>
      <c r="Q7" s="459">
        <f t="shared" si="0"/>
        <v>15185.358736937542</v>
      </c>
    </row>
    <row r="8" spans="1:17">
      <c r="A8" s="459" t="s">
        <v>655</v>
      </c>
      <c r="B8" s="460">
        <f>industrie!B18</f>
        <v>81085.894663371437</v>
      </c>
      <c r="C8" s="460">
        <f>industrie!C18</f>
        <v>0</v>
      </c>
      <c r="D8" s="460">
        <f>industrie!D18</f>
        <v>74932.819653560655</v>
      </c>
      <c r="E8" s="460">
        <f>industrie!E18</f>
        <v>751.98113368912323</v>
      </c>
      <c r="F8" s="460">
        <f>industrie!F18</f>
        <v>16198.974333866945</v>
      </c>
      <c r="G8" s="460">
        <f>industrie!G18</f>
        <v>0</v>
      </c>
      <c r="H8" s="460">
        <f>industrie!H18</f>
        <v>0</v>
      </c>
      <c r="I8" s="460">
        <f>industrie!I18</f>
        <v>0</v>
      </c>
      <c r="J8" s="460">
        <f>industrie!J18</f>
        <v>445.27227129955673</v>
      </c>
      <c r="K8" s="460">
        <f>industrie!K18</f>
        <v>0</v>
      </c>
      <c r="L8" s="460">
        <f>industrie!L18</f>
        <v>0</v>
      </c>
      <c r="M8" s="460">
        <f>industrie!M18</f>
        <v>0</v>
      </c>
      <c r="N8" s="460">
        <f>industrie!N18</f>
        <v>1469.6901173645972</v>
      </c>
      <c r="O8" s="460">
        <f>industrie!O18</f>
        <v>0</v>
      </c>
      <c r="P8" s="461">
        <f>industrie!P18</f>
        <v>0</v>
      </c>
      <c r="Q8" s="459">
        <f t="shared" si="0"/>
        <v>174884.63217315229</v>
      </c>
    </row>
    <row r="9" spans="1:17" s="465" customFormat="1">
      <c r="A9" s="463" t="s">
        <v>573</v>
      </c>
      <c r="B9" s="464">
        <f>transport!B14</f>
        <v>1.1624101078086952</v>
      </c>
      <c r="C9" s="464">
        <f>transport!C14</f>
        <v>0</v>
      </c>
      <c r="D9" s="464">
        <f>transport!D14</f>
        <v>5.2954464086640334</v>
      </c>
      <c r="E9" s="464">
        <f>transport!E14</f>
        <v>605.63584142857883</v>
      </c>
      <c r="F9" s="464">
        <f>transport!F14</f>
        <v>0</v>
      </c>
      <c r="G9" s="464">
        <f>transport!G14</f>
        <v>110529.56205691522</v>
      </c>
      <c r="H9" s="464">
        <f>transport!H14</f>
        <v>18202.523728322391</v>
      </c>
      <c r="I9" s="464">
        <f>transport!I14</f>
        <v>0</v>
      </c>
      <c r="J9" s="464">
        <f>transport!J14</f>
        <v>0</v>
      </c>
      <c r="K9" s="464">
        <f>transport!K14</f>
        <v>0</v>
      </c>
      <c r="L9" s="464">
        <f>transport!L14</f>
        <v>0</v>
      </c>
      <c r="M9" s="464">
        <f>transport!M14</f>
        <v>5615.0615857882794</v>
      </c>
      <c r="N9" s="464">
        <f>transport!N14</f>
        <v>0</v>
      </c>
      <c r="O9" s="464">
        <f>transport!O14</f>
        <v>0</v>
      </c>
      <c r="P9" s="464">
        <f>transport!P14</f>
        <v>0</v>
      </c>
      <c r="Q9" s="463">
        <f>SUM(B9:P9)</f>
        <v>134959.24106897094</v>
      </c>
    </row>
    <row r="10" spans="1:17">
      <c r="A10" s="459" t="s">
        <v>563</v>
      </c>
      <c r="B10" s="460">
        <f>transport!B54</f>
        <v>0</v>
      </c>
      <c r="C10" s="460">
        <f>transport!C54</f>
        <v>0</v>
      </c>
      <c r="D10" s="460">
        <f>transport!D54</f>
        <v>0</v>
      </c>
      <c r="E10" s="460">
        <f>transport!E54</f>
        <v>0</v>
      </c>
      <c r="F10" s="460">
        <f>transport!F54</f>
        <v>0</v>
      </c>
      <c r="G10" s="460">
        <f>transport!G54</f>
        <v>708.63866937072999</v>
      </c>
      <c r="H10" s="460">
        <f>transport!H54</f>
        <v>0</v>
      </c>
      <c r="I10" s="460">
        <f>transport!I54</f>
        <v>0</v>
      </c>
      <c r="J10" s="460">
        <f>transport!J54</f>
        <v>0</v>
      </c>
      <c r="K10" s="460">
        <f>transport!K54</f>
        <v>0</v>
      </c>
      <c r="L10" s="460">
        <f>transport!L54</f>
        <v>0</v>
      </c>
      <c r="M10" s="460">
        <f>transport!M54</f>
        <v>30.206187811180808</v>
      </c>
      <c r="N10" s="460">
        <f>transport!N54</f>
        <v>0</v>
      </c>
      <c r="O10" s="460">
        <f>transport!O54</f>
        <v>0</v>
      </c>
      <c r="P10" s="461">
        <f>transport!P54</f>
        <v>0</v>
      </c>
      <c r="Q10" s="459">
        <f t="shared" si="0"/>
        <v>738.84485718191081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1040.15370838135</v>
      </c>
      <c r="C14" s="467"/>
      <c r="D14" s="467">
        <f>'SEAP template'!E25</f>
        <v>2505.5932337692198</v>
      </c>
      <c r="E14" s="467"/>
      <c r="F14" s="467"/>
      <c r="G14" s="467"/>
      <c r="H14" s="467"/>
      <c r="I14" s="467"/>
      <c r="J14" s="467"/>
      <c r="K14" s="467"/>
      <c r="L14" s="467"/>
      <c r="M14" s="467"/>
      <c r="N14" s="467"/>
      <c r="O14" s="467"/>
      <c r="P14" s="468"/>
      <c r="Q14" s="459">
        <f t="shared" si="0"/>
        <v>3545.7469421505698</v>
      </c>
    </row>
    <row r="15" spans="1:17" s="472" customFormat="1">
      <c r="A15" s="469" t="s">
        <v>567</v>
      </c>
      <c r="B15" s="470">
        <f ca="1">SUM(B4:B14)</f>
        <v>121102.42936366117</v>
      </c>
      <c r="C15" s="470">
        <f t="shared" ref="C15:Q15" ca="1" si="1">SUM(C4:C14)</f>
        <v>9000</v>
      </c>
      <c r="D15" s="470">
        <f t="shared" ca="1" si="1"/>
        <v>174848.97495671042</v>
      </c>
      <c r="E15" s="470">
        <f t="shared" si="1"/>
        <v>9078.7065005307595</v>
      </c>
      <c r="F15" s="470">
        <f t="shared" ca="1" si="1"/>
        <v>36800.190812019566</v>
      </c>
      <c r="G15" s="470">
        <f t="shared" si="1"/>
        <v>111238.20072628596</v>
      </c>
      <c r="H15" s="470">
        <f t="shared" si="1"/>
        <v>18202.523728322391</v>
      </c>
      <c r="I15" s="470">
        <f t="shared" si="1"/>
        <v>0</v>
      </c>
      <c r="J15" s="470">
        <f t="shared" si="1"/>
        <v>953.65212861425266</v>
      </c>
      <c r="K15" s="470">
        <f t="shared" si="1"/>
        <v>0</v>
      </c>
      <c r="L15" s="470">
        <f t="shared" ca="1" si="1"/>
        <v>0</v>
      </c>
      <c r="M15" s="470">
        <f t="shared" si="1"/>
        <v>5645.2677735994603</v>
      </c>
      <c r="N15" s="470">
        <f t="shared" ca="1" si="1"/>
        <v>15503.43669985717</v>
      </c>
      <c r="O15" s="470">
        <f t="shared" si="1"/>
        <v>170.40333333333334</v>
      </c>
      <c r="P15" s="470">
        <f t="shared" si="1"/>
        <v>266.93333333333334</v>
      </c>
      <c r="Q15" s="470">
        <f t="shared" ca="1" si="1"/>
        <v>502810.71935626783</v>
      </c>
    </row>
    <row r="17" spans="1:17">
      <c r="A17" s="473" t="s">
        <v>568</v>
      </c>
      <c r="B17" s="777">
        <f ca="1">huishoudens!B10</f>
        <v>0.21246761954385154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4261.6524486348335</v>
      </c>
      <c r="C22" s="460">
        <f t="shared" ref="C22:C32" ca="1" si="3">C4*$C$17</f>
        <v>0</v>
      </c>
      <c r="D22" s="460">
        <f t="shared" ref="D22:D32" si="4">D4*$D$17</f>
        <v>9751.9499675632687</v>
      </c>
      <c r="E22" s="460">
        <f t="shared" ref="E22:E32" si="5">E4*$E$17</f>
        <v>1667.2756650794825</v>
      </c>
      <c r="F22" s="460">
        <f t="shared" ref="F22:F32" si="6">F4*$F$17</f>
        <v>4078.4599011826681</v>
      </c>
      <c r="G22" s="460">
        <f t="shared" ref="G22:G32" si="7">G4*$G$17</f>
        <v>0</v>
      </c>
      <c r="H22" s="460">
        <f t="shared" ref="H22:H32" si="8">H4*$H$17</f>
        <v>0</v>
      </c>
      <c r="I22" s="460">
        <f t="shared" ref="I22:I32" si="9">I4*$I$17</f>
        <v>0</v>
      </c>
      <c r="J22" s="460">
        <f t="shared" ref="J22:J32" si="10">J4*$J$17</f>
        <v>163.49326400895086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19922.831246469203</v>
      </c>
    </row>
    <row r="23" spans="1:17">
      <c r="A23" s="459" t="s">
        <v>156</v>
      </c>
      <c r="B23" s="460">
        <f t="shared" ca="1" si="2"/>
        <v>3773.7977290849435</v>
      </c>
      <c r="C23" s="460">
        <f t="shared" ca="1" si="3"/>
        <v>0</v>
      </c>
      <c r="D23" s="460">
        <f t="shared" ca="1" si="4"/>
        <v>9240.7851962010645</v>
      </c>
      <c r="E23" s="460">
        <f t="shared" si="5"/>
        <v>84.17301954379613</v>
      </c>
      <c r="F23" s="460">
        <f t="shared" ca="1" si="6"/>
        <v>826.5235346657629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13925.279479495566</v>
      </c>
    </row>
    <row r="24" spans="1:17">
      <c r="A24" s="459" t="s">
        <v>194</v>
      </c>
      <c r="B24" s="460">
        <f t="shared" ca="1" si="2"/>
        <v>134.81537888820378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134.81537888820378</v>
      </c>
    </row>
    <row r="25" spans="1:17">
      <c r="A25" s="459" t="s">
        <v>112</v>
      </c>
      <c r="B25" s="460">
        <f t="shared" ca="1" si="2"/>
        <v>110.70635666847892</v>
      </c>
      <c r="C25" s="460">
        <f t="shared" ca="1" si="3"/>
        <v>2138.8235294117649</v>
      </c>
      <c r="D25" s="460">
        <f t="shared" si="4"/>
        <v>683.12869407599578</v>
      </c>
      <c r="E25" s="460">
        <f t="shared" si="5"/>
        <v>1.2386376454855883</v>
      </c>
      <c r="F25" s="460">
        <f t="shared" si="6"/>
        <v>595.54136381831916</v>
      </c>
      <c r="G25" s="460">
        <f t="shared" si="7"/>
        <v>0</v>
      </c>
      <c r="H25" s="460">
        <f t="shared" si="8"/>
        <v>0</v>
      </c>
      <c r="I25" s="460">
        <f t="shared" si="9"/>
        <v>0</v>
      </c>
      <c r="J25" s="460">
        <f t="shared" si="10"/>
        <v>16.473205480451508</v>
      </c>
      <c r="K25" s="460">
        <f t="shared" si="11"/>
        <v>0</v>
      </c>
      <c r="L25" s="460">
        <f t="shared" si="12"/>
        <v>0</v>
      </c>
      <c r="M25" s="460">
        <f t="shared" si="13"/>
        <v>0</v>
      </c>
      <c r="N25" s="460">
        <f t="shared" si="14"/>
        <v>0</v>
      </c>
      <c r="O25" s="460">
        <f t="shared" si="15"/>
        <v>0</v>
      </c>
      <c r="P25" s="461">
        <f t="shared" si="16"/>
        <v>0</v>
      </c>
      <c r="Q25" s="459">
        <f t="shared" ca="1" si="17"/>
        <v>3545.911787100496</v>
      </c>
    </row>
    <row r="26" spans="1:17">
      <c r="A26" s="459" t="s">
        <v>655</v>
      </c>
      <c r="B26" s="460">
        <f t="shared" ca="1" si="2"/>
        <v>17228.127017710023</v>
      </c>
      <c r="C26" s="460">
        <f t="shared" ca="1" si="3"/>
        <v>0</v>
      </c>
      <c r="D26" s="460">
        <f t="shared" si="4"/>
        <v>15136.429570019252</v>
      </c>
      <c r="E26" s="460">
        <f t="shared" si="5"/>
        <v>170.69971734743098</v>
      </c>
      <c r="F26" s="460">
        <f t="shared" si="6"/>
        <v>4325.1261471424741</v>
      </c>
      <c r="G26" s="460">
        <f t="shared" si="7"/>
        <v>0</v>
      </c>
      <c r="H26" s="460">
        <f t="shared" si="8"/>
        <v>0</v>
      </c>
      <c r="I26" s="460">
        <f t="shared" si="9"/>
        <v>0</v>
      </c>
      <c r="J26" s="460">
        <f t="shared" si="10"/>
        <v>157.62638404004306</v>
      </c>
      <c r="K26" s="460">
        <f t="shared" si="11"/>
        <v>0</v>
      </c>
      <c r="L26" s="460">
        <f t="shared" si="12"/>
        <v>0</v>
      </c>
      <c r="M26" s="460">
        <f t="shared" si="13"/>
        <v>0</v>
      </c>
      <c r="N26" s="460">
        <f t="shared" si="14"/>
        <v>0</v>
      </c>
      <c r="O26" s="460">
        <f t="shared" si="15"/>
        <v>0</v>
      </c>
      <c r="P26" s="461">
        <f t="shared" si="16"/>
        <v>0</v>
      </c>
      <c r="Q26" s="459">
        <f t="shared" ca="1" si="17"/>
        <v>37018.008836259221</v>
      </c>
    </row>
    <row r="27" spans="1:17" s="465" customFormat="1">
      <c r="A27" s="463" t="s">
        <v>573</v>
      </c>
      <c r="B27" s="771">
        <f t="shared" ca="1" si="2"/>
        <v>0.2469745085398253</v>
      </c>
      <c r="C27" s="464">
        <f t="shared" ca="1" si="3"/>
        <v>0</v>
      </c>
      <c r="D27" s="464">
        <f t="shared" si="4"/>
        <v>1.0696801745501348</v>
      </c>
      <c r="E27" s="464">
        <f t="shared" si="5"/>
        <v>137.4793360042874</v>
      </c>
      <c r="F27" s="464">
        <f t="shared" si="6"/>
        <v>0</v>
      </c>
      <c r="G27" s="464">
        <f t="shared" si="7"/>
        <v>29511.393069196365</v>
      </c>
      <c r="H27" s="464">
        <f t="shared" si="8"/>
        <v>4532.4284083522753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34182.617468236014</v>
      </c>
    </row>
    <row r="28" spans="1:17">
      <c r="A28" s="459" t="s">
        <v>563</v>
      </c>
      <c r="B28" s="460">
        <f t="shared" ca="1" si="2"/>
        <v>0</v>
      </c>
      <c r="C28" s="460">
        <f t="shared" ca="1" si="3"/>
        <v>0</v>
      </c>
      <c r="D28" s="460">
        <f t="shared" si="4"/>
        <v>0</v>
      </c>
      <c r="E28" s="460">
        <f t="shared" si="5"/>
        <v>0</v>
      </c>
      <c r="F28" s="460">
        <f t="shared" si="6"/>
        <v>0</v>
      </c>
      <c r="G28" s="460">
        <f t="shared" si="7"/>
        <v>189.20652472198492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189.20652472198492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220.99898237949498</v>
      </c>
      <c r="C32" s="460">
        <f t="shared" ca="1" si="3"/>
        <v>0</v>
      </c>
      <c r="D32" s="460">
        <f t="shared" si="4"/>
        <v>506.1298332213824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727.12881560087737</v>
      </c>
    </row>
    <row r="33" spans="1:17" s="472" customFormat="1">
      <c r="A33" s="469" t="s">
        <v>567</v>
      </c>
      <c r="B33" s="470">
        <f ca="1">SUM(B22:B32)</f>
        <v>25730.344887874518</v>
      </c>
      <c r="C33" s="470">
        <f t="shared" ref="C33:Q33" ca="1" si="19">SUM(C22:C32)</f>
        <v>2138.8235294117649</v>
      </c>
      <c r="D33" s="470">
        <f t="shared" ca="1" si="19"/>
        <v>35319.492941255514</v>
      </c>
      <c r="E33" s="470">
        <f t="shared" si="19"/>
        <v>2060.8663756204824</v>
      </c>
      <c r="F33" s="470">
        <f t="shared" ca="1" si="19"/>
        <v>9825.6509468092245</v>
      </c>
      <c r="G33" s="470">
        <f t="shared" si="19"/>
        <v>29700.599593918349</v>
      </c>
      <c r="H33" s="470">
        <f t="shared" si="19"/>
        <v>4532.4284083522753</v>
      </c>
      <c r="I33" s="470">
        <f t="shared" si="19"/>
        <v>0</v>
      </c>
      <c r="J33" s="470">
        <f t="shared" si="19"/>
        <v>337.59285352944539</v>
      </c>
      <c r="K33" s="470">
        <f t="shared" si="19"/>
        <v>0</v>
      </c>
      <c r="L33" s="470">
        <f t="shared" ca="1" si="19"/>
        <v>0</v>
      </c>
      <c r="M33" s="470">
        <f t="shared" si="19"/>
        <v>0</v>
      </c>
      <c r="N33" s="470">
        <f t="shared" ca="1" si="19"/>
        <v>0</v>
      </c>
      <c r="O33" s="470">
        <f t="shared" si="19"/>
        <v>0</v>
      </c>
      <c r="P33" s="470">
        <f t="shared" si="19"/>
        <v>0</v>
      </c>
      <c r="Q33" s="470">
        <f t="shared" ca="1" si="19"/>
        <v>109645.79953677158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4115.083584085236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6300</v>
      </c>
      <c r="D8" s="1028">
        <f>'SEAP template'!D76</f>
        <v>7411.7647058823522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1497.1764705882354</v>
      </c>
    </row>
    <row r="9" spans="1:16">
      <c r="A9" s="1031" t="s">
        <v>938</v>
      </c>
      <c r="B9" s="1028">
        <f>'SEAP template'!B77</f>
        <v>1035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2957.1428571428573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5150.083584085236</v>
      </c>
      <c r="C10" s="1032">
        <f>SUM(C4:C9)</f>
        <v>6300</v>
      </c>
      <c r="D10" s="1032">
        <f t="shared" ref="D10:H10" si="0">SUM(D8:D9)</f>
        <v>7411.7647058823522</v>
      </c>
      <c r="E10" s="1032">
        <f t="shared" si="0"/>
        <v>0</v>
      </c>
      <c r="F10" s="1032">
        <f t="shared" si="0"/>
        <v>0</v>
      </c>
      <c r="G10" s="1032">
        <f t="shared" si="0"/>
        <v>0</v>
      </c>
      <c r="H10" s="1032">
        <f t="shared" si="0"/>
        <v>0</v>
      </c>
      <c r="I10" s="1032">
        <f>SUM(I8:I9)</f>
        <v>0</v>
      </c>
      <c r="J10" s="1032">
        <f>SUM(J8:J9)</f>
        <v>2957.1428571428573</v>
      </c>
      <c r="K10" s="1032">
        <f t="shared" ref="K10:L10" si="1">SUM(K8:K9)</f>
        <v>0</v>
      </c>
      <c r="L10" s="1032">
        <f t="shared" si="1"/>
        <v>0</v>
      </c>
      <c r="M10" s="1032">
        <f>SUM(M8:M9)</f>
        <v>0</v>
      </c>
      <c r="N10" s="1032">
        <f>SUM(N8:N9)</f>
        <v>0</v>
      </c>
      <c r="O10" s="1032">
        <f>SUM(O8:O9)</f>
        <v>0</v>
      </c>
      <c r="P10" s="1032">
        <f>SUM(P8:P9)</f>
        <v>1497.1764705882354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0.21246761954385154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9000</v>
      </c>
      <c r="D17" s="1029">
        <f>'SEAP template'!D87</f>
        <v>10588.235294117647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2138.8235294117649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9000</v>
      </c>
      <c r="D20" s="1032">
        <f t="shared" ref="D20:H20" si="2">SUM(D17:D19)</f>
        <v>10588.235294117647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2138.8235294117649</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0.21246761954385154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0.21246761954385154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0.21246761954385154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4810</v>
      </c>
      <c r="C9" s="336">
        <v>5278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644</v>
      </c>
    </row>
    <row r="15" spans="1:6">
      <c r="A15" s="1277" t="s">
        <v>184</v>
      </c>
      <c r="B15" s="333">
        <v>348</v>
      </c>
    </row>
    <row r="16" spans="1:6">
      <c r="A16" s="1277" t="s">
        <v>6</v>
      </c>
      <c r="B16" s="333">
        <v>471</v>
      </c>
    </row>
    <row r="17" spans="1:6">
      <c r="A17" s="1277" t="s">
        <v>7</v>
      </c>
      <c r="B17" s="333">
        <v>62</v>
      </c>
    </row>
    <row r="18" spans="1:6">
      <c r="A18" s="1277" t="s">
        <v>8</v>
      </c>
      <c r="B18" s="333">
        <v>257</v>
      </c>
    </row>
    <row r="19" spans="1:6">
      <c r="A19" s="1277" t="s">
        <v>9</v>
      </c>
      <c r="B19" s="333">
        <v>212</v>
      </c>
    </row>
    <row r="20" spans="1:6">
      <c r="A20" s="1277" t="s">
        <v>10</v>
      </c>
      <c r="B20" s="333">
        <v>149</v>
      </c>
    </row>
    <row r="21" spans="1:6">
      <c r="A21" s="1277" t="s">
        <v>11</v>
      </c>
      <c r="B21" s="333">
        <v>485</v>
      </c>
    </row>
    <row r="22" spans="1:6">
      <c r="A22" s="1277" t="s">
        <v>12</v>
      </c>
      <c r="B22" s="333">
        <v>2301</v>
      </c>
    </row>
    <row r="23" spans="1:6">
      <c r="A23" s="1277" t="s">
        <v>13</v>
      </c>
      <c r="B23" s="333">
        <v>57</v>
      </c>
    </row>
    <row r="24" spans="1:6">
      <c r="A24" s="1277" t="s">
        <v>14</v>
      </c>
      <c r="B24" s="333">
        <v>2</v>
      </c>
    </row>
    <row r="25" spans="1:6">
      <c r="A25" s="1277" t="s">
        <v>15</v>
      </c>
      <c r="B25" s="333">
        <v>152</v>
      </c>
    </row>
    <row r="26" spans="1:6">
      <c r="A26" s="1277" t="s">
        <v>16</v>
      </c>
      <c r="B26" s="333">
        <v>0</v>
      </c>
    </row>
    <row r="27" spans="1:6">
      <c r="A27" s="1277" t="s">
        <v>17</v>
      </c>
      <c r="B27" s="333">
        <v>0</v>
      </c>
    </row>
    <row r="28" spans="1:6">
      <c r="A28" s="1277" t="s">
        <v>18</v>
      </c>
      <c r="B28" s="333">
        <v>0</v>
      </c>
    </row>
    <row r="29" spans="1:6">
      <c r="A29" s="1277" t="s">
        <v>959</v>
      </c>
      <c r="B29" s="333">
        <v>76</v>
      </c>
    </row>
    <row r="30" spans="1:6">
      <c r="A30" s="1273" t="s">
        <v>960</v>
      </c>
      <c r="B30" s="1273">
        <v>22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7275.7409089611001</v>
      </c>
      <c r="E38" s="333">
        <v>0</v>
      </c>
      <c r="F38" s="333">
        <v>0</v>
      </c>
    </row>
    <row r="39" spans="1:6">
      <c r="A39" s="1277" t="s">
        <v>30</v>
      </c>
      <c r="B39" s="1277" t="s">
        <v>31</v>
      </c>
      <c r="C39" s="333">
        <v>3059</v>
      </c>
      <c r="D39" s="333">
        <v>53522150.817563102</v>
      </c>
      <c r="E39" s="333">
        <v>4741</v>
      </c>
      <c r="F39" s="333">
        <v>18667337.460657101</v>
      </c>
    </row>
    <row r="40" spans="1:6">
      <c r="A40" s="1277" t="s">
        <v>30</v>
      </c>
      <c r="B40" s="1277" t="s">
        <v>29</v>
      </c>
      <c r="C40" s="333">
        <v>0</v>
      </c>
      <c r="D40" s="333">
        <v>0</v>
      </c>
      <c r="E40" s="333">
        <v>0</v>
      </c>
      <c r="F40" s="333">
        <v>0</v>
      </c>
    </row>
    <row r="41" spans="1:6">
      <c r="A41" s="1277" t="s">
        <v>32</v>
      </c>
      <c r="B41" s="1277" t="s">
        <v>33</v>
      </c>
      <c r="C41" s="333">
        <v>34</v>
      </c>
      <c r="D41" s="333">
        <v>1495282.65287291</v>
      </c>
      <c r="E41" s="333">
        <v>89</v>
      </c>
      <c r="F41" s="333">
        <v>2188323.87423995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42859.013653790898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36</v>
      </c>
      <c r="D48" s="333">
        <v>63642483.329744898</v>
      </c>
      <c r="E48" s="333">
        <v>48</v>
      </c>
      <c r="F48" s="333">
        <v>45670777.877007604</v>
      </c>
    </row>
    <row r="49" spans="1:6">
      <c r="A49" s="1277" t="s">
        <v>32</v>
      </c>
      <c r="B49" s="1277" t="s">
        <v>40</v>
      </c>
      <c r="C49" s="333">
        <v>0</v>
      </c>
      <c r="D49" s="333">
        <v>0</v>
      </c>
      <c r="E49" s="333">
        <v>0</v>
      </c>
      <c r="F49" s="333">
        <v>0</v>
      </c>
    </row>
    <row r="50" spans="1:6">
      <c r="A50" s="1277" t="s">
        <v>32</v>
      </c>
      <c r="B50" s="1277" t="s">
        <v>41</v>
      </c>
      <c r="C50" s="333">
        <v>8</v>
      </c>
      <c r="D50" s="333">
        <v>17936313.4559195</v>
      </c>
      <c r="E50" s="333">
        <v>15</v>
      </c>
      <c r="F50" s="333">
        <v>33183933.8984701</v>
      </c>
    </row>
    <row r="51" spans="1:6">
      <c r="A51" s="1277" t="s">
        <v>42</v>
      </c>
      <c r="B51" s="1277" t="s">
        <v>43</v>
      </c>
      <c r="C51" s="333">
        <v>3</v>
      </c>
      <c r="D51" s="333">
        <v>40574.058593995302</v>
      </c>
      <c r="E51" s="333">
        <v>22</v>
      </c>
      <c r="F51" s="333">
        <v>261529.79313132001</v>
      </c>
    </row>
    <row r="52" spans="1:6">
      <c r="A52" s="1277" t="s">
        <v>42</v>
      </c>
      <c r="B52" s="1277" t="s">
        <v>29</v>
      </c>
      <c r="C52" s="333">
        <v>5</v>
      </c>
      <c r="D52" s="333">
        <v>23664331.948277399</v>
      </c>
      <c r="E52" s="333">
        <v>9</v>
      </c>
      <c r="F52" s="333">
        <v>259520.69402599501</v>
      </c>
    </row>
    <row r="53" spans="1:6">
      <c r="A53" s="1277" t="s">
        <v>44</v>
      </c>
      <c r="B53" s="1277" t="s">
        <v>45</v>
      </c>
      <c r="C53" s="333">
        <v>112</v>
      </c>
      <c r="D53" s="333">
        <v>2505593.2337692198</v>
      </c>
      <c r="E53" s="333">
        <v>174</v>
      </c>
      <c r="F53" s="333">
        <v>1040153.70838135</v>
      </c>
    </row>
    <row r="54" spans="1:6">
      <c r="A54" s="1277" t="s">
        <v>46</v>
      </c>
      <c r="B54" s="1277" t="s">
        <v>47</v>
      </c>
      <c r="C54" s="333">
        <v>0</v>
      </c>
      <c r="D54" s="333">
        <v>0</v>
      </c>
      <c r="E54" s="333">
        <v>1</v>
      </c>
      <c r="F54" s="333">
        <v>634522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366561.04543229798</v>
      </c>
      <c r="E57" s="333">
        <v>64</v>
      </c>
      <c r="F57" s="333">
        <v>1091577.46914021</v>
      </c>
    </row>
    <row r="58" spans="1:6">
      <c r="A58" s="1277" t="s">
        <v>49</v>
      </c>
      <c r="B58" s="1277" t="s">
        <v>51</v>
      </c>
      <c r="C58" s="333">
        <v>3</v>
      </c>
      <c r="D58" s="333">
        <v>135458.586406121</v>
      </c>
      <c r="E58" s="333">
        <v>7</v>
      </c>
      <c r="F58" s="333">
        <v>50654.404215564296</v>
      </c>
    </row>
    <row r="59" spans="1:6">
      <c r="A59" s="1277" t="s">
        <v>49</v>
      </c>
      <c r="B59" s="1277" t="s">
        <v>52</v>
      </c>
      <c r="C59" s="333">
        <v>44</v>
      </c>
      <c r="D59" s="333">
        <v>4487289.1172653604</v>
      </c>
      <c r="E59" s="333">
        <v>109</v>
      </c>
      <c r="F59" s="333">
        <v>4161857.3647189899</v>
      </c>
    </row>
    <row r="60" spans="1:6">
      <c r="A60" s="1277" t="s">
        <v>49</v>
      </c>
      <c r="B60" s="1277" t="s">
        <v>53</v>
      </c>
      <c r="C60" s="333">
        <v>42</v>
      </c>
      <c r="D60" s="333">
        <v>2635319.7822189298</v>
      </c>
      <c r="E60" s="333">
        <v>56</v>
      </c>
      <c r="F60" s="333">
        <v>1973673.56248427</v>
      </c>
    </row>
    <row r="61" spans="1:6">
      <c r="A61" s="1277" t="s">
        <v>49</v>
      </c>
      <c r="B61" s="1277" t="s">
        <v>54</v>
      </c>
      <c r="C61" s="333">
        <v>49</v>
      </c>
      <c r="D61" s="333">
        <v>3260926.1408504001</v>
      </c>
      <c r="E61" s="333">
        <v>113</v>
      </c>
      <c r="F61" s="333">
        <v>2258262.1056447299</v>
      </c>
    </row>
    <row r="62" spans="1:6">
      <c r="A62" s="1277" t="s">
        <v>49</v>
      </c>
      <c r="B62" s="1277" t="s">
        <v>55</v>
      </c>
      <c r="C62" s="333">
        <v>0</v>
      </c>
      <c r="D62" s="333">
        <v>0</v>
      </c>
      <c r="E62" s="333">
        <v>4</v>
      </c>
      <c r="F62" s="333">
        <v>89196.741809524101</v>
      </c>
    </row>
    <row r="63" spans="1:6">
      <c r="A63" s="1277" t="s">
        <v>49</v>
      </c>
      <c r="B63" s="1277" t="s">
        <v>29</v>
      </c>
      <c r="C63" s="333">
        <v>81</v>
      </c>
      <c r="D63" s="333">
        <v>39831143.074314699</v>
      </c>
      <c r="E63" s="333">
        <v>106</v>
      </c>
      <c r="F63" s="333">
        <v>7101533.0004688697</v>
      </c>
    </row>
    <row r="64" spans="1:6">
      <c r="A64" s="1277" t="s">
        <v>56</v>
      </c>
      <c r="B64" s="1277" t="s">
        <v>57</v>
      </c>
      <c r="C64" s="333">
        <v>0</v>
      </c>
      <c r="D64" s="333">
        <v>0</v>
      </c>
      <c r="E64" s="333">
        <v>0</v>
      </c>
      <c r="F64" s="333">
        <v>0</v>
      </c>
    </row>
    <row r="65" spans="1:6">
      <c r="A65" s="1277" t="s">
        <v>56</v>
      </c>
      <c r="B65" s="1277" t="s">
        <v>29</v>
      </c>
      <c r="C65" s="333">
        <v>0</v>
      </c>
      <c r="D65" s="333">
        <v>0</v>
      </c>
      <c r="E65" s="333">
        <v>1</v>
      </c>
      <c r="F65" s="333">
        <v>22659.384408578499</v>
      </c>
    </row>
    <row r="66" spans="1:6">
      <c r="A66" s="1277" t="s">
        <v>56</v>
      </c>
      <c r="B66" s="1277" t="s">
        <v>58</v>
      </c>
      <c r="C66" s="333">
        <v>0</v>
      </c>
      <c r="D66" s="333">
        <v>0</v>
      </c>
      <c r="E66" s="333">
        <v>0</v>
      </c>
      <c r="F66" s="333">
        <v>0</v>
      </c>
    </row>
    <row r="67" spans="1:6">
      <c r="A67" s="1284" t="s">
        <v>56</v>
      </c>
      <c r="B67" s="1284" t="s">
        <v>59</v>
      </c>
      <c r="C67" s="333">
        <v>0</v>
      </c>
      <c r="D67" s="333">
        <v>0</v>
      </c>
      <c r="E67" s="333">
        <v>3</v>
      </c>
      <c r="F67" s="333">
        <v>9208.7598127567999</v>
      </c>
    </row>
    <row r="68" spans="1:6">
      <c r="A68" s="1273" t="s">
        <v>56</v>
      </c>
      <c r="B68" s="1273" t="s">
        <v>60</v>
      </c>
      <c r="C68" s="333">
        <v>9</v>
      </c>
      <c r="D68" s="333">
        <v>182918.28998762101</v>
      </c>
      <c r="E68" s="333">
        <v>13</v>
      </c>
      <c r="F68" s="333">
        <v>321534.24165547697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75043598</v>
      </c>
      <c r="E73" s="333">
        <v>78206683.213885143</v>
      </c>
      <c r="F73" s="333">
        <v>75430900</v>
      </c>
    </row>
    <row r="74" spans="1:6">
      <c r="A74" s="1277" t="s">
        <v>64</v>
      </c>
      <c r="B74" s="1277" t="s">
        <v>774</v>
      </c>
      <c r="C74" s="1288" t="s">
        <v>775</v>
      </c>
      <c r="D74" s="333">
        <v>5713291.1243264861</v>
      </c>
      <c r="E74" s="333">
        <v>6185316.5141533529</v>
      </c>
      <c r="F74" s="333">
        <v>5887737.4505305318</v>
      </c>
    </row>
    <row r="75" spans="1:6">
      <c r="A75" s="1277" t="s">
        <v>65</v>
      </c>
      <c r="B75" s="1277" t="s">
        <v>772</v>
      </c>
      <c r="C75" s="1288" t="s">
        <v>776</v>
      </c>
      <c r="D75" s="333">
        <v>7545423</v>
      </c>
      <c r="E75" s="333">
        <v>7863466.8489622651</v>
      </c>
      <c r="F75" s="333">
        <v>7584365</v>
      </c>
    </row>
    <row r="76" spans="1:6">
      <c r="A76" s="1277" t="s">
        <v>65</v>
      </c>
      <c r="B76" s="1277" t="s">
        <v>774</v>
      </c>
      <c r="C76" s="1288" t="s">
        <v>777</v>
      </c>
      <c r="D76" s="333">
        <v>447802.12432648626</v>
      </c>
      <c r="E76" s="333">
        <v>498588.05975831591</v>
      </c>
      <c r="F76" s="333">
        <v>470067.4505305317</v>
      </c>
    </row>
    <row r="77" spans="1:6">
      <c r="A77" s="1277" t="s">
        <v>66</v>
      </c>
      <c r="B77" s="1277" t="s">
        <v>772</v>
      </c>
      <c r="C77" s="1288" t="s">
        <v>778</v>
      </c>
      <c r="D77" s="333">
        <v>63002911</v>
      </c>
      <c r="E77" s="333">
        <v>71747402.377143919</v>
      </c>
      <c r="F77" s="333">
        <v>64564238</v>
      </c>
    </row>
    <row r="78" spans="1:6">
      <c r="A78" s="1273" t="s">
        <v>66</v>
      </c>
      <c r="B78" s="1273" t="s">
        <v>774</v>
      </c>
      <c r="C78" s="1273" t="s">
        <v>779</v>
      </c>
      <c r="D78" s="1273">
        <v>9083537</v>
      </c>
      <c r="E78" s="1273">
        <v>11097948.033290958</v>
      </c>
      <c r="F78" s="336">
        <v>9824270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194289.75134702746</v>
      </c>
      <c r="C83" s="333">
        <v>179102.5965422937</v>
      </c>
      <c r="D83" s="333">
        <v>181155.09893893657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1390.5539855040115</v>
      </c>
    </row>
    <row r="92" spans="1:6">
      <c r="A92" s="1273" t="s">
        <v>69</v>
      </c>
      <c r="B92" s="336">
        <v>2724.529598581224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1860</v>
      </c>
    </row>
    <row r="98" spans="1:6">
      <c r="A98" s="1277" t="s">
        <v>72</v>
      </c>
      <c r="B98" s="333">
        <v>2</v>
      </c>
    </row>
    <row r="99" spans="1:6">
      <c r="A99" s="1277" t="s">
        <v>73</v>
      </c>
      <c r="B99" s="333">
        <v>106</v>
      </c>
    </row>
    <row r="100" spans="1:6">
      <c r="A100" s="1277" t="s">
        <v>74</v>
      </c>
      <c r="B100" s="333">
        <v>136</v>
      </c>
    </row>
    <row r="101" spans="1:6">
      <c r="A101" s="1277" t="s">
        <v>75</v>
      </c>
      <c r="B101" s="333">
        <v>70</v>
      </c>
    </row>
    <row r="102" spans="1:6">
      <c r="A102" s="1277" t="s">
        <v>76</v>
      </c>
      <c r="B102" s="333">
        <v>52</v>
      </c>
    </row>
    <row r="103" spans="1:6">
      <c r="A103" s="1277" t="s">
        <v>77</v>
      </c>
      <c r="B103" s="333">
        <v>136</v>
      </c>
    </row>
    <row r="104" spans="1:6">
      <c r="A104" s="1277" t="s">
        <v>78</v>
      </c>
      <c r="B104" s="333">
        <v>1749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101</v>
      </c>
    </row>
    <row r="130" spans="1:6">
      <c r="A130" s="1277" t="s">
        <v>295</v>
      </c>
      <c r="B130" s="333">
        <v>1</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121102.42936366118</v>
      </c>
      <c r="C3" s="43" t="s">
        <v>170</v>
      </c>
      <c r="D3" s="43"/>
      <c r="E3" s="156"/>
      <c r="F3" s="43"/>
      <c r="G3" s="43"/>
      <c r="H3" s="43"/>
      <c r="I3" s="43"/>
      <c r="J3" s="43"/>
      <c r="K3" s="96"/>
    </row>
    <row r="4" spans="1:11">
      <c r="A4" s="364" t="s">
        <v>171</v>
      </c>
      <c r="B4" s="49">
        <f>IF(ISERROR('SEAP template'!B78+'SEAP template'!C78),0,'SEAP template'!B78+'SEAP template'!C78)</f>
        <v>11450.083584085236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1497.1764705882354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0.21246761954385154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2138.8235294117649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9000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634.52200000000005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634.52200000000005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0.21246761954385154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134.81537888820378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18667.337460657101</v>
      </c>
      <c r="C5" s="17">
        <f>IF(ISERROR('Eigen informatie GS &amp; warmtenet'!B57),0,'Eigen informatie GS &amp; warmtenet'!B57)</f>
        <v>0</v>
      </c>
      <c r="D5" s="30">
        <f>(SUM(HH_hh_gas_kWh,HH_rest_gas_kWh)/1000)*0.902</f>
        <v>48276.980037441921</v>
      </c>
      <c r="E5" s="17">
        <f>B46*B57</f>
        <v>7344.8267184118167</v>
      </c>
      <c r="F5" s="17">
        <f>B51*B62</f>
        <v>15275.130716039954</v>
      </c>
      <c r="G5" s="18"/>
      <c r="H5" s="17"/>
      <c r="I5" s="17"/>
      <c r="J5" s="17">
        <f>B50*B61+C50*C61</f>
        <v>461.84537855635836</v>
      </c>
      <c r="K5" s="17"/>
      <c r="L5" s="17"/>
      <c r="M5" s="17"/>
      <c r="N5" s="17">
        <f>B48*B59+C48*C59</f>
        <v>14033.746582492573</v>
      </c>
      <c r="O5" s="17">
        <f>B69*B70*B71</f>
        <v>168.84</v>
      </c>
      <c r="P5" s="17">
        <f>B77*B78*B79/1000-B77*B78*B79/1000/B80</f>
        <v>266.93333333333334</v>
      </c>
    </row>
    <row r="6" spans="1:16">
      <c r="A6" s="16" t="s">
        <v>632</v>
      </c>
      <c r="B6" s="779">
        <f>kWh_PV_kleiner_dan_10kW</f>
        <v>1390.5539855040115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20057.891446161113</v>
      </c>
      <c r="C8" s="21">
        <f>C5</f>
        <v>0</v>
      </c>
      <c r="D8" s="21">
        <f>D5</f>
        <v>48276.980037441921</v>
      </c>
      <c r="E8" s="21">
        <f>E5</f>
        <v>7344.8267184118167</v>
      </c>
      <c r="F8" s="21">
        <f>F5</f>
        <v>15275.130716039954</v>
      </c>
      <c r="G8" s="21"/>
      <c r="H8" s="21"/>
      <c r="I8" s="21"/>
      <c r="J8" s="21">
        <f>J5</f>
        <v>461.84537855635836</v>
      </c>
      <c r="K8" s="21"/>
      <c r="L8" s="21">
        <f>L5</f>
        <v>0</v>
      </c>
      <c r="M8" s="21">
        <f>M5</f>
        <v>0</v>
      </c>
      <c r="N8" s="21">
        <f>N5</f>
        <v>14033.746582492573</v>
      </c>
      <c r="O8" s="21">
        <f>O5</f>
        <v>168.84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0.21246761954385154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4261.6524486348335</v>
      </c>
      <c r="C12" s="23">
        <f ca="1">C10*C8</f>
        <v>0</v>
      </c>
      <c r="D12" s="23">
        <f>D8*D10</f>
        <v>9751.9499675632687</v>
      </c>
      <c r="E12" s="23">
        <f>E10*E8</f>
        <v>1667.2756650794825</v>
      </c>
      <c r="F12" s="23">
        <f>F10*F8</f>
        <v>4078.4599011826681</v>
      </c>
      <c r="G12" s="23"/>
      <c r="H12" s="23"/>
      <c r="I12" s="23"/>
      <c r="J12" s="23">
        <f>J10*J8</f>
        <v>163.49326400895086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1860</v>
      </c>
      <c r="C18" s="167" t="s">
        <v>111</v>
      </c>
      <c r="D18" s="229"/>
      <c r="E18" s="15"/>
    </row>
    <row r="19" spans="1:7">
      <c r="A19" s="172" t="s">
        <v>72</v>
      </c>
      <c r="B19" s="37">
        <f>aantalw2001_ander</f>
        <v>2</v>
      </c>
      <c r="C19" s="167" t="s">
        <v>111</v>
      </c>
      <c r="D19" s="230"/>
      <c r="E19" s="15"/>
    </row>
    <row r="20" spans="1:7">
      <c r="A20" s="172" t="s">
        <v>73</v>
      </c>
      <c r="B20" s="37">
        <f>aantalw2001_propaan</f>
        <v>106</v>
      </c>
      <c r="C20" s="168">
        <f>IF(ISERROR(B20/SUM($B$20,$B$21,$B$22)*100),0,B20/SUM($B$20,$B$21,$B$22)*100)</f>
        <v>33.974358974358978</v>
      </c>
      <c r="D20" s="230"/>
      <c r="E20" s="15"/>
    </row>
    <row r="21" spans="1:7">
      <c r="A21" s="172" t="s">
        <v>74</v>
      </c>
      <c r="B21" s="37">
        <f>aantalw2001_elektriciteit</f>
        <v>136</v>
      </c>
      <c r="C21" s="168">
        <f>IF(ISERROR(B21/SUM($B$20,$B$21,$B$22)*100),0,B21/SUM($B$20,$B$21,$B$22)*100)</f>
        <v>43.589743589743591</v>
      </c>
      <c r="D21" s="230"/>
      <c r="E21" s="15"/>
    </row>
    <row r="22" spans="1:7">
      <c r="A22" s="172" t="s">
        <v>75</v>
      </c>
      <c r="B22" s="37">
        <f>aantalw2001_hout</f>
        <v>70</v>
      </c>
      <c r="C22" s="168">
        <f>IF(ISERROR(B22/SUM($B$20,$B$21,$B$22)*100),0,B22/SUM($B$20,$B$21,$B$22)*100)</f>
        <v>22.435897435897438</v>
      </c>
      <c r="D22" s="230"/>
      <c r="E22" s="15"/>
    </row>
    <row r="23" spans="1:7">
      <c r="A23" s="172" t="s">
        <v>76</v>
      </c>
      <c r="B23" s="37">
        <f>aantalw2001_niet_gespec</f>
        <v>52</v>
      </c>
      <c r="C23" s="167" t="s">
        <v>111</v>
      </c>
      <c r="D23" s="229"/>
      <c r="E23" s="15"/>
    </row>
    <row r="24" spans="1:7">
      <c r="A24" s="172" t="s">
        <v>77</v>
      </c>
      <c r="B24" s="37">
        <f>aantalw2001_steenkool</f>
        <v>136</v>
      </c>
      <c r="C24" s="167" t="s">
        <v>111</v>
      </c>
      <c r="D24" s="230"/>
      <c r="E24" s="15"/>
    </row>
    <row r="25" spans="1:7">
      <c r="A25" s="172" t="s">
        <v>78</v>
      </c>
      <c r="B25" s="37">
        <f>aantalw2001_stookolie</f>
        <v>1749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4810</v>
      </c>
      <c r="C28" s="36"/>
      <c r="D28" s="229"/>
    </row>
    <row r="29" spans="1:7" s="15" customFormat="1">
      <c r="A29" s="231" t="s">
        <v>713</v>
      </c>
      <c r="B29" s="37">
        <f>SUM(HH_hh_gas_aantal,HH_rest_gas_aantal)</f>
        <v>3059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3059</v>
      </c>
      <c r="C32" s="168">
        <f>IF(ISERROR(B32/SUM($B$32,$B$34,$B$35,$B$36,$B$38,$B$39)*100),0,B32/SUM($B$32,$B$34,$B$35,$B$36,$B$38,$B$39)*100)</f>
        <v>63.782318598832354</v>
      </c>
      <c r="D32" s="234"/>
      <c r="G32" s="15"/>
    </row>
    <row r="33" spans="1:7">
      <c r="A33" s="172" t="s">
        <v>72</v>
      </c>
      <c r="B33" s="34" t="s">
        <v>111</v>
      </c>
      <c r="C33" s="168"/>
      <c r="D33" s="234"/>
      <c r="G33" s="15"/>
    </row>
    <row r="34" spans="1:7">
      <c r="A34" s="172" t="s">
        <v>73</v>
      </c>
      <c r="B34" s="33">
        <f>IF((($B$28-$B$32-$B$39-$B$77-$B$38)*C20/100)&lt;0,0,($B$28-$B$32-$B$39-$B$77-$B$38)*C20/100)</f>
        <v>357.07051282051293</v>
      </c>
      <c r="C34" s="168">
        <f>IF(ISERROR(B34/SUM($B$32,$B$34,$B$35,$B$36,$B$38,$B$39)*100),0,B34/SUM($B$32,$B$34,$B$35,$B$36,$B$38,$B$39)*100)</f>
        <v>7.4451733282008536</v>
      </c>
      <c r="D34" s="234"/>
      <c r="G34" s="15"/>
    </row>
    <row r="35" spans="1:7">
      <c r="A35" s="172" t="s">
        <v>74</v>
      </c>
      <c r="B35" s="33">
        <f>IF((($B$28-$B$32-$B$39-$B$77-$B$38)*C21/100)&lt;0,0,($B$28-$B$32-$B$39-$B$77-$B$38)*C21/100)</f>
        <v>458.12820512820525</v>
      </c>
      <c r="C35" s="168">
        <f>IF(ISERROR(B35/SUM($B$32,$B$34,$B$35,$B$36,$B$38,$B$39)*100),0,B35/SUM($B$32,$B$34,$B$35,$B$36,$B$38,$B$39)*100)</f>
        <v>9.5522978550501509</v>
      </c>
      <c r="D35" s="234"/>
      <c r="G35" s="15"/>
    </row>
    <row r="36" spans="1:7">
      <c r="A36" s="172" t="s">
        <v>75</v>
      </c>
      <c r="B36" s="33">
        <f>IF((($B$28-$B$32-$B$39-$B$77-$B$38)*C22/100)&lt;0,0,($B$28-$B$32-$B$39-$B$77-$B$38)*C22/100)</f>
        <v>235.8012820512821</v>
      </c>
      <c r="C36" s="168">
        <f>IF(ISERROR(B36/SUM($B$32,$B$34,$B$35,$B$36,$B$38,$B$39)*100),0,B36/SUM($B$32,$B$34,$B$35,$B$36,$B$38,$B$39)*100)</f>
        <v>4.9166238959816946</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0.33569641367806491</v>
      </c>
      <c r="D38" s="235"/>
      <c r="G38" s="15"/>
    </row>
    <row r="39" spans="1:7">
      <c r="A39" s="172" t="s">
        <v>78</v>
      </c>
      <c r="B39" s="33">
        <f>IF((B25-(B29-B18))&lt;0,0,B25-(B29-B18)*0.9)</f>
        <v>669.89999999999986</v>
      </c>
      <c r="C39" s="168">
        <f>IF(ISERROR(B39/SUM($B$32,$B$34,$B$35,$B$36,$B$38,$B$39)*100),0,B39/SUM($B$32,$B$34,$B$35,$B$36,$B$38,$B$39)*100)</f>
        <v>13.967889908256877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3059</v>
      </c>
      <c r="C44" s="34" t="s">
        <v>111</v>
      </c>
      <c r="D44" s="175"/>
    </row>
    <row r="45" spans="1:7">
      <c r="A45" s="172" t="s">
        <v>72</v>
      </c>
      <c r="B45" s="33" t="str">
        <f t="shared" si="0"/>
        <v>-</v>
      </c>
      <c r="C45" s="34" t="s">
        <v>111</v>
      </c>
      <c r="D45" s="175"/>
    </row>
    <row r="46" spans="1:7">
      <c r="A46" s="172" t="s">
        <v>73</v>
      </c>
      <c r="B46" s="33">
        <f t="shared" si="0"/>
        <v>357.07051282051293</v>
      </c>
      <c r="C46" s="34" t="s">
        <v>111</v>
      </c>
      <c r="D46" s="175"/>
    </row>
    <row r="47" spans="1:7">
      <c r="A47" s="172" t="s">
        <v>74</v>
      </c>
      <c r="B47" s="33">
        <f t="shared" si="0"/>
        <v>458.12820512820525</v>
      </c>
      <c r="C47" s="34" t="s">
        <v>111</v>
      </c>
      <c r="D47" s="175"/>
    </row>
    <row r="48" spans="1:7">
      <c r="A48" s="172" t="s">
        <v>75</v>
      </c>
      <c r="B48" s="33">
        <f t="shared" si="0"/>
        <v>235.8012820512821</v>
      </c>
      <c r="C48" s="33">
        <f>B48*10</f>
        <v>2358.0128205128212</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669.89999999999986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16726.754648482158</v>
      </c>
      <c r="C5" s="17">
        <f>IF(ISERROR('Eigen informatie GS &amp; warmtenet'!B58),0,'Eigen informatie GS &amp; warmtenet'!B58)</f>
        <v>0</v>
      </c>
      <c r="D5" s="30">
        <f>SUM(D6:D12)</f>
        <v>45746.461367331998</v>
      </c>
      <c r="E5" s="17">
        <f>SUM(E6:E12)</f>
        <v>370.80625349689922</v>
      </c>
      <c r="F5" s="17">
        <f>SUM(F6:F12)</f>
        <v>3095.5937627931194</v>
      </c>
      <c r="G5" s="18"/>
      <c r="H5" s="17"/>
      <c r="I5" s="17"/>
      <c r="J5" s="17">
        <f>SUM(J6:J12)</f>
        <v>0</v>
      </c>
      <c r="K5" s="17"/>
      <c r="L5" s="17"/>
      <c r="M5" s="17"/>
      <c r="N5" s="17">
        <f>SUM(N6:N12)</f>
        <v>473.10671780280705</v>
      </c>
      <c r="O5" s="17">
        <f>B38*B39*B40</f>
        <v>1.5633333333333335</v>
      </c>
      <c r="P5" s="17">
        <f>B46*B47*B48/1000-B46*B47*B48/1000/B49</f>
        <v>0</v>
      </c>
      <c r="R5" s="32"/>
    </row>
    <row r="6" spans="1:18">
      <c r="A6" s="32" t="s">
        <v>54</v>
      </c>
      <c r="B6" s="37">
        <f>B26</f>
        <v>2258.2621056447301</v>
      </c>
      <c r="C6" s="33"/>
      <c r="D6" s="37">
        <f>IF(ISERROR(TER_kantoor_gas_kWh/1000),0,TER_kantoor_gas_kWh/1000)*0.902</f>
        <v>2941.355379047061</v>
      </c>
      <c r="E6" s="33">
        <f>$C$26*'E Balans VL '!I12/100/3.6*1000000</f>
        <v>79.048057128525144</v>
      </c>
      <c r="F6" s="33">
        <f>$C$26*('E Balans VL '!L12+'E Balans VL '!N12)/100/3.6*1000000</f>
        <v>342.40101962804562</v>
      </c>
      <c r="G6" s="34"/>
      <c r="H6" s="33"/>
      <c r="I6" s="33"/>
      <c r="J6" s="33">
        <f>$C$26*('E Balans VL '!D12+'E Balans VL '!E12)/100/3.6*1000000</f>
        <v>0</v>
      </c>
      <c r="K6" s="33"/>
      <c r="L6" s="33"/>
      <c r="M6" s="33"/>
      <c r="N6" s="33">
        <f>$C$26*'E Balans VL '!Y12/100/3.6*1000000</f>
        <v>17.455659260047163</v>
      </c>
      <c r="O6" s="33"/>
      <c r="P6" s="33"/>
      <c r="R6" s="32"/>
    </row>
    <row r="7" spans="1:18">
      <c r="A7" s="32" t="s">
        <v>53</v>
      </c>
      <c r="B7" s="37">
        <f t="shared" ref="B7:B12" si="0">B27</f>
        <v>1973.67356248427</v>
      </c>
      <c r="C7" s="33"/>
      <c r="D7" s="37">
        <f>IF(ISERROR(TER_horeca_gas_kWh/1000),0,TER_horeca_gas_kWh/1000)*0.902</f>
        <v>2377.0584435614751</v>
      </c>
      <c r="E7" s="33">
        <f>$C$27*'E Balans VL '!I9/100/3.6*1000000</f>
        <v>111.34143239112672</v>
      </c>
      <c r="F7" s="33">
        <f>$C$27*('E Balans VL '!L9+'E Balans VL '!N9)/100/3.6*1000000</f>
        <v>343.82485703449225</v>
      </c>
      <c r="G7" s="34"/>
      <c r="H7" s="33"/>
      <c r="I7" s="33"/>
      <c r="J7" s="33">
        <f>$C$27*('E Balans VL '!D9+'E Balans VL '!E9)/100/3.6*1000000</f>
        <v>0</v>
      </c>
      <c r="K7" s="33"/>
      <c r="L7" s="33"/>
      <c r="M7" s="33"/>
      <c r="N7" s="33">
        <f>$C$27*'E Balans VL '!Y9/100/3.6*1000000</f>
        <v>0</v>
      </c>
      <c r="O7" s="33"/>
      <c r="P7" s="33"/>
      <c r="R7" s="32"/>
    </row>
    <row r="8" spans="1:18">
      <c r="A8" s="6" t="s">
        <v>52</v>
      </c>
      <c r="B8" s="37">
        <f t="shared" si="0"/>
        <v>4161.8573647189896</v>
      </c>
      <c r="C8" s="33"/>
      <c r="D8" s="37">
        <f>IF(ISERROR(TER_handel_gas_kWh/1000),0,TER_handel_gas_kWh/1000)*0.902</f>
        <v>4047.5347837733557</v>
      </c>
      <c r="E8" s="33">
        <f>$C$28*'E Balans VL '!I13/100/3.6*1000000</f>
        <v>21.366552871891621</v>
      </c>
      <c r="F8" s="33">
        <f>$C$28*('E Balans VL '!L13+'E Balans VL '!N13)/100/3.6*1000000</f>
        <v>641.69409834195096</v>
      </c>
      <c r="G8" s="34"/>
      <c r="H8" s="33"/>
      <c r="I8" s="33"/>
      <c r="J8" s="33">
        <f>$C$28*('E Balans VL '!D13+'E Balans VL '!E13)/100/3.6*1000000</f>
        <v>0</v>
      </c>
      <c r="K8" s="33"/>
      <c r="L8" s="33"/>
      <c r="M8" s="33"/>
      <c r="N8" s="33">
        <f>$C$28*'E Balans VL '!Y13/100/3.6*1000000</f>
        <v>1.9465514917863889</v>
      </c>
      <c r="O8" s="33"/>
      <c r="P8" s="33"/>
      <c r="R8" s="32"/>
    </row>
    <row r="9" spans="1:18">
      <c r="A9" s="32" t="s">
        <v>51</v>
      </c>
      <c r="B9" s="37">
        <f t="shared" si="0"/>
        <v>50.654404215564298</v>
      </c>
      <c r="C9" s="33"/>
      <c r="D9" s="37">
        <f>IF(ISERROR(TER_gezond_gas_kWh/1000),0,TER_gezond_gas_kWh/1000)*0.902</f>
        <v>122.18364493832115</v>
      </c>
      <c r="E9" s="33">
        <f>$C$29*'E Balans VL '!I10/100/3.6*1000000</f>
        <v>2.0995889799613695E-2</v>
      </c>
      <c r="F9" s="33">
        <f>$C$29*('E Balans VL '!L10+'E Balans VL '!N10)/100/3.6*1000000</f>
        <v>12.475453277229892</v>
      </c>
      <c r="G9" s="34"/>
      <c r="H9" s="33"/>
      <c r="I9" s="33"/>
      <c r="J9" s="33">
        <f>$C$29*('E Balans VL '!D10+'E Balans VL '!E10)/100/3.6*1000000</f>
        <v>0</v>
      </c>
      <c r="K9" s="33"/>
      <c r="L9" s="33"/>
      <c r="M9" s="33"/>
      <c r="N9" s="33">
        <f>$C$29*'E Balans VL '!Y10/100/3.6*1000000</f>
        <v>0.43777942841067891</v>
      </c>
      <c r="O9" s="33"/>
      <c r="P9" s="33"/>
      <c r="R9" s="32"/>
    </row>
    <row r="10" spans="1:18">
      <c r="A10" s="32" t="s">
        <v>50</v>
      </c>
      <c r="B10" s="37">
        <f t="shared" si="0"/>
        <v>1091.57746914021</v>
      </c>
      <c r="C10" s="33"/>
      <c r="D10" s="37">
        <f>IF(ISERROR(TER_ander_gas_kWh/1000),0,TER_ander_gas_kWh/1000)*0.902</f>
        <v>330.63806297993278</v>
      </c>
      <c r="E10" s="33">
        <f>$C$30*'E Balans VL '!I14/100/3.6*1000000</f>
        <v>6.6542831840393601</v>
      </c>
      <c r="F10" s="33">
        <f>$C$30*('E Balans VL '!L14+'E Balans VL '!N14)/100/3.6*1000000</f>
        <v>289.392139984214</v>
      </c>
      <c r="G10" s="34"/>
      <c r="H10" s="33"/>
      <c r="I10" s="33"/>
      <c r="J10" s="33">
        <f>$C$30*('E Balans VL '!D14+'E Balans VL '!E14)/100/3.6*1000000</f>
        <v>0</v>
      </c>
      <c r="K10" s="33"/>
      <c r="L10" s="33"/>
      <c r="M10" s="33"/>
      <c r="N10" s="33">
        <f>$C$30*'E Balans VL '!Y14/100/3.6*1000000</f>
        <v>251.58501938383159</v>
      </c>
      <c r="O10" s="33"/>
      <c r="P10" s="33"/>
      <c r="R10" s="32"/>
    </row>
    <row r="11" spans="1:18">
      <c r="A11" s="32" t="s">
        <v>55</v>
      </c>
      <c r="B11" s="37">
        <f t="shared" si="0"/>
        <v>89.196741809524099</v>
      </c>
      <c r="C11" s="33"/>
      <c r="D11" s="37">
        <f>IF(ISERROR(TER_onderwijs_gas_kWh/1000),0,TER_onderwijs_gas_kWh/1000)*0.902</f>
        <v>0</v>
      </c>
      <c r="E11" s="33">
        <f>$C$31*'E Balans VL '!I11/100/3.6*1000000</f>
        <v>6.797256178226968E-2</v>
      </c>
      <c r="F11" s="33">
        <f>$C$31*('E Balans VL '!L11+'E Balans VL '!N11)/100/3.6*1000000</f>
        <v>64.547650558209554</v>
      </c>
      <c r="G11" s="34"/>
      <c r="H11" s="33"/>
      <c r="I11" s="33"/>
      <c r="J11" s="33">
        <f>$C$31*('E Balans VL '!D11+'E Balans VL '!E11)/100/3.6*1000000</f>
        <v>0</v>
      </c>
      <c r="K11" s="33"/>
      <c r="L11" s="33"/>
      <c r="M11" s="33"/>
      <c r="N11" s="33">
        <f>$C$31*'E Balans VL '!Y11/100/3.6*1000000</f>
        <v>0.26288411574551085</v>
      </c>
      <c r="O11" s="33"/>
      <c r="P11" s="33"/>
      <c r="R11" s="32"/>
    </row>
    <row r="12" spans="1:18">
      <c r="A12" s="32" t="s">
        <v>260</v>
      </c>
      <c r="B12" s="37">
        <f t="shared" si="0"/>
        <v>7101.5330004688694</v>
      </c>
      <c r="C12" s="33"/>
      <c r="D12" s="37">
        <f>IF(ISERROR(TER_rest_gas_kWh/1000),0,TER_rest_gas_kWh/1000)*0.902</f>
        <v>35927.691053031856</v>
      </c>
      <c r="E12" s="33">
        <f>$C$32*'E Balans VL '!I8/100/3.6*1000000</f>
        <v>152.30695946973444</v>
      </c>
      <c r="F12" s="33">
        <f>$C$32*('E Balans VL '!L8+'E Balans VL '!N8)/100/3.6*1000000</f>
        <v>1401.2585439689769</v>
      </c>
      <c r="G12" s="34"/>
      <c r="H12" s="33"/>
      <c r="I12" s="33"/>
      <c r="J12" s="33">
        <f>$C$32*('E Balans VL '!D8+'E Balans VL '!E8)/100/3.6*1000000</f>
        <v>0</v>
      </c>
      <c r="K12" s="33"/>
      <c r="L12" s="33"/>
      <c r="M12" s="33"/>
      <c r="N12" s="33">
        <f>$C$32*'E Balans VL '!Y8/100/3.6*1000000</f>
        <v>201.41882412298571</v>
      </c>
      <c r="O12" s="33"/>
      <c r="P12" s="33"/>
      <c r="R12" s="32"/>
    </row>
    <row r="13" spans="1:18">
      <c r="A13" s="16" t="s">
        <v>496</v>
      </c>
      <c r="B13" s="248">
        <f ca="1">'lokale energieproductie'!N91+'lokale energieproductie'!N60</f>
        <v>1035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-2957.1428571428573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17761.754648482158</v>
      </c>
      <c r="C16" s="21">
        <f ca="1">C5+C13+C14</f>
        <v>0</v>
      </c>
      <c r="D16" s="21">
        <f t="shared" ref="D16:N16" ca="1" si="1">MAX((D5+D13+D14),0)</f>
        <v>45746.461367331998</v>
      </c>
      <c r="E16" s="21">
        <f t="shared" si="1"/>
        <v>370.80625349689922</v>
      </c>
      <c r="F16" s="21">
        <f t="shared" ca="1" si="1"/>
        <v>3095.5937627931194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0.21246761954385154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3773.7977290849435</v>
      </c>
      <c r="C20" s="23">
        <f t="shared" ref="C20:P20" ca="1" si="2">C16*C18</f>
        <v>0</v>
      </c>
      <c r="D20" s="23">
        <f t="shared" ca="1" si="2"/>
        <v>9240.7851962010645</v>
      </c>
      <c r="E20" s="23">
        <f t="shared" si="2"/>
        <v>84.17301954379613</v>
      </c>
      <c r="F20" s="23">
        <f t="shared" ca="1" si="2"/>
        <v>826.5235346657629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2258.2621056447301</v>
      </c>
      <c r="C26" s="39">
        <f>IF(ISERROR(B26*3.6/1000000/'E Balans VL '!Z12*100),0,B26*3.6/1000000/'E Balans VL '!Z12*100)</f>
        <v>4.7521380967489778E-2</v>
      </c>
      <c r="D26" s="238" t="s">
        <v>719</v>
      </c>
      <c r="F26" s="6"/>
    </row>
    <row r="27" spans="1:18">
      <c r="A27" s="232" t="s">
        <v>53</v>
      </c>
      <c r="B27" s="33">
        <f>IF(ISERROR(TER_horeca_ele_kWh/1000),0,TER_horeca_ele_kWh/1000)</f>
        <v>1973.67356248427</v>
      </c>
      <c r="C27" s="39">
        <f>IF(ISERROR(B27*3.6/1000000/'E Balans VL '!Z9*100),0,B27*3.6/1000000/'E Balans VL '!Z9*100)</f>
        <v>0.16710539456419174</v>
      </c>
      <c r="D27" s="238" t="s">
        <v>719</v>
      </c>
      <c r="F27" s="6"/>
    </row>
    <row r="28" spans="1:18">
      <c r="A28" s="172" t="s">
        <v>52</v>
      </c>
      <c r="B28" s="33">
        <f>IF(ISERROR(TER_handel_ele_kWh/1000),0,TER_handel_ele_kWh/1000)</f>
        <v>4161.8573647189896</v>
      </c>
      <c r="C28" s="39">
        <f>IF(ISERROR(B28*3.6/1000000/'E Balans VL '!Z13*100),0,B28*3.6/1000000/'E Balans VL '!Z13*100)</f>
        <v>0.11522044564458045</v>
      </c>
      <c r="D28" s="238" t="s">
        <v>719</v>
      </c>
      <c r="F28" s="6"/>
    </row>
    <row r="29" spans="1:18">
      <c r="A29" s="232" t="s">
        <v>51</v>
      </c>
      <c r="B29" s="33">
        <f>IF(ISERROR(TER_gezond_ele_kWh/1000),0,TER_gezond_ele_kWh/1000)</f>
        <v>50.654404215564298</v>
      </c>
      <c r="C29" s="39">
        <f>IF(ISERROR(B29*3.6/1000000/'E Balans VL '!Z10*100),0,B29*3.6/1000000/'E Balans VL '!Z10*100)</f>
        <v>6.584510978479393E-3</v>
      </c>
      <c r="D29" s="238" t="s">
        <v>719</v>
      </c>
      <c r="F29" s="6"/>
    </row>
    <row r="30" spans="1:18">
      <c r="A30" s="232" t="s">
        <v>50</v>
      </c>
      <c r="B30" s="33">
        <f>IF(ISERROR(TER_ander_ele_kWh/1000),0,TER_ander_ele_kWh/1000)</f>
        <v>1091.57746914021</v>
      </c>
      <c r="C30" s="39">
        <f>IF(ISERROR(B30*3.6/1000000/'E Balans VL '!Z14*100),0,B30*3.6/1000000/'E Balans VL '!Z14*100)</f>
        <v>8.460726438847288E-2</v>
      </c>
      <c r="D30" s="238" t="s">
        <v>719</v>
      </c>
      <c r="F30" s="6"/>
    </row>
    <row r="31" spans="1:18">
      <c r="A31" s="232" t="s">
        <v>55</v>
      </c>
      <c r="B31" s="33">
        <f>IF(ISERROR(TER_onderwijs_ele_kWh/1000),0,TER_onderwijs_ele_kWh/1000)</f>
        <v>89.196741809524099</v>
      </c>
      <c r="C31" s="39">
        <f>IF(ISERROR(B31*3.6/1000000/'E Balans VL '!Z11*100),0,B31*3.6/1000000/'E Balans VL '!Z11*100)</f>
        <v>1.7064856588478471E-2</v>
      </c>
      <c r="D31" s="238" t="s">
        <v>719</v>
      </c>
    </row>
    <row r="32" spans="1:18">
      <c r="A32" s="232" t="s">
        <v>260</v>
      </c>
      <c r="B32" s="33">
        <f>IF(ISERROR(TER_rest_ele_kWh/1000),0,TER_rest_ele_kWh/1000)</f>
        <v>7101.5330004688694</v>
      </c>
      <c r="C32" s="39">
        <f>IF(ISERROR(B32*3.6/1000000/'E Balans VL '!Z8*100),0,B32*3.6/1000000/'E Balans VL '!Z8*100)</f>
        <v>5.8557592966579773E-2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81085.894663371437</v>
      </c>
      <c r="C5" s="17">
        <f>IF(ISERROR('Eigen informatie GS &amp; warmtenet'!B59),0,'Eigen informatie GS &amp; warmtenet'!B59)</f>
        <v>0</v>
      </c>
      <c r="D5" s="30">
        <f>SUM(D6:D15)</f>
        <v>74932.819653560655</v>
      </c>
      <c r="E5" s="17">
        <f>SUM(E6:E15)</f>
        <v>751.98113368912323</v>
      </c>
      <c r="F5" s="17">
        <f>SUM(F6:F15)</f>
        <v>16198.974333866945</v>
      </c>
      <c r="G5" s="18"/>
      <c r="H5" s="17"/>
      <c r="I5" s="17"/>
      <c r="J5" s="17">
        <f>SUM(J6:J15)</f>
        <v>445.27227129955673</v>
      </c>
      <c r="K5" s="17"/>
      <c r="L5" s="17"/>
      <c r="M5" s="17"/>
      <c r="N5" s="17">
        <f>SUM(N6:N15)</f>
        <v>1469.6901173645972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42.859013653790896</v>
      </c>
      <c r="C8" s="33"/>
      <c r="D8" s="37">
        <f>IF( ISERROR(IND_metaal_Gas_kWH/1000),0,IND_metaal_Gas_kWH/1000)*0.902</f>
        <v>0</v>
      </c>
      <c r="E8" s="33">
        <f>C30*'E Balans VL '!I18/100/3.6*1000000</f>
        <v>0.30116083253277126</v>
      </c>
      <c r="F8" s="33">
        <f>C30*'E Balans VL '!L18/100/3.6*1000000+C30*'E Balans VL '!N18/100/3.6*1000000</f>
        <v>4.7056689492754193</v>
      </c>
      <c r="G8" s="34"/>
      <c r="H8" s="33"/>
      <c r="I8" s="33"/>
      <c r="J8" s="40">
        <f>C30*'E Balans VL '!D18/100/3.6*1000000+C30*'E Balans VL '!E18/100/3.6*1000000</f>
        <v>0.88427382964310908</v>
      </c>
      <c r="K8" s="33"/>
      <c r="L8" s="33"/>
      <c r="M8" s="33"/>
      <c r="N8" s="33">
        <f>C30*'E Balans VL '!Y18/100/3.6*1000000</f>
        <v>0.16063866987726078</v>
      </c>
      <c r="O8" s="33"/>
      <c r="P8" s="33"/>
      <c r="R8" s="32"/>
    </row>
    <row r="9" spans="1:18">
      <c r="A9" s="6" t="s">
        <v>33</v>
      </c>
      <c r="B9" s="37">
        <f t="shared" si="0"/>
        <v>2188.3238742399499</v>
      </c>
      <c r="C9" s="33"/>
      <c r="D9" s="37">
        <f>IF( ISERROR(IND_andere_gas_kWh/1000),0,IND_andere_gas_kWh/1000)*0.902</f>
        <v>1348.7449528913648</v>
      </c>
      <c r="E9" s="33">
        <f>C31*'E Balans VL '!I19/100/3.6*1000000</f>
        <v>36.75558025019852</v>
      </c>
      <c r="F9" s="33">
        <f>C31*'E Balans VL '!L19/100/3.6*1000000+C31*'E Balans VL '!N19/100/3.6*1000000</f>
        <v>1710.7069672593052</v>
      </c>
      <c r="G9" s="34"/>
      <c r="H9" s="33"/>
      <c r="I9" s="33"/>
      <c r="J9" s="40">
        <f>C31*'E Balans VL '!D19/100/3.6*1000000+C31*'E Balans VL '!E19/100/3.6*1000000</f>
        <v>0.19736749627928968</v>
      </c>
      <c r="K9" s="33"/>
      <c r="L9" s="33"/>
      <c r="M9" s="33"/>
      <c r="N9" s="33">
        <f>C31*'E Balans VL '!Y19/100/3.6*1000000</f>
        <v>162.1899076468803</v>
      </c>
      <c r="O9" s="33"/>
      <c r="P9" s="33"/>
      <c r="R9" s="32"/>
    </row>
    <row r="10" spans="1:18">
      <c r="A10" s="6" t="s">
        <v>41</v>
      </c>
      <c r="B10" s="37">
        <f t="shared" si="0"/>
        <v>33183.933898470103</v>
      </c>
      <c r="C10" s="33"/>
      <c r="D10" s="37">
        <f>IF( ISERROR(IND_voed_gas_kWh/1000),0,IND_voed_gas_kWh/1000)*0.902</f>
        <v>16178.554737239388</v>
      </c>
      <c r="E10" s="33">
        <f>C32*'E Balans VL '!I20/100/3.6*1000000</f>
        <v>302.75642330657269</v>
      </c>
      <c r="F10" s="33">
        <f>C32*'E Balans VL '!L20/100/3.6*1000000+C32*'E Balans VL '!N20/100/3.6*1000000</f>
        <v>5353.6064705336357</v>
      </c>
      <c r="G10" s="34"/>
      <c r="H10" s="33"/>
      <c r="I10" s="33"/>
      <c r="J10" s="40">
        <f>C32*'E Balans VL '!D20/100/3.6*1000000+C32*'E Balans VL '!E20/100/3.6*1000000</f>
        <v>136.67319623408596</v>
      </c>
      <c r="K10" s="33"/>
      <c r="L10" s="33"/>
      <c r="M10" s="33"/>
      <c r="N10" s="33">
        <f>C32*'E Balans VL '!Y20/100/3.6*1000000</f>
        <v>485.45478666835447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45670.777877007604</v>
      </c>
      <c r="C15" s="33"/>
      <c r="D15" s="37">
        <f>IF( ISERROR(IND_rest_gas_kWh/1000),0,IND_rest_gas_kWh/1000)*0.902</f>
        <v>57405.519963429899</v>
      </c>
      <c r="E15" s="33">
        <f>C37*'E Balans VL '!I15/100/3.6*1000000</f>
        <v>412.16796929981916</v>
      </c>
      <c r="F15" s="33">
        <f>C37*'E Balans VL '!L15/100/3.6*1000000+C37*'E Balans VL '!N15/100/3.6*1000000</f>
        <v>9129.9552271247285</v>
      </c>
      <c r="G15" s="34"/>
      <c r="H15" s="33"/>
      <c r="I15" s="33"/>
      <c r="J15" s="40">
        <f>C37*'E Balans VL '!D15/100/3.6*1000000+C37*'E Balans VL '!E15/100/3.6*1000000</f>
        <v>307.51743373954838</v>
      </c>
      <c r="K15" s="33"/>
      <c r="L15" s="33"/>
      <c r="M15" s="33"/>
      <c r="N15" s="33">
        <f>C37*'E Balans VL '!Y15/100/3.6*1000000</f>
        <v>821.88478437948515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81085.894663371437</v>
      </c>
      <c r="C18" s="21">
        <f>C5+C16</f>
        <v>0</v>
      </c>
      <c r="D18" s="21">
        <f>MAX((D5+D16),0)</f>
        <v>74932.819653560655</v>
      </c>
      <c r="E18" s="21">
        <f>MAX((E5+E16),0)</f>
        <v>751.98113368912323</v>
      </c>
      <c r="F18" s="21">
        <f>MAX((F5+F16),0)</f>
        <v>16198.974333866945</v>
      </c>
      <c r="G18" s="21"/>
      <c r="H18" s="21"/>
      <c r="I18" s="21"/>
      <c r="J18" s="21">
        <f>MAX((J5+J16),0)</f>
        <v>445.27227129955673</v>
      </c>
      <c r="K18" s="21"/>
      <c r="L18" s="21">
        <f>MAX((L5+L16),0)</f>
        <v>0</v>
      </c>
      <c r="M18" s="21"/>
      <c r="N18" s="21">
        <f>MAX((N5+N16),0)</f>
        <v>1469.6901173645972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0.21246761954385154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17228.127017710023</v>
      </c>
      <c r="C22" s="23">
        <f ca="1">C18*C20</f>
        <v>0</v>
      </c>
      <c r="D22" s="23">
        <f>D18*D20</f>
        <v>15136.429570019252</v>
      </c>
      <c r="E22" s="23">
        <f>E18*E20</f>
        <v>170.69971734743098</v>
      </c>
      <c r="F22" s="23">
        <f>F18*F20</f>
        <v>4325.1261471424741</v>
      </c>
      <c r="G22" s="23"/>
      <c r="H22" s="23"/>
      <c r="I22" s="23"/>
      <c r="J22" s="23">
        <f>J18*J20</f>
        <v>157.62638404004306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42.859013653790896</v>
      </c>
      <c r="C30" s="39">
        <f>IF(ISERROR(B30*3.6/1000000/'E Balans VL '!Z18*100),0,B30*3.6/1000000/'E Balans VL '!Z18*100)</f>
        <v>2.8531507108397565E-3</v>
      </c>
      <c r="D30" s="238" t="s">
        <v>719</v>
      </c>
    </row>
    <row r="31" spans="1:18">
      <c r="A31" s="6" t="s">
        <v>33</v>
      </c>
      <c r="B31" s="37">
        <f>IF( ISERROR(IND_ander_ele_kWh/1000),0,IND_ander_ele_kWh/1000)</f>
        <v>2188.3238742399499</v>
      </c>
      <c r="C31" s="39">
        <f>IF(ISERROR(B31*3.6/1000000/'E Balans VL '!Z19*100),0,B31*3.6/1000000/'E Balans VL '!Z19*100)</f>
        <v>9.6999725133848871E-2</v>
      </c>
      <c r="D31" s="238" t="s">
        <v>719</v>
      </c>
    </row>
    <row r="32" spans="1:18">
      <c r="A32" s="172" t="s">
        <v>41</v>
      </c>
      <c r="B32" s="37">
        <f>IF( ISERROR(IND_voed_ele_kWh/1000),0,IND_voed_ele_kWh/1000)</f>
        <v>33183.933898470103</v>
      </c>
      <c r="C32" s="39">
        <f>IF(ISERROR(B32*3.6/1000000/'E Balans VL '!Z20*100),0,B32*3.6/1000000/'E Balans VL '!Z20*100)</f>
        <v>1.1084385845949536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45670.777877007604</v>
      </c>
      <c r="C37" s="39">
        <f>IF(ISERROR(B37*3.6/1000000/'E Balans VL '!Z15*100),0,B37*3.6/1000000/'E Balans VL '!Z15*100)</f>
        <v>0.33971618334330772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521.05048715731505</v>
      </c>
      <c r="C5" s="17">
        <f>'Eigen informatie GS &amp; warmtenet'!B60</f>
        <v>0</v>
      </c>
      <c r="D5" s="30">
        <f>IF(ISERROR(SUM(LB_lb_gas_kWh,LB_rest_gas_kWh)/1000),0,SUM(LB_lb_gas_kWh,LB_rest_gas_kWh)/1000)*0.902</f>
        <v>21381.825218197999</v>
      </c>
      <c r="E5" s="17">
        <f>B17*'E Balans VL '!I25/3.6*1000000/100</f>
        <v>5.456553504341799</v>
      </c>
      <c r="F5" s="17">
        <f>B17*('E Balans VL '!L25/3.6*1000000+'E Balans VL '!N25/3.6*1000000)/100</f>
        <v>2230.4919993195472</v>
      </c>
      <c r="G5" s="18"/>
      <c r="H5" s="17"/>
      <c r="I5" s="17"/>
      <c r="J5" s="17">
        <f>('E Balans VL '!D25+'E Balans VL '!E25)/3.6*1000000*landbouw!B17/100</f>
        <v>46.534478758337592</v>
      </c>
      <c r="K5" s="17"/>
      <c r="L5" s="17">
        <f>L6*(-1)</f>
        <v>0</v>
      </c>
      <c r="M5" s="17"/>
      <c r="N5" s="17">
        <f>N6*(-1)</f>
        <v>0</v>
      </c>
      <c r="O5" s="17"/>
      <c r="P5" s="17"/>
      <c r="R5" s="32"/>
    </row>
    <row r="6" spans="1:18">
      <c r="A6" s="16" t="s">
        <v>496</v>
      </c>
      <c r="B6" s="17" t="s">
        <v>211</v>
      </c>
      <c r="C6" s="17">
        <f>'lokale energieproductie'!O92+'lokale energieproductie'!O61</f>
        <v>9000</v>
      </c>
      <c r="D6" s="311">
        <f>('lokale energieproductie'!P61+'lokale energieproductie'!P92)*(-1)</f>
        <v>-18000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521.05048715731505</v>
      </c>
      <c r="C8" s="21">
        <f>C5+C6</f>
        <v>9000</v>
      </c>
      <c r="D8" s="21">
        <f>MAX((D5+D6),0)</f>
        <v>3381.8252181979988</v>
      </c>
      <c r="E8" s="21">
        <f>MAX((E5+E6),0)</f>
        <v>5.456553504341799</v>
      </c>
      <c r="F8" s="21">
        <f>MAX((F5+F6),0)</f>
        <v>2230.4919993195472</v>
      </c>
      <c r="G8" s="21"/>
      <c r="H8" s="21"/>
      <c r="I8" s="21"/>
      <c r="J8" s="21">
        <f>MAX((J5+J6),0)</f>
        <v>46.534478758337592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0.21246761954385154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110.70635666847892</v>
      </c>
      <c r="C12" s="23">
        <f ca="1">C8*C10</f>
        <v>2138.8235294117649</v>
      </c>
      <c r="D12" s="23">
        <f>D8*D10</f>
        <v>683.12869407599578</v>
      </c>
      <c r="E12" s="23">
        <f>E8*E10</f>
        <v>1.2386376454855883</v>
      </c>
      <c r="F12" s="23">
        <f>F8*F10</f>
        <v>595.54136381831916</v>
      </c>
      <c r="G12" s="23"/>
      <c r="H12" s="23"/>
      <c r="I12" s="23"/>
      <c r="J12" s="23">
        <f>J8*J10</f>
        <v>16.473205480451508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8.0199728106640208E-2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106.23173550382208</v>
      </c>
      <c r="C26" s="248">
        <f>B26*'GWP N2O_CH4'!B5</f>
        <v>2230.8664455802636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36.054896767078333</v>
      </c>
      <c r="C27" s="248">
        <f>B27*'GWP N2O_CH4'!B5</f>
        <v>757.15283210864504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1.4731277734628543</v>
      </c>
      <c r="C28" s="248">
        <f>B28*'GWP N2O_CH4'!B4</f>
        <v>456.66960977348481</v>
      </c>
      <c r="D28" s="50"/>
    </row>
    <row r="29" spans="1:4">
      <c r="A29" s="41" t="s">
        <v>277</v>
      </c>
      <c r="B29" s="248">
        <f>B34*'ha_N2O bodem landbouw'!B4</f>
        <v>5.7941081635808898</v>
      </c>
      <c r="C29" s="248">
        <f>B29*'GWP N2O_CH4'!B4</f>
        <v>1796.1735307100757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9.5755247209121136E-4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4.1846763881113029E-6</v>
      </c>
      <c r="C5" s="446" t="s">
        <v>211</v>
      </c>
      <c r="D5" s="431">
        <f>SUM(D6:D11)</f>
        <v>1.9063607071190521E-5</v>
      </c>
      <c r="E5" s="431">
        <f>SUM(E6:E11)</f>
        <v>2.1802890291428836E-3</v>
      </c>
      <c r="F5" s="444" t="s">
        <v>211</v>
      </c>
      <c r="G5" s="431">
        <f>SUM(G6:G11)</f>
        <v>0.39790642340489485</v>
      </c>
      <c r="H5" s="431">
        <f>SUM(H6:H11)</f>
        <v>6.5529085421960606E-2</v>
      </c>
      <c r="I5" s="446" t="s">
        <v>211</v>
      </c>
      <c r="J5" s="446" t="s">
        <v>211</v>
      </c>
      <c r="K5" s="446" t="s">
        <v>211</v>
      </c>
      <c r="L5" s="446" t="s">
        <v>211</v>
      </c>
      <c r="M5" s="431">
        <f>SUM(M6:M11)</f>
        <v>2.0214221708837805E-2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2.156940761178419E-6</v>
      </c>
      <c r="C6" s="432"/>
      <c r="D6" s="432">
        <f>vkm_2011_GW_PW*SUMIFS(TableVerdeelsleutelVkm[CNG],TableVerdeelsleutelVkm[Voertuigtype],"Lichte voertuigen")*SUMIFS(TableECFTransport[EnergieConsumptieFactor (PJ per km)],TableECFTransport[Index],CONCATENATE($A6,"_CNG_CNG"))</f>
        <v>9.2983208989229091E-6</v>
      </c>
      <c r="E6" s="434">
        <f>vkm_2011_GW_PW*SUMIFS(TableVerdeelsleutelVkm[LPG],TableVerdeelsleutelVkm[Voertuigtype],"Lichte voertuigen")*SUMIFS(TableECFTransport[EnergieConsumptieFactor (PJ per km)],TableECFTransport[Index],CONCATENATE($A6,"_LPG_LPG"))</f>
        <v>9.6743323623333429E-4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0.11899694393073769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3.1329429360905652E-2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6.5880223698918591E-3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5.342906606174358E-2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1.8320086351420901E-5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2.3080355451574426E-3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2.1687433522354765E-7</v>
      </c>
      <c r="C8" s="432"/>
      <c r="D8" s="434">
        <f>vkm_2011_NGW_PW*SUMIFS(TableVerdeelsleutelVkm[CNG],TableVerdeelsleutelVkm[Voertuigtype],"Lichte voertuigen")*SUMIFS(TableECFTransport[EnergieConsumptieFactor (PJ per km)],TableECFTransport[Index],CONCATENATE($A8,"_CNG_CNG"))</f>
        <v>1.6772693410153714E-6</v>
      </c>
      <c r="E8" s="434">
        <f>vkm_2011_NGW_PW*SUMIFS(TableVerdeelsleutelVkm[LPG],TableVerdeelsleutelVkm[Voertuigtype],"Lichte voertuigen")*SUMIFS(TableECFTransport[EnergieConsumptieFactor (PJ per km)],TableECFTransport[Index],CONCATENATE($A8,"_LPG_LPG"))</f>
        <v>1.5934019296255154E-4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1.8589471920234042E-2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5.3945811114706208E-3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1.052317309611851E-3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5.8189702209452054E-3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1.733318358193699E-6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2.5135649260828451E-4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1.8108612917093365E-6</v>
      </c>
      <c r="C10" s="432"/>
      <c r="D10" s="434">
        <f>vkm_2011_SW_PW*SUMIFS(TableVerdeelsleutelVkm[CNG],TableVerdeelsleutelVkm[Voertuigtype],"Lichte voertuigen")*SUMIFS(TableECFTransport[EnergieConsumptieFactor (PJ per km)],TableECFTransport[Index],CONCATENATE($A10,"_CNG_CNG"))</f>
        <v>8.0880168312522422E-6</v>
      </c>
      <c r="E10" s="434">
        <f>vkm_2011_SW_PW*SUMIFS(TableVerdeelsleutelVkm[LPG],TableVerdeelsleutelVkm[Voertuigtype],"Lichte voertuigen")*SUMIFS(TableECFTransport[EnergieConsumptieFactor (PJ per km)],TableECFTransport[Index],CONCATENATE($A10,"_LPG_LPG"))</f>
        <v>1.053515599946998E-3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0.11913301942664675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2.8755044540983033E-2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6.474793761226524E-3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8.1938951844587618E-2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2.9977003891687033E-5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3.539696230341846E-3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1.1624101078086952</v>
      </c>
      <c r="C14" s="21"/>
      <c r="D14" s="21">
        <f t="shared" ref="D14:M14" si="0">((D5)*10^9/3600)+D12</f>
        <v>5.2954464086640334</v>
      </c>
      <c r="E14" s="21">
        <f t="shared" si="0"/>
        <v>605.63584142857883</v>
      </c>
      <c r="F14" s="21"/>
      <c r="G14" s="21">
        <f t="shared" si="0"/>
        <v>110529.56205691522</v>
      </c>
      <c r="H14" s="21">
        <f t="shared" si="0"/>
        <v>18202.523728322391</v>
      </c>
      <c r="I14" s="21"/>
      <c r="J14" s="21"/>
      <c r="K14" s="21"/>
      <c r="L14" s="21"/>
      <c r="M14" s="21">
        <f t="shared" si="0"/>
        <v>5615.0615857882794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0.21246761954385154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0.2469745085398253</v>
      </c>
      <c r="C18" s="23"/>
      <c r="D18" s="23">
        <f t="shared" ref="D18:M18" si="1">D14*D16</f>
        <v>1.0696801745501348</v>
      </c>
      <c r="E18" s="23">
        <f t="shared" si="1"/>
        <v>137.4793360042874</v>
      </c>
      <c r="F18" s="23"/>
      <c r="G18" s="23">
        <f t="shared" si="1"/>
        <v>29511.393069196365</v>
      </c>
      <c r="H18" s="23">
        <f t="shared" si="1"/>
        <v>4532.4284083522753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2.5510992097346279E-3</v>
      </c>
      <c r="H50" s="322">
        <f t="shared" si="2"/>
        <v>0</v>
      </c>
      <c r="I50" s="322">
        <f t="shared" si="2"/>
        <v>0</v>
      </c>
      <c r="J50" s="322">
        <f t="shared" si="2"/>
        <v>0</v>
      </c>
      <c r="K50" s="322">
        <f t="shared" si="2"/>
        <v>0</v>
      </c>
      <c r="L50" s="322">
        <f t="shared" si="2"/>
        <v>0</v>
      </c>
      <c r="M50" s="322">
        <f t="shared" si="2"/>
        <v>1.0874227612025091E-4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2.5510992097346279E-3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1.0874227612025091E-4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708.63866937072999</v>
      </c>
      <c r="H54" s="21">
        <f t="shared" si="3"/>
        <v>0</v>
      </c>
      <c r="I54" s="21">
        <f t="shared" si="3"/>
        <v>0</v>
      </c>
      <c r="J54" s="21">
        <f t="shared" si="3"/>
        <v>0</v>
      </c>
      <c r="K54" s="21">
        <f t="shared" si="3"/>
        <v>0</v>
      </c>
      <c r="L54" s="21">
        <f t="shared" si="3"/>
        <v>0</v>
      </c>
      <c r="M54" s="21">
        <f t="shared" si="3"/>
        <v>30.206187811180808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0.21246761954385154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189.20652472198492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4115.083584085236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6300</v>
      </c>
      <c r="C8" s="557">
        <f>B101</f>
        <v>7411.7647058823522</v>
      </c>
      <c r="D8" s="985"/>
      <c r="E8" s="985">
        <f>E101</f>
        <v>0</v>
      </c>
      <c r="F8" s="986"/>
      <c r="G8" s="558"/>
      <c r="H8" s="985">
        <f>I101</f>
        <v>0</v>
      </c>
      <c r="I8" s="985">
        <f>G101+F101</f>
        <v>0</v>
      </c>
      <c r="J8" s="985">
        <f>H101+D101+C101</f>
        <v>0</v>
      </c>
      <c r="K8" s="985"/>
      <c r="L8" s="985"/>
      <c r="M8" s="985"/>
      <c r="N8" s="559"/>
      <c r="O8" s="560">
        <f>C8*$C$12+D8*$D$12+E8*$E$12+F8*$F$12+G8*$G$12+H8*$H$12+I8*$I$12+J8*$J$12</f>
        <v>1497.1764705882354</v>
      </c>
      <c r="P8" s="1252"/>
      <c r="Q8" s="1253"/>
      <c r="S8" s="1018"/>
      <c r="T8" s="1249"/>
      <c r="U8" s="1249"/>
    </row>
    <row r="9" spans="1:21" s="545" customFormat="1" ht="17.45" customHeight="1" thickBot="1">
      <c r="A9" s="561" t="s">
        <v>248</v>
      </c>
      <c r="B9" s="1022">
        <f>N89+'Eigen informatie GS &amp; warmtenet'!B12</f>
        <v>1035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11450.083584085236</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2957.1428571428573</v>
      </c>
      <c r="K10" s="569">
        <f t="shared" si="0"/>
        <v>0</v>
      </c>
      <c r="L10" s="569">
        <f t="shared" si="0"/>
        <v>0</v>
      </c>
      <c r="M10" s="980"/>
      <c r="N10" s="980"/>
      <c r="O10" s="570">
        <f>SUM(O4:O9)</f>
        <v>1497.1764705882354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9000</v>
      </c>
      <c r="C17" s="581">
        <f>B102</f>
        <v>10588.235294117647</v>
      </c>
      <c r="D17" s="582"/>
      <c r="E17" s="582">
        <f>E102</f>
        <v>0</v>
      </c>
      <c r="F17" s="583"/>
      <c r="G17" s="584"/>
      <c r="H17" s="581">
        <f>I102</f>
        <v>0</v>
      </c>
      <c r="I17" s="582">
        <f>G102+F102</f>
        <v>0</v>
      </c>
      <c r="J17" s="582">
        <f>H102+D102+C102</f>
        <v>0</v>
      </c>
      <c r="K17" s="582"/>
      <c r="L17" s="582"/>
      <c r="M17" s="582"/>
      <c r="N17" s="981"/>
      <c r="O17" s="585">
        <f>C17*$C$22+E17*$E$22+H17*$H$22+I17*$I$22+J17*$J$22+D17*$D$22+F17*$F$22+G17*$G$22+K17*$K$22+L17*$L$22</f>
        <v>2138.8235294117649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9000</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2138.8235294117649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13029</v>
      </c>
      <c r="C28" s="788">
        <v>2250</v>
      </c>
      <c r="D28" s="641" t="s">
        <v>965</v>
      </c>
      <c r="E28" s="640" t="s">
        <v>966</v>
      </c>
      <c r="F28" s="640" t="s">
        <v>967</v>
      </c>
      <c r="G28" s="640" t="s">
        <v>968</v>
      </c>
      <c r="H28" s="640" t="s">
        <v>969</v>
      </c>
      <c r="I28" s="640" t="s">
        <v>966</v>
      </c>
      <c r="J28" s="787">
        <v>39462</v>
      </c>
      <c r="K28" s="787">
        <v>39462</v>
      </c>
      <c r="L28" s="640" t="s">
        <v>970</v>
      </c>
      <c r="M28" s="640">
        <v>1400</v>
      </c>
      <c r="N28" s="640">
        <v>6300</v>
      </c>
      <c r="O28" s="640">
        <v>9000</v>
      </c>
      <c r="P28" s="640">
        <v>18000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1400</v>
      </c>
      <c r="N58" s="598">
        <f>SUM(N28:N57)</f>
        <v>6300</v>
      </c>
      <c r="O58" s="598">
        <f t="shared" ref="O58:W58" si="2">SUM(O28:O57)</f>
        <v>9000</v>
      </c>
      <c r="P58" s="598">
        <f t="shared" si="2"/>
        <v>18000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1400</v>
      </c>
      <c r="N61" s="603">
        <f t="shared" si="4"/>
        <v>6300</v>
      </c>
      <c r="O61" s="603">
        <f t="shared" si="4"/>
        <v>9000</v>
      </c>
      <c r="P61" s="603">
        <f t="shared" si="4"/>
        <v>18000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13029</v>
      </c>
      <c r="C64" s="788">
        <v>2250</v>
      </c>
      <c r="D64" s="643" t="s">
        <v>971</v>
      </c>
      <c r="E64" s="643" t="s">
        <v>972</v>
      </c>
      <c r="F64" s="643" t="s">
        <v>973</v>
      </c>
      <c r="G64" s="643" t="s">
        <v>974</v>
      </c>
      <c r="H64" s="643" t="s">
        <v>975</v>
      </c>
      <c r="I64" s="643" t="s">
        <v>976</v>
      </c>
      <c r="J64" s="787">
        <v>37067</v>
      </c>
      <c r="K64" s="787">
        <v>37653</v>
      </c>
      <c r="L64" s="643" t="s">
        <v>971</v>
      </c>
      <c r="M64" s="643">
        <v>230</v>
      </c>
      <c r="N64" s="643">
        <v>1035</v>
      </c>
      <c r="O64" s="643">
        <v>0</v>
      </c>
      <c r="P64" s="643">
        <v>0</v>
      </c>
      <c r="Q64" s="643">
        <v>0</v>
      </c>
      <c r="R64" s="643">
        <v>2957.1428571428573</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230</v>
      </c>
      <c r="N89" s="598">
        <f t="shared" ref="N89:W89" si="5">SUM(N64:N88)</f>
        <v>1035</v>
      </c>
      <c r="O89" s="598">
        <f t="shared" si="5"/>
        <v>0</v>
      </c>
      <c r="P89" s="598">
        <f t="shared" si="5"/>
        <v>0</v>
      </c>
      <c r="Q89" s="598">
        <f t="shared" si="5"/>
        <v>0</v>
      </c>
      <c r="R89" s="598">
        <f t="shared" si="5"/>
        <v>2957.1428571428573</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230</v>
      </c>
      <c r="N91" s="598">
        <f t="shared" si="7"/>
        <v>1035</v>
      </c>
      <c r="O91" s="598">
        <f t="shared" si="7"/>
        <v>0</v>
      </c>
      <c r="P91" s="598">
        <f t="shared" si="7"/>
        <v>0</v>
      </c>
      <c r="Q91" s="598">
        <f t="shared" si="7"/>
        <v>0</v>
      </c>
      <c r="R91" s="598">
        <f t="shared" si="7"/>
        <v>2957.1428571428573</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7411.7647058823522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10588.235294117647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2019-08-12T09:19:45Z</dcterms:modified>
</cp:coreProperties>
</file>