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C98"/>
  <c r="B101" s="1"/>
  <c r="C8" s="1"/>
  <c r="D76" i="14" s="1"/>
  <c r="B17" i="18"/>
  <c r="B20" s="1"/>
  <c r="G20"/>
  <c r="L20"/>
  <c r="O18"/>
  <c r="O19"/>
  <c r="B10"/>
  <c r="I101"/>
  <c r="H8" s="1"/>
  <c r="H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E55"/>
  <c r="Q56"/>
  <c r="P56"/>
  <c r="I56"/>
  <c r="P52"/>
  <c r="R44"/>
  <c r="P26"/>
  <c r="H26"/>
  <c r="E25"/>
  <c r="D14" i="48" s="1"/>
  <c r="Q26" i="14"/>
  <c r="N26"/>
  <c r="I26"/>
  <c r="J22"/>
  <c r="D5" i="17"/>
  <c r="D8" i="55" l="1"/>
  <c r="D10" s="1"/>
  <c r="L78" i="14"/>
  <c r="L8" i="55"/>
  <c r="O78" i="14"/>
  <c r="O9" i="55"/>
  <c r="C77" i="14"/>
  <c r="C9" i="55" s="1"/>
  <c r="F9"/>
  <c r="P22" i="14"/>
  <c r="E101" i="18"/>
  <c r="E8" s="1"/>
  <c r="G20" i="55"/>
  <c r="M87" i="14"/>
  <c r="P32" i="48"/>
  <c r="K22" i="14"/>
  <c r="D22"/>
  <c r="L22"/>
  <c r="G10" i="55"/>
  <c r="L20"/>
  <c r="P31" i="48"/>
  <c r="C101" i="18"/>
  <c r="E90" i="14"/>
  <c r="E18" i="55"/>
  <c r="M76" i="14"/>
  <c r="M8" i="55" s="1"/>
  <c r="M10" s="1"/>
  <c r="H90" i="14"/>
  <c r="L10" i="55"/>
  <c r="K20"/>
  <c r="B14" i="48"/>
  <c r="Q14" s="1"/>
  <c r="F101" i="18"/>
  <c r="I8" s="1"/>
  <c r="G78" i="14"/>
  <c r="G9" i="55"/>
  <c r="N78" i="14"/>
  <c r="N9" i="55"/>
  <c r="F90" i="14"/>
  <c r="F18" i="55"/>
  <c r="F20" s="1"/>
  <c r="N90" i="14"/>
  <c r="N18" i="55"/>
  <c r="N20" s="1"/>
  <c r="N10"/>
  <c r="L90" i="14"/>
  <c r="E20" i="55"/>
  <c r="O20"/>
  <c r="H101" i="18"/>
  <c r="D101"/>
  <c r="Q22" i="14"/>
  <c r="G101" i="18"/>
  <c r="R9" i="14"/>
  <c r="E10" i="55"/>
  <c r="O10"/>
  <c r="H20"/>
  <c r="P24"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D78"/>
  <c r="K90"/>
  <c r="P9" i="55" l="1"/>
  <c r="E10" i="18"/>
  <c r="F76" i="14"/>
  <c r="M90"/>
  <c r="M17" i="55"/>
  <c r="M20" s="1"/>
  <c r="M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F8"/>
  <c r="F10" s="1"/>
  <c r="F78" i="14"/>
  <c r="Q76"/>
  <c r="I78"/>
  <c r="C76"/>
  <c r="B76"/>
  <c r="I90"/>
  <c r="B87"/>
  <c r="C87"/>
  <c r="H14" i="15"/>
  <c r="H16" s="1"/>
  <c r="G14"/>
  <c r="G16" s="1"/>
  <c r="G5" i="48" l="1"/>
  <c r="H10" i="14"/>
  <c r="H16" s="1"/>
  <c r="B78"/>
  <c r="B8" i="55"/>
  <c r="B10" s="1"/>
  <c r="B90" i="14"/>
  <c r="B17" i="55"/>
  <c r="B20" s="1"/>
  <c r="H5" i="48"/>
  <c r="I10" i="14"/>
  <c r="I16" s="1"/>
  <c r="P8" i="55"/>
  <c r="P10" s="1"/>
  <c r="Q78" i="14"/>
  <c r="B9" i="6" s="1"/>
  <c r="C78" i="14"/>
  <c r="C8" i="55"/>
  <c r="C10" s="1"/>
  <c r="C90" i="14"/>
  <c r="C17" i="55"/>
  <c r="C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8"/>
  <c r="F27"/>
  <c r="F29"/>
  <c r="F24"/>
  <c r="F31"/>
  <c r="F30"/>
  <c r="E30"/>
  <c r="E24"/>
  <c r="E32"/>
  <c r="E28"/>
  <c r="E29"/>
  <c r="E31"/>
  <c r="K5"/>
  <c r="L10" i="14"/>
  <c r="L16" s="1"/>
  <c r="L27" s="1"/>
  <c r="B10" i="48"/>
  <c r="C19" i="14"/>
  <c r="I5" i="48"/>
  <c r="J10" i="14"/>
  <c r="J16" s="1"/>
  <c r="J27" s="1"/>
  <c r="I30" i="48"/>
  <c r="I24"/>
  <c r="I27"/>
  <c r="I32"/>
  <c r="I28"/>
  <c r="I31"/>
  <c r="I25"/>
  <c r="I29"/>
  <c r="I22"/>
  <c r="I26"/>
  <c r="M32"/>
  <c r="M26"/>
  <c r="M30"/>
  <c r="M24"/>
  <c r="M29"/>
  <c r="M25"/>
  <c r="M22"/>
  <c r="D22"/>
  <c r="D30"/>
  <c r="D24"/>
  <c r="D29"/>
  <c r="D28"/>
  <c r="D31"/>
  <c r="D32"/>
  <c r="J32"/>
  <c r="J30"/>
  <c r="J28"/>
  <c r="J29"/>
  <c r="J27"/>
  <c r="J31"/>
  <c r="J24"/>
  <c r="P11" i="14"/>
  <c r="O4" i="48"/>
  <c r="E11" i="14"/>
  <c r="D4" i="48"/>
  <c r="H30"/>
  <c r="H32"/>
  <c r="H26"/>
  <c r="H22"/>
  <c r="H24"/>
  <c r="H29"/>
  <c r="H25"/>
  <c r="H28"/>
  <c r="H23"/>
  <c r="C18" i="16"/>
  <c r="B4" i="48"/>
  <c r="C11" i="14"/>
  <c r="N32" i="48"/>
  <c r="N28"/>
  <c r="N27"/>
  <c r="N29"/>
  <c r="N24"/>
  <c r="N31"/>
  <c r="N30"/>
  <c r="C24" i="14"/>
  <c r="C26" s="1"/>
  <c r="B7" i="48"/>
  <c r="L28"/>
  <c r="L32"/>
  <c r="L24"/>
  <c r="L22"/>
  <c r="L30"/>
  <c r="L31"/>
  <c r="L27"/>
  <c r="L29"/>
  <c r="Q10" i="14"/>
  <c r="P5" i="48"/>
  <c r="P23" s="1"/>
  <c r="K30"/>
  <c r="K32"/>
  <c r="K29"/>
  <c r="K31"/>
  <c r="K22"/>
  <c r="K27"/>
  <c r="K25"/>
  <c r="K28"/>
  <c r="K26"/>
  <c r="K24"/>
  <c r="Q11" i="14"/>
  <c r="P4" i="48"/>
  <c r="H12" i="22"/>
  <c r="H13" i="48"/>
  <c r="H31" s="1"/>
  <c r="I18" i="14"/>
  <c r="D11"/>
  <c r="C4" i="48"/>
  <c r="G30"/>
  <c r="G32"/>
  <c r="G24"/>
  <c r="G22"/>
  <c r="G26"/>
  <c r="G29"/>
  <c r="G25"/>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P10" i="14"/>
  <c r="O5" i="48"/>
  <c r="O23" s="1"/>
  <c r="N18" i="14"/>
  <c r="M13" i="48"/>
  <c r="M31" s="1"/>
  <c r="H9"/>
  <c r="I20" i="14"/>
  <c r="P15" i="48"/>
  <c r="P22"/>
  <c r="P33" s="1"/>
  <c r="I23"/>
  <c r="I15"/>
  <c r="G12" i="22"/>
  <c r="G13" i="48"/>
  <c r="H18" i="14"/>
  <c r="R18" s="1"/>
  <c r="O22" i="48"/>
  <c r="P22" i="16"/>
  <c r="Q43" i="14" s="1"/>
  <c r="P8" i="48"/>
  <c r="P26" s="1"/>
  <c r="Q13" i="14"/>
  <c r="D16" i="15"/>
  <c r="D5" i="48" s="1"/>
  <c r="L46" i="14"/>
  <c r="L61" s="1"/>
  <c r="L63" s="1"/>
  <c r="K33" i="48"/>
  <c r="J63" i="14"/>
  <c r="I33" i="48"/>
  <c r="G31" i="20"/>
  <c r="H48" i="14" s="1"/>
  <c r="I22"/>
  <c r="I27" s="1"/>
  <c r="Q16"/>
  <c r="Q27" s="1"/>
  <c r="G11"/>
  <c r="F4" i="48"/>
  <c r="F22" s="1"/>
  <c r="K23"/>
  <c r="K15"/>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O11" i="14" l="1"/>
  <c r="N4" i="48"/>
  <c r="N22" s="1"/>
  <c r="J4"/>
  <c r="J22" s="1"/>
  <c r="K11" i="14"/>
  <c r="G31" i="48"/>
  <c r="Q13"/>
  <c r="H27"/>
  <c r="H33" s="1"/>
  <c r="H15"/>
  <c r="C20" i="14"/>
  <c r="B9" i="48"/>
  <c r="F20" i="14"/>
  <c r="F22" s="1"/>
  <c r="E9" i="48"/>
  <c r="E27" s="1"/>
  <c r="E20" i="14"/>
  <c r="E22" s="1"/>
  <c r="D9" i="48"/>
  <c r="D27" s="1"/>
  <c r="O8"/>
  <c r="P13" i="14"/>
  <c r="P16" s="1"/>
  <c r="P27" s="1"/>
  <c r="G14" i="22"/>
  <c r="C15" i="48"/>
  <c r="Q63" i="14"/>
  <c r="E10"/>
  <c r="M10" i="48"/>
  <c r="M28" s="1"/>
  <c r="N19" i="14"/>
  <c r="E12" i="13"/>
  <c r="F41" i="14" s="1"/>
  <c r="E4" i="48"/>
  <c r="F11" i="14"/>
  <c r="R11" s="1"/>
  <c r="G10" i="48"/>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R22" l="1"/>
  <c r="R20"/>
  <c r="C22"/>
  <c r="G9" i="48"/>
  <c r="H20" i="14"/>
  <c r="H22" s="1"/>
  <c r="H27" s="1"/>
  <c r="H63" s="1"/>
  <c r="M18" i="22"/>
  <c r="N50" i="14" s="1"/>
  <c r="N52" s="1"/>
  <c r="N61" s="1"/>
  <c r="N20"/>
  <c r="N22" s="1"/>
  <c r="N27" s="1"/>
  <c r="M9" i="48"/>
  <c r="G28"/>
  <c r="Q10"/>
  <c r="E22"/>
  <c r="Q4"/>
  <c r="O26"/>
  <c r="O33" s="1"/>
  <c r="O15"/>
  <c r="D15"/>
  <c r="J5"/>
  <c r="K10" i="14"/>
  <c r="E20" i="15"/>
  <c r="F40" i="14" s="1"/>
  <c r="E5" i="48"/>
  <c r="F10" i="14"/>
  <c r="L15" i="48"/>
  <c r="Q7"/>
  <c r="R24" i="14"/>
  <c r="R26" s="1"/>
  <c r="J18" i="16"/>
  <c r="N18"/>
  <c r="E18"/>
  <c r="F18"/>
  <c r="F22" s="1"/>
  <c r="G43" i="14" s="1"/>
  <c r="G27" i="48" l="1"/>
  <c r="G33" s="1"/>
  <c r="G15"/>
  <c r="Q9"/>
  <c r="N63" i="14"/>
  <c r="M27" i="48"/>
  <c r="M33" s="1"/>
  <c r="M15"/>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<sst xmlns="http://schemas.openxmlformats.org/spreadsheetml/2006/main" count="2568" uniqueCount="998">
  <si>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</si>
  <si>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</si>
  <si>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</si>
  <si>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</si>
  <si>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</si>
  <si>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</si>
  <si>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</si>
  <si>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</si>
  <si>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</si>
  <si>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</si>
  <si>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</si>
  <si>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</si>
  <si>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</si>
  <si>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</si>
  <si>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</si>
  <si>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</si>
  <si>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</si>
  <si>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</si>
  <si>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</si>
  <si>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</si>
  <si>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</si>
  <si>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</si>
  <si>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</si>
  <si>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</si>
  <si>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</si>
  <si>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</si>
  <si>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</si>
  <si>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</si>
  <si>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</si>
  <si>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</si>
  <si>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</si>
  <si>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</si>
  <si>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</si>
  <si>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</si>
  <si>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</si>
  <si>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</si>
  <si>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</si>
  <si>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</si>
  <si>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</si>
  <si>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</si>
  <si>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</si>
  <si>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</si>
  <si>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</si>
  <si>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</si>
  <si>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</si>
  <si>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</si>
  <si>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</si>
  <si>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</si>
  <si>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</si>
  <si>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</si>
  <si>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</si>
  <si>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</si>
  <si>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</si>
  <si>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</si>
  <si>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</si>
  <si>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</si>
  <si>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</si>
  <si>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</si>
  <si>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</si>
  <si>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</si>
  <si>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</si>
  <si>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</si>
  <si>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</si>
  <si>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</si>
  <si>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</si>
  <si>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</si>
  <si>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</si>
  <si>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</si>
  <si>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</si>
  <si>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</si>
  <si>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</si>
  <si>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</si>
  <si>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</si>
  <si>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</si>
  <si>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</si>
  <si>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</si>
  <si>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</si>
  <si>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</si>
  <si>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</si>
  <si>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</si>
  <si>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</si>
  <si>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</si>
  <si>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</si>
  <si>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</si>
  <si>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</si>
  <si>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</si>
  <si>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</si>
  <si>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</si>
  <si>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</si>
  <si>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</si>
  <si>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</si>
  <si>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</si>
  <si>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</si>
  <si>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</si>
  <si>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</si>
  <si>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</si>
  <si>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</si>
  <si>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</si>
  <si>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</si>
  <si>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</si>
  <si>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</si>
  <si>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</si>
  <si>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</si>
  <si>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</si>
  <si>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</si>
  <si>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</si>
  <si>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</si>
  <si>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</si>
  <si>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</si>
  <si>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</si>
  <si>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</si>
  <si>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</si>
  <si>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</si>
  <si>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</si>
  <si>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</si>
  <si>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</si>
  <si>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</si>
  <si>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</si>
  <si>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</si>
  <si>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</si>
  <si>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</si>
  <si>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</si>
  <si>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</si>
  <si>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</si>
  <si>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</si>
  <si>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</si>
  <si>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</si>
  <si>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</si>
  <si>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</si>
  <si>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</si>
  <si>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</si>
  <si>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</si>
  <si>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</si>
  <si>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</si>
  <si>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</si>
  <si>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</si>
  <si>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</si>
  <si>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</si>
  <si>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</si>
  <si>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</si>
  <si>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</si>
  <si>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</si>
  <si>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</si>
  <si>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</si>
  <si>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</si>
  <si>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</si>
  <si>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</si>
  <si>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</si>
  <si>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</si>
  <si>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</si>
  <si>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</si>
  <si>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</si>
  <si>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</si>
  <si>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</si>
  <si>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</si>
  <si>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</si>
  <si>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</si>
  <si>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</si>
  <si>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</si>
  <si>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</si>
  <si>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</si>
  <si>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</si>
  <si>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</si>
  <si>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</si>
  <si>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</si>
  <si>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</si>
  <si>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</si>
  <si>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</si>
  <si>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</si>
  <si>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</si>
  <si>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</si>
  <si>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</si>
  <si>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</si>
  <si>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</si>
  <si>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</si>
  <si>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</si>
  <si>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</si>
  <si>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</si>
  <si>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</si>
  <si>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</si>
  <si>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</si>
  <si>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</si>
  <si>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</si>
  <si>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</si>
  <si>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</si>
  <si>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</si>
  <si>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</si>
  <si>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</si>
  <si>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</si>
  <si>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</si>
  <si>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</si>
  <si>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</si>
  <si>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</si>
  <si>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</si>
  <si>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</si>
  <si>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</si>
  <si>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</si>
  <si>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</si>
  <si>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</si>
  <si>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</si>
  <si>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</si>
  <si>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</si>
  <si>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</si>
  <si>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</si>
  <si>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</si>
  <si>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</si>
  <si>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</si>
  <si>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</si>
  <si>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</si>
  <si>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</si>
  <si>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</si>
  <si>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</si>
  <si>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</si>
  <si>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</si>
  <si>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</si>
  <si>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</si>
  <si>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</si>
  <si>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</si>
  <si>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</si>
  <si>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</si>
  <si>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</si>
  <si>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</si>
  <si>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</si>
  <si>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</si>
  <si>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</si>
  <si>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</si>
  <si>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</si>
  <si>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</si>
  <si>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</si>
  <si>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</si>
  <si>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</si>
  <si>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</si>
  <si>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</si>
  <si>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</si>
  <si>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</si>
  <si>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</si>
  <si>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</si>
  <si>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</si>
  <si>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</si>
  <si>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</si>
  <si>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</si>
  <si>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</si>
  <si>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</si>
  <si>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</si>
  <si>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</si>
  <si>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</si>
  <si>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</si>
  <si>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</si>
  <si>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</si>
  <si>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</si>
  <si>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</si>
  <si>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</si>
  <si>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</si>
  <si>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</si>
  <si>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</si>
  <si>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</si>
  <si>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</si>
  <si>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</si>
  <si>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</si>
  <si>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</si>
  <si>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</si>
  <si>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</si>
  <si>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</si>
  <si>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</si>
  <si>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</si>
  <si>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</si>
  <si>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</si>
  <si>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</si>
  <si>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</si>
  <si>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</si>
  <si>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</si>
  <si>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</si>
  <si>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</si>
  <si>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</si>
  <si>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</si>
  <si>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</si>
  <si>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</si>
  <si>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</si>
  <si>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</si>
  <si>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</si>
  <si>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</si>
  <si>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</si>
  <si>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</si>
  <si>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</si>
  <si>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</si>
  <si>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</si>
  <si>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</si>
  <si>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</si>
  <si>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</si>
  <si>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</si>
  <si>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</si>
  <si>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</si>
  <si>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</si>
  <si>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</si>
  <si>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</si>
  <si>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</si>
  <si>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</si>
  <si>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</si>
  <si>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</si>
  <si>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</si>
  <si>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</si>
  <si>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</si>
  <si>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</si>
  <si>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</si>
  <si>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</si>
  <si>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</si>
  <si>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</si>
  <si>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</si>
  <si>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</si>
  <si>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</si>
  <si>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</si>
  <si>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</si>
  <si>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</si>
  <si>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</si>
  <si>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</si>
  <si>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</si>
  <si>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</si>
  <si>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</si>
  <si>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</si>
  <si>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</si>
  <si>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</si>
  <si>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</si>
  <si>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</si>
  <si>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</si>
  <si>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</si>
  <si>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</si>
  <si>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</si>
  <si>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</si>
  <si>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</si>
  <si>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</si>
  <si>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</si>
  <si>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</si>
  <si>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</si>
  <si>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</si>
  <si>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</si>
  <si>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</si>
  <si>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</si>
  <si>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</si>
  <si>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</si>
  <si>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</si>
  <si>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</si>
  <si>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</si>
  <si>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</si>
  <si>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</si>
  <si>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</si>
  <si>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</si>
  <si>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</si>
  <si>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</si>
  <si>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</si>
  <si>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</si>
  <si>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</si>
  <si>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</si>
  <si>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</si>
  <si>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</si>
  <si>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</si>
  <si>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</si>
  <si>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</si>
  <si>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</si>
  <si>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</si>
  <si>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</si>
  <si>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</si>
  <si>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</si>
  <si>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</si>
  <si>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</si>
  <si>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</si>
  <si>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</si>
  <si>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</si>
  <si>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</si>
  <si>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</si>
  <si>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</si>
  <si>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</si>
  <si>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</si>
  <si>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</si>
  <si>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</si>
  <si>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</si>
  <si>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</si>
  <si>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</si>
  <si>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</si>
  <si>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</si>
  <si>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</si>
  <si>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</si>
  <si>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</si>
  <si>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</si>
  <si>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</si>
  <si>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</si>
  <si>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</si>
  <si>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</si>
  <si>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</si>
  <si>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</si>
  <si>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</si>
  <si>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</si>
  <si>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</si>
  <si>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</si>
  <si>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</si>
  <si>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</si>
  <si>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</si>
  <si>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</si>
  <si>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</si>
  <si>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</si>
  <si>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</si>
  <si>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</si>
  <si>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</si>
  <si>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</si>
  <si>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</si>
  <si>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</si>
  <si>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</si>
  <si>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</si>
  <si>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</si>
  <si>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</si>
  <si>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</si>
  <si>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</si>
  <si>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</si>
  <si>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</si>
  <si>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</si>
  <si>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</si>
  <si>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</si>
  <si>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</si>
  <si>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</si>
  <si>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</si>
  <si>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</si>
  <si>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</si>
  <si>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</si>
  <si>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</si>
  <si>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</si>
  <si>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</si>
  <si>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</si>
  <si>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</si>
  <si>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</si>
  <si>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</si>
  <si>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</si>
  <si>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</si>
  <si>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</si>
  <si>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</si>
  <si>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</si>
  <si>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</si>
  <si>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</si>
  <si>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</si>
  <si>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</si>
  <si>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</si>
  <si>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</si>
  <si>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</si>
  <si>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</si>
  <si>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</si>
  <si>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</si>
  <si>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</si>
  <si>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</si>
  <si>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</si>
  <si>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</si>
  <si>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</si>
  <si>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</si>
  <si>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</si>
  <si>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</si>
  <si>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</si>
  <si>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</si>
  <si>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</si>
  <si>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</si>
  <si>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</si>
  <si>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</si>
  <si>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</si>
  <si>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</si>
  <si>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</si>
  <si>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</si>
  <si>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</si>
  <si>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</si>
  <si>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</si>
  <si>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</si>
  <si>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</si>
  <si>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</si>
  <si>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</si>
  <si>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</si>
  <si>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</si>
  <si>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</si>
  <si>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</si>
  <si>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</si>
  <si>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</si>
  <si>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</si>
  <si>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</si>
  <si>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</si>
  <si>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</si>
  <si>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</si>
  <si>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</si>
  <si>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</si>
  <si>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</si>
  <si>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</si>
  <si>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</si>
  <si>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</si>
  <si>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</si>
  <si>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</si>
  <si>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</si>
  <si>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</si>
  <si>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</si>
  <si>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</si>
  <si>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</si>
  <si>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</si>
  <si>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</si>
  <si>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</si>
  <si>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</si>
  <si>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</si>
  <si>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</si>
  <si>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</si>
  <si>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</si>
  <si>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</si>
  <si>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</si>
  <si>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</si>
  <si>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</si>
  <si>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</si>
  <si>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</si>
  <si>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</si>
  <si>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</si>
  <si>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</si>
  <si>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</si>
  <si>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</si>
  <si>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</si>
  <si>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</si>
  <si>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</si>
  <si>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</si>
  <si>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</si>
  <si>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</si>
  <si>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</si>
  <si>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</si>
  <si>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</si>
  <si>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</si>
  <si>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</si>
  <si>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</si>
  <si>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</si>
  <si>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</si>
  <si>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</si>
  <si>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</si>
  <si>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</si>
  <si>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</si>
  <si>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</si>
  <si>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</si>
  <si>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</si>
  <si>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</si>
  <si>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</si>
  <si>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</si>
  <si>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</si>
  <si>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</si>
  <si>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</si>
  <si>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</si>
  <si>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</si>
  <si>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</si>
  <si>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</si>
  <si>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</si>
  <si>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</si>
  <si>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</si>
  <si>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</si>
  <si>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</si>
  <si>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</si>
  <si>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</si>
  <si>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</si>
  <si>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</si>
  <si>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</si>
  <si>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</si>
  <si>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</si>
  <si>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</si>
  <si>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</si>
  <si>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</si>
  <si>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</si>
  <si>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</si>
  <si>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</si>
  <si>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</si>
  <si>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</si>
  <si>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</si>
  <si>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</si>
  <si>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</si>
  <si>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</si>
  <si>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</si>
  <si>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</si>
  <si>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</si>
  <si>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</si>
  <si>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</si>
  <si>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</si>
  <si>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</si>
  <si>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</si>
  <si>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</si>
  <si>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</si>
  <si>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</si>
  <si>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</si>
  <si>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</si>
  <si>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</si>
  <si>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</si>
  <si>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</si>
  <si>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</si>
  <si>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</si>
  <si>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</si>
  <si>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</si>
  <si>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</si>
  <si>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</si>
  <si>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</si>
  <si>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</si>
  <si>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</si>
  <si>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</si>
  <si>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</si>
  <si>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</si>
  <si>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</si>
  <si>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</si>
  <si>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</si>
  <si>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</si>
  <si>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</si>
  <si>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</si>
  <si>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</si>
  <si>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</si>
  <si>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</si>
  <si>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</si>
  <si>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</si>
  <si>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</si>
  <si>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</si>
  <si>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</si>
  <si>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</si>
  <si>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</si>
  <si>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</si>
  <si>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</si>
  <si>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</si>
  <si>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</si>
  <si>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</si>
  <si>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</si>
  <si>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</si>
  <si>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</si>
  <si>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</si>
  <si>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</si>
  <si>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</si>
  <si>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</si>
  <si>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</si>
  <si>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</si>
  <si>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</si>
  <si>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</si>
  <si>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</si>
  <si>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</si>
  <si>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</si>
  <si>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</si>
  <si>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</si>
  <si>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</si>
  <si>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</si>
  <si>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</si>
  <si>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</si>
  <si>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</si>
  <si>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</si>
  <si>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</si>
  <si>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</si>
  <si>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</si>
  <si>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</si>
  <si>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</si>
  <si>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</si>
  <si>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</si>
  <si>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</si>
  <si>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</si>
  <si>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</si>
  <si>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</si>
  <si>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</si>
  <si>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</si>
  <si>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</si>
  <si>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</si>
  <si>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</si>
  <si>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</si>
  <si>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</si>
  <si>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</si>
  <si>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</si>
  <si>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</si>
  <si>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</si>
  <si>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</si>
  <si>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</si>
  <si>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</si>
  <si>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</si>
  <si>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</si>
  <si>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</si>
  <si>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</si>
  <si>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</si>
  <si>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</si>
  <si>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</si>
  <si>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</si>
  <si>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</si>
  <si>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</si>
  <si>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</si>
  <si>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</si>
  <si>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</si>
  <si>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</si>
  <si>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</si>
  <si>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</si>
  <si>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</si>
  <si>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</si>
  <si>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</si>
  <si>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</si>
  <si>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</si>
  <si>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</si>
  <si>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</si>
  <si>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</si>
  <si>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</si>
  <si>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</si>
  <si>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</si>
  <si>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</si>
  <si>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</si>
  <si>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</si>
  <si>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</si>
  <si>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</si>
  <si>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</si>
  <si>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</si>
  <si>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</si>
  <si>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</si>
  <si>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</si>
  <si>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</si>
  <si>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</si>
  <si>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</si>
  <si>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</si>
  <si>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</si>
  <si>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</si>
  <si>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</si>
  <si>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</si>
  <si>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</si>
  <si>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</si>
  <si>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</si>
  <si>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</si>
  <si>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</si>
  <si>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</si>
  <si>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</si>
  <si>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</si>
  <si>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</si>
  <si>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</si>
  <si>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</si>
  <si>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</si>
  <si>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</si>
  <si>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</si>
  <si>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</si>
  <si>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</si>
  <si>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</si>
  <si>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</si>
  <si>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</si>
  <si>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</si>
  <si>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</si>
  <si>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</si>
  <si>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</si>
  <si>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</si>
  <si>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</si>
  <si>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</si>
  <si>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</si>
  <si>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</si>
  <si>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</si>
  <si>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</si>
  <si>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</si>
  <si>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</si>
  <si>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</si>
  <si>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</si>
  <si>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</si>
  <si>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</si>
  <si>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</si>
  <si>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</si>
  <si>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</si>
  <si>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</si>
  <si>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</si>
  <si>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</si>
  <si>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</si>
  <si>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</si>
  <si>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</si>
  <si>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</si>
  <si>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</si>
  <si>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</si>
  <si>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</si>
  <si>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</si>
  <si>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</si>
  <si>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</si>
  <si>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</si>
  <si>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</si>
  <si>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</si>
  <si>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</si>
  <si>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</si>
  <si>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</si>
  <si>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</si>
  <si>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</si>
  <si>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</si>
  <si>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</si>
  <si>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</si>
  <si>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</si>
  <si>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</si>
  <si>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</si>
  <si>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</si>
  <si>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</si>
  <si>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</si>
  <si>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</si>
  <si>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</si>
  <si>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</si>
  <si>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</si>
  <si>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</si>
  <si>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</si>
  <si>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</si>
  <si>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</si>
  <si>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</si>
  <si>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</si>
  <si>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</si>
  <si>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</si>
  <si>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</si>
  <si>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</si>
  <si>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</si>
  <si>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</si>
  <si>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</si>
  <si>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</si>
  <si>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</si>
  <si>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</si>
  <si>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</si>
  <si>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</si>
  <si>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</si>
  <si>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</si>
  <si>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</si>
  <si>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</si>
  <si>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</si>
  <si>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</si>
  <si>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</si>
  <si>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</si>
  <si>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</si>
  <si>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</si>
  <si>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</si>
  <si>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</si>
  <si>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</si>
  <si>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</si>
  <si>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</si>
  <si>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</si>
  <si>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</si>
  <si>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</si>
  <si>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</si>
  <si>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</si>
  <si>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</si>
  <si>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</si>
  <si>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</si>
  <si>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</si>
  <si>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</si>
  <si>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</si>
  <si>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</si>
  <si>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</si>
  <si>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</si>
  <si>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</si>
  <si>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</si>
  <si>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</si>
  <si>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</si>
  <si>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</si>
  <si>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</si>
  <si>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</si>
  <si>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</si>
  <si>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</si>
  <si>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</si>
  <si>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</si>
  <si>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</si>
  <si>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</si>
  <si>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</si>
  <si>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</si>
  <si>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</si>
  <si>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</si>
  <si>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</si>
  <si>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</si>
  <si>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</si>
  <si>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</si>
  <si>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</si>
  <si>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</si>
  <si>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</si>
  <si>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</si>
  <si>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</si>
  <si>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</si>
  <si>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</si>
  <si>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</si>
  <si>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</si>
  <si>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</si>
  <si>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</si>
  <si>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</si>
  <si>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</si>
  <si>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</si>
  <si>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</si>
  <si>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</si>
  <si>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</si>
  <si>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</si>
  <si>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</si>
  <si>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</si>
  <si>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</si>
  <si>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</si>
  <si>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</si>
  <si>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</si>
  <si>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</si>
  <si>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</si>
  <si>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</si>
  <si>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</si>
  <si>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</si>
  <si>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</si>
  <si>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</si>
  <si>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</si>
  <si>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</si>
  <si>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</si>
  <si>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</si>
  <si>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</si>
  <si>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</si>
  <si>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</si>
  <si>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</si>
  <si>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</si>
  <si>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</si>
  <si>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</si>
  <si>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</si>
  <si>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</si>
  <si>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</si>
  <si>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</si>
  <si>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</si>
  <si>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</si>
  <si>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</si>
  <si>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</si>
  <si>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</si>
  <si>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</si>
  <si>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</si>
  <si>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</si>
  <si>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</si>
  <si>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</si>
  <si>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</si>
  <si>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</si>
  <si>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</si>
  <si>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</si>
  <si>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</si>
  <si>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</si>
  <si>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</si>
  <si>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</si>
  <si>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</si>
  <si>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</si>
  <si>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</si>
  <si>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</si>
  <si>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</si>
  <si>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</si>
  <si>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</si>
  <si>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</si>
  <si>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</si>
  <si>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</si>
  <si>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</si>
  <si>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</si>
  <si>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</si>
  <si>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</si>
  <si>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</si>
  <si>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</si>
  <si>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</si>
  <si>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</si>
  <si>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</si>
  <si>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</si>
  <si>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</si>
  <si>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</si>
  <si>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</si>
  <si>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</si>
  <si>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</si>
  <si>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</si>
  <si>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</si>
  <si>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</si>
  <si>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</si>
  <si>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</si>
  <si>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</si>
  <si>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</si>
  <si>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</si>
  <si>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</si>
  <si>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</si>
  <si>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</si>
  <si>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</si>
  <si>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</si>
  <si>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</si>
  <si>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</si>
  <si>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</si>
  <si>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</si>
  <si>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</si>
  <si>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13014</t>
  </si>
  <si>
    <t>HOOGSTRATEN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</si>
  <si>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</si>
  <si>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</si>
  <si>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</si>
  <si>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</si>
  <si>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</si>
  <si>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</si>
  <si>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</si>
  <si>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Desta NV</t>
  </si>
  <si>
    <t>Heerle 11 , 2320 Hoogstraten</t>
  </si>
  <si>
    <t>WKK-0233 Desta NV</t>
  </si>
  <si>
    <t>interne verbrandingsmotor</t>
  </si>
  <si>
    <t>WKK interne verbrandinsgmotor (gas)</t>
  </si>
  <si>
    <t>IVEKA</t>
  </si>
  <si>
    <t>WKK-Willy Jacobs</t>
  </si>
  <si>
    <t>Oosteneind 2 A, 2328 Meerle</t>
  </si>
  <si>
    <t>WKK-0312 Willy Jacobs</t>
  </si>
  <si>
    <t>WKK interne verbrandinsgmotor (vloeibaar)</t>
  </si>
  <si>
    <t>eilandwerking</t>
  </si>
  <si>
    <t>Pafa bvba</t>
  </si>
  <si>
    <t>Maxburgdreef 36A, 2321 Meer</t>
  </si>
  <si>
    <t>WKK-0164 Pafa</t>
  </si>
  <si>
    <t>Rovak bvba</t>
  </si>
  <si>
    <t>Gaarshof 12 , 2321 Meer</t>
  </si>
  <si>
    <t>WKK-0180 Rovak bvba</t>
  </si>
  <si>
    <t>Vergo Energie</t>
  </si>
  <si>
    <t>Maxburghdreef 6A, 2321 Meer</t>
  </si>
  <si>
    <t>WKK-0122 Vergo Energie</t>
  </si>
  <si>
    <t>Groeikracht Rielbro NV</t>
  </si>
  <si>
    <t>Eindsestraat 1d, 2321 Meer</t>
  </si>
  <si>
    <t>WKK-0141 Groeikracht Rielbro</t>
  </si>
  <si>
    <t>Meer Fresh Products bvba</t>
  </si>
  <si>
    <t>Kettingdreef 3, 2321 Meer</t>
  </si>
  <si>
    <t>WKK-0120 Meer Fresh products</t>
  </si>
  <si>
    <t>Aquafin NV</t>
  </si>
  <si>
    <t>Dijkstraat 8, 2630 Aartselaar</t>
  </si>
  <si>
    <t>BGS-0044 RWZI Hoogstraten</t>
  </si>
  <si>
    <t>biogas - RWZI</t>
  </si>
  <si>
    <t>niet WKK interne verbrandingsmotor (gas)</t>
  </si>
  <si>
    <t>Rollekens 4, 2320 Hoogstraten</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</si>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</sst>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13014</v>
      </c>
      <c r="B6" s="396"/>
      <c r="C6" s="397"/>
    </row>
    <row r="7" spans="1:7" s="394" customFormat="1" ht="15.75" customHeight="1">
      <c r="A7" s="398" t="str">
        <f>txtMunicipality</f>
        <v>HOOGSTRATEN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0.19689152697475087</v>
      </c>
      <c r="C17" s="509">
        <f ca="1">'EF ele_warmte'!B22</f>
        <v>0.22949292345405012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0.19689152697475087</v>
      </c>
      <c r="C29" s="510">
        <f ca="1">'EF ele_warmte'!B22</f>
        <v>0.22949292345405012</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7898</v>
      </c>
      <c r="C9" s="336">
        <v>8903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6360</v>
      </c>
    </row>
    <row r="15" spans="1:6">
      <c r="A15" s="1277" t="s">
        <v>184</v>
      </c>
      <c r="B15" s="333">
        <v>4170</v>
      </c>
    </row>
    <row r="16" spans="1:6">
      <c r="A16" s="1277" t="s">
        <v>6</v>
      </c>
      <c r="B16" s="333">
        <v>5796</v>
      </c>
    </row>
    <row r="17" spans="1:6">
      <c r="A17" s="1277" t="s">
        <v>7</v>
      </c>
      <c r="B17" s="333">
        <v>988</v>
      </c>
    </row>
    <row r="18" spans="1:6">
      <c r="A18" s="1277" t="s">
        <v>8</v>
      </c>
      <c r="B18" s="333">
        <v>3795</v>
      </c>
    </row>
    <row r="19" spans="1:6">
      <c r="A19" s="1277" t="s">
        <v>9</v>
      </c>
      <c r="B19" s="333">
        <v>3417</v>
      </c>
    </row>
    <row r="20" spans="1:6">
      <c r="A20" s="1277" t="s">
        <v>10</v>
      </c>
      <c r="B20" s="333">
        <v>2129</v>
      </c>
    </row>
    <row r="21" spans="1:6">
      <c r="A21" s="1277" t="s">
        <v>11</v>
      </c>
      <c r="B21" s="333">
        <v>61315</v>
      </c>
    </row>
    <row r="22" spans="1:6">
      <c r="A22" s="1277" t="s">
        <v>12</v>
      </c>
      <c r="B22" s="333">
        <v>146352</v>
      </c>
    </row>
    <row r="23" spans="1:6">
      <c r="A23" s="1277" t="s">
        <v>13</v>
      </c>
      <c r="B23" s="333">
        <v>2702</v>
      </c>
    </row>
    <row r="24" spans="1:6">
      <c r="A24" s="1277" t="s">
        <v>14</v>
      </c>
      <c r="B24" s="333">
        <v>252</v>
      </c>
    </row>
    <row r="25" spans="1:6">
      <c r="A25" s="1277" t="s">
        <v>15</v>
      </c>
      <c r="B25" s="333">
        <v>15720</v>
      </c>
    </row>
    <row r="26" spans="1:6">
      <c r="A26" s="1277" t="s">
        <v>16</v>
      </c>
      <c r="B26" s="333">
        <v>272</v>
      </c>
    </row>
    <row r="27" spans="1:6">
      <c r="A27" s="1277" t="s">
        <v>17</v>
      </c>
      <c r="B27" s="333">
        <v>1128</v>
      </c>
    </row>
    <row r="28" spans="1:6">
      <c r="A28" s="1277" t="s">
        <v>18</v>
      </c>
      <c r="B28" s="333">
        <v>1119557</v>
      </c>
    </row>
    <row r="29" spans="1:6">
      <c r="A29" s="1277" t="s">
        <v>959</v>
      </c>
      <c r="B29" s="333">
        <v>270</v>
      </c>
    </row>
    <row r="30" spans="1:6">
      <c r="A30" s="1273" t="s">
        <v>960</v>
      </c>
      <c r="B30" s="1273">
        <v>71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4</v>
      </c>
      <c r="F35" s="333">
        <v>350200.84972819098</v>
      </c>
    </row>
    <row r="36" spans="1:6">
      <c r="A36" s="1277" t="s">
        <v>25</v>
      </c>
      <c r="B36" s="1277" t="s">
        <v>27</v>
      </c>
      <c r="C36" s="333">
        <v>0</v>
      </c>
      <c r="D36" s="333">
        <v>0</v>
      </c>
      <c r="E36" s="333">
        <v>3</v>
      </c>
      <c r="F36" s="333">
        <v>108499.889184028</v>
      </c>
    </row>
    <row r="37" spans="1:6">
      <c r="A37" s="1277" t="s">
        <v>25</v>
      </c>
      <c r="B37" s="1277" t="s">
        <v>28</v>
      </c>
      <c r="C37" s="333">
        <v>0</v>
      </c>
      <c r="D37" s="333">
        <v>0</v>
      </c>
      <c r="E37" s="333">
        <v>0</v>
      </c>
      <c r="F37" s="333">
        <v>0</v>
      </c>
    </row>
    <row r="38" spans="1:6">
      <c r="A38" s="1277" t="s">
        <v>25</v>
      </c>
      <c r="B38" s="1277" t="s">
        <v>29</v>
      </c>
      <c r="C38" s="333">
        <v>3</v>
      </c>
      <c r="D38" s="333">
        <v>57123178.773007497</v>
      </c>
      <c r="E38" s="333">
        <v>2</v>
      </c>
      <c r="F38" s="333">
        <v>135102.63291558999</v>
      </c>
    </row>
    <row r="39" spans="1:6">
      <c r="A39" s="1277" t="s">
        <v>30</v>
      </c>
      <c r="B39" s="1277" t="s">
        <v>31</v>
      </c>
      <c r="C39" s="333">
        <v>5020</v>
      </c>
      <c r="D39" s="333">
        <v>94818050.566904396</v>
      </c>
      <c r="E39" s="333">
        <v>7407</v>
      </c>
      <c r="F39" s="333">
        <v>35789510.452189997</v>
      </c>
    </row>
    <row r="40" spans="1:6">
      <c r="A40" s="1277" t="s">
        <v>30</v>
      </c>
      <c r="B40" s="1277" t="s">
        <v>29</v>
      </c>
      <c r="C40" s="333">
        <v>0</v>
      </c>
      <c r="D40" s="333">
        <v>0</v>
      </c>
      <c r="E40" s="333">
        <v>0</v>
      </c>
      <c r="F40" s="333">
        <v>0</v>
      </c>
    </row>
    <row r="41" spans="1:6">
      <c r="A41" s="1277" t="s">
        <v>32</v>
      </c>
      <c r="B41" s="1277" t="s">
        <v>33</v>
      </c>
      <c r="C41" s="333">
        <v>20</v>
      </c>
      <c r="D41" s="333">
        <v>676443.89276436204</v>
      </c>
      <c r="E41" s="333">
        <v>147</v>
      </c>
      <c r="F41" s="333">
        <v>2796020.7079776898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558086.47954409395</v>
      </c>
      <c r="E44" s="333">
        <v>12</v>
      </c>
      <c r="F44" s="333">
        <v>1435074.06041858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6</v>
      </c>
      <c r="F47" s="333">
        <v>2491767.97956448</v>
      </c>
    </row>
    <row r="48" spans="1:6">
      <c r="A48" s="1277" t="s">
        <v>32</v>
      </c>
      <c r="B48" s="1277" t="s">
        <v>29</v>
      </c>
      <c r="C48" s="333">
        <v>78</v>
      </c>
      <c r="D48" s="333">
        <v>56721654.204164997</v>
      </c>
      <c r="E48" s="333">
        <v>109</v>
      </c>
      <c r="F48" s="333">
        <v>72369146.304510802</v>
      </c>
    </row>
    <row r="49" spans="1:6">
      <c r="A49" s="1277" t="s">
        <v>32</v>
      </c>
      <c r="B49" s="1277" t="s">
        <v>40</v>
      </c>
      <c r="C49" s="333">
        <v>0</v>
      </c>
      <c r="D49" s="333">
        <v>0</v>
      </c>
      <c r="E49" s="333">
        <v>0</v>
      </c>
      <c r="F49" s="333">
        <v>0</v>
      </c>
    </row>
    <row r="50" spans="1:6">
      <c r="A50" s="1277" t="s">
        <v>32</v>
      </c>
      <c r="B50" s="1277" t="s">
        <v>41</v>
      </c>
      <c r="C50" s="333">
        <v>7</v>
      </c>
      <c r="D50" s="333">
        <v>649429.42349582398</v>
      </c>
      <c r="E50" s="333">
        <v>13</v>
      </c>
      <c r="F50" s="333">
        <v>3549390.44976637</v>
      </c>
    </row>
    <row r="51" spans="1:6">
      <c r="A51" s="1277" t="s">
        <v>42</v>
      </c>
      <c r="B51" s="1277" t="s">
        <v>43</v>
      </c>
      <c r="C51" s="333">
        <v>39</v>
      </c>
      <c r="D51" s="333">
        <v>161508838.42523199</v>
      </c>
      <c r="E51" s="333">
        <v>436</v>
      </c>
      <c r="F51" s="333">
        <v>17782966.730693899</v>
      </c>
    </row>
    <row r="52" spans="1:6">
      <c r="A52" s="1277" t="s">
        <v>42</v>
      </c>
      <c r="B52" s="1277" t="s">
        <v>29</v>
      </c>
      <c r="C52" s="333">
        <v>16</v>
      </c>
      <c r="D52" s="333">
        <v>17017709.433122899</v>
      </c>
      <c r="E52" s="333">
        <v>41</v>
      </c>
      <c r="F52" s="333">
        <v>2253014.9213711699</v>
      </c>
    </row>
    <row r="53" spans="1:6">
      <c r="A53" s="1277" t="s">
        <v>44</v>
      </c>
      <c r="B53" s="1277" t="s">
        <v>45</v>
      </c>
      <c r="C53" s="333">
        <v>248</v>
      </c>
      <c r="D53" s="333">
        <v>5739690.9312323499</v>
      </c>
      <c r="E53" s="333">
        <v>431</v>
      </c>
      <c r="F53" s="333">
        <v>3134663.5762508898</v>
      </c>
    </row>
    <row r="54" spans="1:6">
      <c r="A54" s="1277" t="s">
        <v>46</v>
      </c>
      <c r="B54" s="1277" t="s">
        <v>47</v>
      </c>
      <c r="C54" s="333">
        <v>0</v>
      </c>
      <c r="D54" s="333">
        <v>0</v>
      </c>
      <c r="E54" s="333">
        <v>3</v>
      </c>
      <c r="F54" s="333">
        <v>1435539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33</v>
      </c>
      <c r="D57" s="333">
        <v>17130275.363294698</v>
      </c>
      <c r="E57" s="333">
        <v>116</v>
      </c>
      <c r="F57" s="333">
        <v>3925861.1474173199</v>
      </c>
    </row>
    <row r="58" spans="1:6">
      <c r="A58" s="1277" t="s">
        <v>49</v>
      </c>
      <c r="B58" s="1277" t="s">
        <v>51</v>
      </c>
      <c r="C58" s="333">
        <v>6</v>
      </c>
      <c r="D58" s="333">
        <v>279342.517536678</v>
      </c>
      <c r="E58" s="333">
        <v>16</v>
      </c>
      <c r="F58" s="333">
        <v>170024.270540714</v>
      </c>
    </row>
    <row r="59" spans="1:6">
      <c r="A59" s="1277" t="s">
        <v>49</v>
      </c>
      <c r="B59" s="1277" t="s">
        <v>52</v>
      </c>
      <c r="C59" s="333">
        <v>66</v>
      </c>
      <c r="D59" s="333">
        <v>3354018.62201748</v>
      </c>
      <c r="E59" s="333">
        <v>173</v>
      </c>
      <c r="F59" s="333">
        <v>7405253.5606209198</v>
      </c>
    </row>
    <row r="60" spans="1:6">
      <c r="A60" s="1277" t="s">
        <v>49</v>
      </c>
      <c r="B60" s="1277" t="s">
        <v>53</v>
      </c>
      <c r="C60" s="333">
        <v>59</v>
      </c>
      <c r="D60" s="333">
        <v>3050755.11420934</v>
      </c>
      <c r="E60" s="333">
        <v>91</v>
      </c>
      <c r="F60" s="333">
        <v>2728912.2229137202</v>
      </c>
    </row>
    <row r="61" spans="1:6">
      <c r="A61" s="1277" t="s">
        <v>49</v>
      </c>
      <c r="B61" s="1277" t="s">
        <v>54</v>
      </c>
      <c r="C61" s="333">
        <v>118</v>
      </c>
      <c r="D61" s="333">
        <v>18315194.567860499</v>
      </c>
      <c r="E61" s="333">
        <v>360</v>
      </c>
      <c r="F61" s="333">
        <v>9657233.5951921307</v>
      </c>
    </row>
    <row r="62" spans="1:6">
      <c r="A62" s="1277" t="s">
        <v>49</v>
      </c>
      <c r="B62" s="1277" t="s">
        <v>55</v>
      </c>
      <c r="C62" s="333">
        <v>15</v>
      </c>
      <c r="D62" s="333">
        <v>7252918.85497519</v>
      </c>
      <c r="E62" s="333">
        <v>13</v>
      </c>
      <c r="F62" s="333">
        <v>1557436.1989859301</v>
      </c>
    </row>
    <row r="63" spans="1:6">
      <c r="A63" s="1277" t="s">
        <v>49</v>
      </c>
      <c r="B63" s="1277" t="s">
        <v>29</v>
      </c>
      <c r="C63" s="333">
        <v>186</v>
      </c>
      <c r="D63" s="333">
        <v>20853593.185401399</v>
      </c>
      <c r="E63" s="333">
        <v>256</v>
      </c>
      <c r="F63" s="333">
        <v>22310830.162644699</v>
      </c>
    </row>
    <row r="64" spans="1:6">
      <c r="A64" s="1277" t="s">
        <v>56</v>
      </c>
      <c r="B64" s="1277" t="s">
        <v>57</v>
      </c>
      <c r="C64" s="333">
        <v>0</v>
      </c>
      <c r="D64" s="333">
        <v>0</v>
      </c>
      <c r="E64" s="333">
        <v>0</v>
      </c>
      <c r="F64" s="333">
        <v>0</v>
      </c>
    </row>
    <row r="65" spans="1:6">
      <c r="A65" s="1277" t="s">
        <v>56</v>
      </c>
      <c r="B65" s="1277" t="s">
        <v>29</v>
      </c>
      <c r="C65" s="333">
        <v>4</v>
      </c>
      <c r="D65" s="333">
        <v>78561.7403499106</v>
      </c>
      <c r="E65" s="333">
        <v>4</v>
      </c>
      <c r="F65" s="333">
        <v>74935.384480573004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7</v>
      </c>
      <c r="D68" s="333">
        <v>102293.471231779</v>
      </c>
      <c r="E68" s="333">
        <v>33</v>
      </c>
      <c r="F68" s="333">
        <v>1333020.01494706</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81728817</v>
      </c>
      <c r="E73" s="333">
        <v>84302814.385844201</v>
      </c>
      <c r="F73" s="333">
        <v>81833586</v>
      </c>
    </row>
    <row r="74" spans="1:6">
      <c r="A74" s="1277" t="s">
        <v>64</v>
      </c>
      <c r="B74" s="1277" t="s">
        <v>774</v>
      </c>
      <c r="C74" s="1288" t="s">
        <v>775</v>
      </c>
      <c r="D74" s="333">
        <v>9105231.9748822059</v>
      </c>
      <c r="E74" s="333">
        <v>9632074.2363675032</v>
      </c>
      <c r="F74" s="333">
        <v>9335896.7174501568</v>
      </c>
    </row>
    <row r="75" spans="1:6">
      <c r="A75" s="1277" t="s">
        <v>65</v>
      </c>
      <c r="B75" s="1277" t="s">
        <v>772</v>
      </c>
      <c r="C75" s="1288" t="s">
        <v>776</v>
      </c>
      <c r="D75" s="333">
        <v>39280707</v>
      </c>
      <c r="E75" s="333">
        <v>40692663.045311078</v>
      </c>
      <c r="F75" s="333">
        <v>39394803</v>
      </c>
    </row>
    <row r="76" spans="1:6">
      <c r="A76" s="1277" t="s">
        <v>65</v>
      </c>
      <c r="B76" s="1277" t="s">
        <v>774</v>
      </c>
      <c r="C76" s="1288" t="s">
        <v>777</v>
      </c>
      <c r="D76" s="333">
        <v>486371.97488220572</v>
      </c>
      <c r="E76" s="333">
        <v>554962.5017186082</v>
      </c>
      <c r="F76" s="333">
        <v>521823.71745015762</v>
      </c>
    </row>
    <row r="77" spans="1:6">
      <c r="A77" s="1277" t="s">
        <v>66</v>
      </c>
      <c r="B77" s="1277" t="s">
        <v>772</v>
      </c>
      <c r="C77" s="1288" t="s">
        <v>778</v>
      </c>
      <c r="D77" s="333">
        <v>138404038</v>
      </c>
      <c r="E77" s="333">
        <v>145187646.68550426</v>
      </c>
      <c r="F77" s="333">
        <v>137731077</v>
      </c>
    </row>
    <row r="78" spans="1:6">
      <c r="A78" s="1273" t="s">
        <v>66</v>
      </c>
      <c r="B78" s="1273" t="s">
        <v>774</v>
      </c>
      <c r="C78" s="1273" t="s">
        <v>779</v>
      </c>
      <c r="D78" s="1273">
        <v>40101574</v>
      </c>
      <c r="E78" s="1273">
        <v>40247926.638681263</v>
      </c>
      <c r="F78" s="336">
        <v>37788128</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532776.05023558857</v>
      </c>
      <c r="C83" s="333">
        <v>491130.24907992058</v>
      </c>
      <c r="D83" s="333">
        <v>496758.56509968475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19822.423909587542</v>
      </c>
    </row>
    <row r="91" spans="1:6">
      <c r="A91" s="1277" t="s">
        <v>68</v>
      </c>
      <c r="B91" s="333">
        <v>1985.9538668727726</v>
      </c>
    </row>
    <row r="92" spans="1:6">
      <c r="A92" s="1273" t="s">
        <v>69</v>
      </c>
      <c r="B92" s="336">
        <v>1543.3401807759446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2912</v>
      </c>
    </row>
    <row r="98" spans="1:6">
      <c r="A98" s="1277" t="s">
        <v>72</v>
      </c>
      <c r="B98" s="333">
        <v>9</v>
      </c>
    </row>
    <row r="99" spans="1:6">
      <c r="A99" s="1277" t="s">
        <v>73</v>
      </c>
      <c r="B99" s="333">
        <v>149</v>
      </c>
    </row>
    <row r="100" spans="1:6">
      <c r="A100" s="1277" t="s">
        <v>74</v>
      </c>
      <c r="B100" s="333">
        <v>429</v>
      </c>
    </row>
    <row r="101" spans="1:6">
      <c r="A101" s="1277" t="s">
        <v>75</v>
      </c>
      <c r="B101" s="333">
        <v>128</v>
      </c>
    </row>
    <row r="102" spans="1:6">
      <c r="A102" s="1277" t="s">
        <v>76</v>
      </c>
      <c r="B102" s="333">
        <v>67</v>
      </c>
    </row>
    <row r="103" spans="1:6">
      <c r="A103" s="1277" t="s">
        <v>77</v>
      </c>
      <c r="B103" s="333">
        <v>104</v>
      </c>
    </row>
    <row r="104" spans="1:6">
      <c r="A104" s="1277" t="s">
        <v>78</v>
      </c>
      <c r="B104" s="333">
        <v>2695</v>
      </c>
    </row>
    <row r="105" spans="1:6">
      <c r="A105" s="1273" t="s">
        <v>79</v>
      </c>
      <c r="B105" s="1273">
        <v>7</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2</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8</v>
      </c>
    </row>
    <row r="124" spans="1:6">
      <c r="A124" s="1273" t="s">
        <v>89</v>
      </c>
      <c r="B124" s="333">
        <v>1</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84</v>
      </c>
    </row>
    <row r="130" spans="1:6">
      <c r="A130" s="1277" t="s">
        <v>295</v>
      </c>
      <c r="B130" s="333">
        <v>0</v>
      </c>
    </row>
    <row r="131" spans="1:6">
      <c r="A131" s="1277" t="s">
        <v>296</v>
      </c>
      <c r="B131" s="333">
        <v>4</v>
      </c>
    </row>
    <row r="132" spans="1:6">
      <c r="A132" s="1273" t="s">
        <v>297</v>
      </c>
      <c r="B132" s="336">
        <v>15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203670.67037315687</v>
      </c>
      <c r="C3" s="43" t="s">
        <v>170</v>
      </c>
      <c r="D3" s="43"/>
      <c r="E3" s="156"/>
      <c r="F3" s="43"/>
      <c r="G3" s="43"/>
      <c r="H3" s="43"/>
      <c r="I3" s="43"/>
      <c r="J3" s="43"/>
      <c r="K3" s="96"/>
    </row>
    <row r="4" spans="1:11">
      <c r="A4" s="364" t="s">
        <v>171</v>
      </c>
      <c r="B4" s="49">
        <f>IF(ISERROR('SEAP template'!B78+'SEAP template'!C78),0,'SEAP template'!B78+'SEAP template'!C78)</f>
        <v>89087.717957236266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14778.196805823556</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0.19689152697475087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20850.874622747873</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90856.285714285696</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0.22949292345405012</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1435.539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1435.539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0.19689152697475087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282.6454657418069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35789.510452189999</v>
      </c>
      <c r="C5" s="17">
        <f>IF(ISERROR('Eigen informatie GS &amp; warmtenet'!B57),0,'Eigen informatie GS &amp; warmtenet'!B57)</f>
        <v>0</v>
      </c>
      <c r="D5" s="30">
        <f>(SUM(HH_hh_gas_kWh,HH_rest_gas_kWh)/1000)*0.902</f>
        <v>85525.881611347766</v>
      </c>
      <c r="E5" s="17">
        <f>B46*B57</f>
        <v>8935.0442608447938</v>
      </c>
      <c r="F5" s="17">
        <f>B51*B62</f>
        <v>18191.520055615281</v>
      </c>
      <c r="G5" s="18"/>
      <c r="H5" s="17"/>
      <c r="I5" s="17"/>
      <c r="J5" s="17">
        <f>B50*B61+C50*C61</f>
        <v>0</v>
      </c>
      <c r="K5" s="17"/>
      <c r="L5" s="17"/>
      <c r="M5" s="17"/>
      <c r="N5" s="17">
        <f>B48*B59+C48*C59</f>
        <v>22208.555421415891</v>
      </c>
      <c r="O5" s="17">
        <f>B69*B70*B71</f>
        <v>145.39000000000001</v>
      </c>
      <c r="P5" s="17">
        <f>B77*B78*B79/1000-B77*B78*B79/1000/B80</f>
        <v>419.4666666666667</v>
      </c>
    </row>
    <row r="6" spans="1:16">
      <c r="A6" s="16" t="s">
        <v>632</v>
      </c>
      <c r="B6" s="779">
        <f>kWh_PV_kleiner_dan_10kW</f>
        <v>1985.9538668727726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37775.464319062768</v>
      </c>
      <c r="C8" s="21">
        <f>C5</f>
        <v>0</v>
      </c>
      <c r="D8" s="21">
        <f>D5</f>
        <v>85525.881611347766</v>
      </c>
      <c r="E8" s="21">
        <f>E5</f>
        <v>8935.0442608447938</v>
      </c>
      <c r="F8" s="21">
        <f>F5</f>
        <v>18191.520055615281</v>
      </c>
      <c r="G8" s="21"/>
      <c r="H8" s="21"/>
      <c r="I8" s="21"/>
      <c r="J8" s="21">
        <f>J5</f>
        <v>0</v>
      </c>
      <c r="K8" s="21"/>
      <c r="L8" s="21">
        <f>L5</f>
        <v>0</v>
      </c>
      <c r="M8" s="21">
        <f>M5</f>
        <v>0</v>
      </c>
      <c r="N8" s="21">
        <f>N5</f>
        <v>22208.555421415891</v>
      </c>
      <c r="O8" s="21">
        <f>O5</f>
        <v>145.39000000000001</v>
      </c>
      <c r="P8" s="21">
        <f>P5</f>
        <v>419.4666666666667</v>
      </c>
    </row>
    <row r="9" spans="1:16">
      <c r="B9" s="19"/>
      <c r="C9" s="19"/>
      <c r="D9" s="260"/>
      <c r="E9" s="19"/>
      <c r="F9" s="19"/>
      <c r="G9" s="19"/>
      <c r="H9" s="19"/>
      <c r="I9" s="19"/>
      <c r="J9" s="19"/>
      <c r="K9" s="19"/>
      <c r="L9" s="19"/>
      <c r="M9" s="19"/>
      <c r="N9" s="19"/>
      <c r="O9" s="19"/>
      <c r="P9" s="19"/>
    </row>
    <row r="10" spans="1:16">
      <c r="A10" s="24" t="s">
        <v>214</v>
      </c>
      <c r="B10" s="25">
        <f ca="1">'EF ele_warmte'!B12</f>
        <v>0.19689152697475087</v>
      </c>
      <c r="C10" s="25">
        <f ca="1">'EF ele_warmte'!B22</f>
        <v>0.22949292345405012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7437.6688519604859</v>
      </c>
      <c r="C12" s="23">
        <f ca="1">C10*C8</f>
        <v>0</v>
      </c>
      <c r="D12" s="23">
        <f>D8*D10</f>
        <v>17276.22808549225</v>
      </c>
      <c r="E12" s="23">
        <f>E10*E8</f>
        <v>2028.2550472117682</v>
      </c>
      <c r="F12" s="23">
        <f>F10*F8</f>
        <v>4857.1358548492808</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2912</v>
      </c>
      <c r="C18" s="167" t="s">
        <v>111</v>
      </c>
      <c r="D18" s="229"/>
      <c r="E18" s="15"/>
    </row>
    <row r="19" spans="1:7">
      <c r="A19" s="172" t="s">
        <v>72</v>
      </c>
      <c r="B19" s="37">
        <f>aantalw2001_ander</f>
        <v>9</v>
      </c>
      <c r="C19" s="167" t="s">
        <v>111</v>
      </c>
      <c r="D19" s="230"/>
      <c r="E19" s="15"/>
    </row>
    <row r="20" spans="1:7">
      <c r="A20" s="172" t="s">
        <v>73</v>
      </c>
      <c r="B20" s="37">
        <f>aantalw2001_propaan</f>
        <v>149</v>
      </c>
      <c r="C20" s="168">
        <f>IF(ISERROR(B20/SUM($B$20,$B$21,$B$22)*100),0,B20/SUM($B$20,$B$21,$B$22)*100)</f>
        <v>21.104815864022662</v>
      </c>
      <c r="D20" s="230"/>
      <c r="E20" s="15"/>
    </row>
    <row r="21" spans="1:7">
      <c r="A21" s="172" t="s">
        <v>74</v>
      </c>
      <c r="B21" s="37">
        <f>aantalw2001_elektriciteit</f>
        <v>429</v>
      </c>
      <c r="C21" s="168">
        <f>IF(ISERROR(B21/SUM($B$20,$B$21,$B$22)*100),0,B21/SUM($B$20,$B$21,$B$22)*100)</f>
        <v>60.76487252124646</v>
      </c>
      <c r="D21" s="230"/>
      <c r="E21" s="15"/>
    </row>
    <row r="22" spans="1:7">
      <c r="A22" s="172" t="s">
        <v>75</v>
      </c>
      <c r="B22" s="37">
        <f>aantalw2001_hout</f>
        <v>128</v>
      </c>
      <c r="C22" s="168">
        <f>IF(ISERROR(B22/SUM($B$20,$B$21,$B$22)*100),0,B22/SUM($B$20,$B$21,$B$22)*100)</f>
        <v>18.130311614730878</v>
      </c>
      <c r="D22" s="230"/>
      <c r="E22" s="15"/>
    </row>
    <row r="23" spans="1:7">
      <c r="A23" s="172" t="s">
        <v>76</v>
      </c>
      <c r="B23" s="37">
        <f>aantalw2001_niet_gespec</f>
        <v>67</v>
      </c>
      <c r="C23" s="167" t="s">
        <v>111</v>
      </c>
      <c r="D23" s="229"/>
      <c r="E23" s="15"/>
    </row>
    <row r="24" spans="1:7">
      <c r="A24" s="172" t="s">
        <v>77</v>
      </c>
      <c r="B24" s="37">
        <f>aantalw2001_steenkool</f>
        <v>104</v>
      </c>
      <c r="C24" s="167" t="s">
        <v>111</v>
      </c>
      <c r="D24" s="230"/>
      <c r="E24" s="15"/>
    </row>
    <row r="25" spans="1:7">
      <c r="A25" s="172" t="s">
        <v>78</v>
      </c>
      <c r="B25" s="37">
        <f>aantalw2001_stookolie</f>
        <v>2695</v>
      </c>
      <c r="C25" s="167" t="s">
        <v>111</v>
      </c>
      <c r="D25" s="229"/>
      <c r="E25" s="52"/>
    </row>
    <row r="26" spans="1:7">
      <c r="A26" s="172" t="s">
        <v>79</v>
      </c>
      <c r="B26" s="37">
        <f>aantalw2001_WP</f>
        <v>7</v>
      </c>
      <c r="C26" s="167" t="s">
        <v>111</v>
      </c>
      <c r="D26" s="229"/>
      <c r="E26" s="15"/>
    </row>
    <row r="27" spans="1:7" s="15" customFormat="1">
      <c r="A27" s="172"/>
      <c r="B27" s="29"/>
      <c r="C27" s="36"/>
      <c r="D27" s="229"/>
    </row>
    <row r="28" spans="1:7" s="15" customFormat="1">
      <c r="A28" s="231" t="s">
        <v>712</v>
      </c>
      <c r="B28" s="37">
        <f>aantalHuishoudens2011</f>
        <v>7898</v>
      </c>
      <c r="C28" s="36"/>
      <c r="D28" s="229"/>
    </row>
    <row r="29" spans="1:7" s="15" customFormat="1">
      <c r="A29" s="231" t="s">
        <v>713</v>
      </c>
      <c r="B29" s="37">
        <f>SUM(HH_hh_gas_aantal,HH_rest_gas_aantal)</f>
        <v>5020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5020</v>
      </c>
      <c r="C32" s="168">
        <f>IF(ISERROR(B32/SUM($B$32,$B$34,$B$35,$B$36,$B$38,$B$39)*100),0,B32/SUM($B$32,$B$34,$B$35,$B$36,$B$38,$B$39)*100)</f>
        <v>63.737938039614015</v>
      </c>
      <c r="D32" s="234"/>
      <c r="G32" s="15"/>
    </row>
    <row r="33" spans="1:7">
      <c r="A33" s="172" t="s">
        <v>72</v>
      </c>
      <c r="B33" s="34" t="s">
        <v>111</v>
      </c>
      <c r="C33" s="168"/>
      <c r="D33" s="234"/>
      <c r="G33" s="15"/>
    </row>
    <row r="34" spans="1:7">
      <c r="A34" s="172" t="s">
        <v>73</v>
      </c>
      <c r="B34" s="33">
        <f>IF((($B$28-$B$32-$B$39-$B$77-$B$38)*C20/100)&lt;0,0,($B$28-$B$32-$B$39-$B$77-$B$38)*C20/100)</f>
        <v>434.37932011331441</v>
      </c>
      <c r="C34" s="168">
        <f>IF(ISERROR(B34/SUM($B$32,$B$34,$B$35,$B$36,$B$38,$B$39)*100),0,B34/SUM($B$32,$B$34,$B$35,$B$36,$B$38,$B$39)*100)</f>
        <v>5.5152275281020113</v>
      </c>
      <c r="D34" s="234"/>
      <c r="G34" s="15"/>
    </row>
    <row r="35" spans="1:7">
      <c r="A35" s="172" t="s">
        <v>74</v>
      </c>
      <c r="B35" s="33">
        <f>IF((($B$28-$B$32-$B$39-$B$77-$B$38)*C21/100)&lt;0,0,($B$28-$B$32-$B$39-$B$77-$B$38)*C21/100)</f>
        <v>1250.6626062322946</v>
      </c>
      <c r="C35" s="168">
        <f>IF(ISERROR(B35/SUM($B$32,$B$34,$B$35,$B$36,$B$38,$B$39)*100),0,B35/SUM($B$32,$B$34,$B$35,$B$36,$B$38,$B$39)*100)</f>
        <v>15.87941348695143</v>
      </c>
      <c r="D35" s="234"/>
      <c r="G35" s="15"/>
    </row>
    <row r="36" spans="1:7">
      <c r="A36" s="172" t="s">
        <v>75</v>
      </c>
      <c r="B36" s="33">
        <f>IF((($B$28-$B$32-$B$39-$B$77-$B$38)*C22/100)&lt;0,0,($B$28-$B$32-$B$39-$B$77-$B$38)*C22/100)</f>
        <v>373.15807365439088</v>
      </c>
      <c r="C36" s="168">
        <f>IF(ISERROR(B36/SUM($B$32,$B$34,$B$35,$B$36,$B$38,$B$39)*100),0,B36/SUM($B$32,$B$34,$B$35,$B$36,$B$38,$B$39)*100)</f>
        <v>4.7379135811883053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797.8</v>
      </c>
      <c r="C39" s="168">
        <f>IF(ISERROR(B39/SUM($B$32,$B$34,$B$35,$B$36,$B$38,$B$39)*100),0,B39/SUM($B$32,$B$34,$B$35,$B$36,$B$38,$B$39)*100)</f>
        <v>10.129507364144235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5020</v>
      </c>
      <c r="C44" s="34" t="s">
        <v>111</v>
      </c>
      <c r="D44" s="175"/>
    </row>
    <row r="45" spans="1:7">
      <c r="A45" s="172" t="s">
        <v>72</v>
      </c>
      <c r="B45" s="33" t="str">
        <f t="shared" si="0"/>
        <v>-</v>
      </c>
      <c r="C45" s="34" t="s">
        <v>111</v>
      </c>
      <c r="D45" s="175"/>
    </row>
    <row r="46" spans="1:7">
      <c r="A46" s="172" t="s">
        <v>73</v>
      </c>
      <c r="B46" s="33">
        <f t="shared" si="0"/>
        <v>434.37932011331441</v>
      </c>
      <c r="C46" s="34" t="s">
        <v>111</v>
      </c>
      <c r="D46" s="175"/>
    </row>
    <row r="47" spans="1:7">
      <c r="A47" s="172" t="s">
        <v>74</v>
      </c>
      <c r="B47" s="33">
        <f t="shared" si="0"/>
        <v>1250.6626062322946</v>
      </c>
      <c r="C47" s="34" t="s">
        <v>111</v>
      </c>
      <c r="D47" s="175"/>
    </row>
    <row r="48" spans="1:7">
      <c r="A48" s="172" t="s">
        <v>75</v>
      </c>
      <c r="B48" s="33">
        <f t="shared" si="0"/>
        <v>373.15807365439088</v>
      </c>
      <c r="C48" s="33">
        <f>B48*10</f>
        <v>3731.5807365439086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797.8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93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47755.551158315437</v>
      </c>
      <c r="C5" s="17">
        <f>IF(ISERROR('Eigen informatie GS &amp; warmtenet'!B58),0,'Eigen informatie GS &amp; warmtenet'!B58)</f>
        <v>0</v>
      </c>
      <c r="D5" s="30">
        <f>SUM(D6:D12)</f>
        <v>63352.960599216342</v>
      </c>
      <c r="E5" s="17">
        <f>SUM(E6:E12)</f>
        <v>1033.6969593113313</v>
      </c>
      <c r="F5" s="17">
        <f>SUM(F6:F12)</f>
        <v>9693.4544365259644</v>
      </c>
      <c r="G5" s="18"/>
      <c r="H5" s="17"/>
      <c r="I5" s="17"/>
      <c r="J5" s="17">
        <f>SUM(J6:J12)</f>
        <v>0</v>
      </c>
      <c r="K5" s="17"/>
      <c r="L5" s="17"/>
      <c r="M5" s="17"/>
      <c r="N5" s="17">
        <f>SUM(N6:N12)</f>
        <v>1621.7925802285185</v>
      </c>
      <c r="O5" s="17">
        <f>B38*B39*B40</f>
        <v>0</v>
      </c>
      <c r="P5" s="17">
        <f>B46*B47*B48/1000-B46*B47*B48/1000/B49</f>
        <v>76.266666666666666</v>
      </c>
      <c r="R5" s="32"/>
    </row>
    <row r="6" spans="1:18">
      <c r="A6" s="32" t="s">
        <v>54</v>
      </c>
      <c r="B6" s="37">
        <f>B26</f>
        <v>9657.2335951921305</v>
      </c>
      <c r="C6" s="33"/>
      <c r="D6" s="37">
        <f>IF(ISERROR(TER_kantoor_gas_kWh/1000),0,TER_kantoor_gas_kWh/1000)*0.902</f>
        <v>16520.305500210172</v>
      </c>
      <c r="E6" s="33">
        <f>$C$26*'E Balans VL '!I12/100/3.6*1000000</f>
        <v>338.04116494188548</v>
      </c>
      <c r="F6" s="33">
        <f>$C$26*('E Balans VL '!L12+'E Balans VL '!N12)/100/3.6*1000000</f>
        <v>1464.2439518046822</v>
      </c>
      <c r="G6" s="34"/>
      <c r="H6" s="33"/>
      <c r="I6" s="33"/>
      <c r="J6" s="33">
        <f>$C$26*('E Balans VL '!D12+'E Balans VL '!E12)/100/3.6*1000000</f>
        <v>0</v>
      </c>
      <c r="K6" s="33"/>
      <c r="L6" s="33"/>
      <c r="M6" s="33"/>
      <c r="N6" s="33">
        <f>$C$26*'E Balans VL '!Y12/100/3.6*1000000</f>
        <v>74.64739305990642</v>
      </c>
      <c r="O6" s="33"/>
      <c r="P6" s="33"/>
      <c r="R6" s="32"/>
    </row>
    <row r="7" spans="1:18">
      <c r="A7" s="32" t="s">
        <v>53</v>
      </c>
      <c r="B7" s="37">
        <f t="shared" ref="B7:B12" si="0">B27</f>
        <v>2728.9122229137201</v>
      </c>
      <c r="C7" s="33"/>
      <c r="D7" s="37">
        <f>IF(ISERROR(TER_horeca_gas_kWh/1000),0,TER_horeca_gas_kWh/1000)*0.902</f>
        <v>2751.7811130168247</v>
      </c>
      <c r="E7" s="33">
        <f>$C$27*'E Balans VL '!I9/100/3.6*1000000</f>
        <v>153.94693506783435</v>
      </c>
      <c r="F7" s="33">
        <f>$C$27*('E Balans VL '!L9+'E Balans VL '!N9)/100/3.6*1000000</f>
        <v>475.39161122571215</v>
      </c>
      <c r="G7" s="34"/>
      <c r="H7" s="33"/>
      <c r="I7" s="33"/>
      <c r="J7" s="33">
        <f>$C$27*('E Balans VL '!D9+'E Balans VL '!E9)/100/3.6*1000000</f>
        <v>0</v>
      </c>
      <c r="K7" s="33"/>
      <c r="L7" s="33"/>
      <c r="M7" s="33"/>
      <c r="N7" s="33">
        <f>$C$27*'E Balans VL '!Y9/100/3.6*1000000</f>
        <v>0</v>
      </c>
      <c r="O7" s="33"/>
      <c r="P7" s="33"/>
      <c r="R7" s="32"/>
    </row>
    <row r="8" spans="1:18">
      <c r="A8" s="6" t="s">
        <v>52</v>
      </c>
      <c r="B8" s="37">
        <f t="shared" si="0"/>
        <v>7405.2535606209194</v>
      </c>
      <c r="C8" s="33"/>
      <c r="D8" s="37">
        <f>IF(ISERROR(TER_handel_gas_kWh/1000),0,TER_handel_gas_kWh/1000)*0.902</f>
        <v>3025.3247970597672</v>
      </c>
      <c r="E8" s="33">
        <f>$C$28*'E Balans VL '!I13/100/3.6*1000000</f>
        <v>38.017819417377851</v>
      </c>
      <c r="F8" s="33">
        <f>$C$28*('E Balans VL '!L13+'E Balans VL '!N13)/100/3.6*1000000</f>
        <v>1141.7756761342093</v>
      </c>
      <c r="G8" s="34"/>
      <c r="H8" s="33"/>
      <c r="I8" s="33"/>
      <c r="J8" s="33">
        <f>$C$28*('E Balans VL '!D13+'E Balans VL '!E13)/100/3.6*1000000</f>
        <v>0</v>
      </c>
      <c r="K8" s="33"/>
      <c r="L8" s="33"/>
      <c r="M8" s="33"/>
      <c r="N8" s="33">
        <f>$C$28*'E Balans VL '!Y13/100/3.6*1000000</f>
        <v>3.4635274835893872</v>
      </c>
      <c r="O8" s="33"/>
      <c r="P8" s="33"/>
      <c r="R8" s="32"/>
    </row>
    <row r="9" spans="1:18">
      <c r="A9" s="32" t="s">
        <v>51</v>
      </c>
      <c r="B9" s="37">
        <f t="shared" si="0"/>
        <v>170.02427054071401</v>
      </c>
      <c r="C9" s="33"/>
      <c r="D9" s="37">
        <f>IF(ISERROR(TER_gezond_gas_kWh/1000),0,TER_gezond_gas_kWh/1000)*0.902</f>
        <v>251.96695081808355</v>
      </c>
      <c r="E9" s="33">
        <f>$C$29*'E Balans VL '!I10/100/3.6*1000000</f>
        <v>7.0473849269668473E-2</v>
      </c>
      <c r="F9" s="33">
        <f>$C$29*('E Balans VL '!L10+'E Balans VL '!N10)/100/3.6*1000000</f>
        <v>41.87453936086419</v>
      </c>
      <c r="G9" s="34"/>
      <c r="H9" s="33"/>
      <c r="I9" s="33"/>
      <c r="J9" s="33">
        <f>$C$29*('E Balans VL '!D10+'E Balans VL '!E10)/100/3.6*1000000</f>
        <v>0</v>
      </c>
      <c r="K9" s="33"/>
      <c r="L9" s="33"/>
      <c r="M9" s="33"/>
      <c r="N9" s="33">
        <f>$C$29*'E Balans VL '!Y10/100/3.6*1000000</f>
        <v>1.4694305288144278</v>
      </c>
      <c r="O9" s="33"/>
      <c r="P9" s="33"/>
      <c r="R9" s="32"/>
    </row>
    <row r="10" spans="1:18">
      <c r="A10" s="32" t="s">
        <v>50</v>
      </c>
      <c r="B10" s="37">
        <f t="shared" si="0"/>
        <v>3925.8611474173199</v>
      </c>
      <c r="C10" s="33"/>
      <c r="D10" s="37">
        <f>IF(ISERROR(TER_ander_gas_kWh/1000),0,TER_ander_gas_kWh/1000)*0.902</f>
        <v>15451.508377691818</v>
      </c>
      <c r="E10" s="33">
        <f>$C$30*'E Balans VL '!I14/100/3.6*1000000</f>
        <v>23.932146416240307</v>
      </c>
      <c r="F10" s="33">
        <f>$C$30*('E Balans VL '!L14+'E Balans VL '!N14)/100/3.6*1000000</f>
        <v>1040.7995683777251</v>
      </c>
      <c r="G10" s="34"/>
      <c r="H10" s="33"/>
      <c r="I10" s="33"/>
      <c r="J10" s="33">
        <f>$C$30*('E Balans VL '!D14+'E Balans VL '!E14)/100/3.6*1000000</f>
        <v>0</v>
      </c>
      <c r="K10" s="33"/>
      <c r="L10" s="33"/>
      <c r="M10" s="33"/>
      <c r="N10" s="33">
        <f>$C$30*'E Balans VL '!Y14/100/3.6*1000000</f>
        <v>904.82616286426128</v>
      </c>
      <c r="O10" s="33"/>
      <c r="P10" s="33"/>
      <c r="R10" s="32"/>
    </row>
    <row r="11" spans="1:18">
      <c r="A11" s="32" t="s">
        <v>55</v>
      </c>
      <c r="B11" s="37">
        <f t="shared" si="0"/>
        <v>1557.4361989859301</v>
      </c>
      <c r="C11" s="33"/>
      <c r="D11" s="37">
        <f>IF(ISERROR(TER_onderwijs_gas_kWh/1000),0,TER_onderwijs_gas_kWh/1000)*0.902</f>
        <v>6542.1328071876214</v>
      </c>
      <c r="E11" s="33">
        <f>$C$31*'E Balans VL '!I11/100/3.6*1000000</f>
        <v>1.1868474801868913</v>
      </c>
      <c r="F11" s="33">
        <f>$C$31*('E Balans VL '!L11+'E Balans VL '!N11)/100/3.6*1000000</f>
        <v>1127.0461846411956</v>
      </c>
      <c r="G11" s="34"/>
      <c r="H11" s="33"/>
      <c r="I11" s="33"/>
      <c r="J11" s="33">
        <f>$C$31*('E Balans VL '!D11+'E Balans VL '!E11)/100/3.6*1000000</f>
        <v>0</v>
      </c>
      <c r="K11" s="33"/>
      <c r="L11" s="33"/>
      <c r="M11" s="33"/>
      <c r="N11" s="33">
        <f>$C$31*'E Balans VL '!Y11/100/3.6*1000000</f>
        <v>4.5901366988805057</v>
      </c>
      <c r="O11" s="33"/>
      <c r="P11" s="33"/>
      <c r="R11" s="32"/>
    </row>
    <row r="12" spans="1:18">
      <c r="A12" s="32" t="s">
        <v>260</v>
      </c>
      <c r="B12" s="37">
        <f t="shared" si="0"/>
        <v>22310.830162644699</v>
      </c>
      <c r="C12" s="33"/>
      <c r="D12" s="37">
        <f>IF(ISERROR(TER_rest_gas_kWh/1000),0,TER_rest_gas_kWh/1000)*0.902</f>
        <v>18809.941053232062</v>
      </c>
      <c r="E12" s="33">
        <f>$C$32*'E Balans VL '!I8/100/3.6*1000000</f>
        <v>478.50157213853674</v>
      </c>
      <c r="F12" s="33">
        <f>$C$32*('E Balans VL '!L8+'E Balans VL '!N8)/100/3.6*1000000</f>
        <v>4402.3229049815764</v>
      </c>
      <c r="G12" s="34"/>
      <c r="H12" s="33"/>
      <c r="I12" s="33"/>
      <c r="J12" s="33">
        <f>$C$32*('E Balans VL '!D8+'E Balans VL '!E8)/100/3.6*1000000</f>
        <v>0</v>
      </c>
      <c r="K12" s="33"/>
      <c r="L12" s="33"/>
      <c r="M12" s="33"/>
      <c r="N12" s="33">
        <f>$C$32*'E Balans VL '!Y8/100/3.6*1000000</f>
        <v>632.79592959306649</v>
      </c>
      <c r="O12" s="33"/>
      <c r="P12" s="33"/>
      <c r="R12" s="32"/>
    </row>
    <row r="13" spans="1:18">
      <c r="A13" s="16" t="s">
        <v>496</v>
      </c>
      <c r="B13" s="248">
        <f ca="1">'lokale energieproductie'!N91+'lokale energieproductie'!N60</f>
        <v>10341</v>
      </c>
      <c r="C13" s="248">
        <f ca="1">'lokale energieproductie'!O91+'lokale energieproductie'!O60</f>
        <v>12857.142857142857</v>
      </c>
      <c r="D13" s="311">
        <f ca="1">('lokale energieproductie'!P60+'lokale energieproductie'!P91)*(-1)</f>
        <v>-25714.285714285717</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-3831.4285714285716</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58096.551158315437</v>
      </c>
      <c r="C16" s="21">
        <f ca="1">C5+C13+C14</f>
        <v>12857.142857142857</v>
      </c>
      <c r="D16" s="21">
        <f t="shared" ref="D16:N16" ca="1" si="1">MAX((D5+D13+D14),0)</f>
        <v>37638.674884930624</v>
      </c>
      <c r="E16" s="21">
        <f t="shared" si="1"/>
        <v>1033.6969593113313</v>
      </c>
      <c r="F16" s="21">
        <f t="shared" ca="1" si="1"/>
        <v>9693.4544365259644</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0.19689152697475087</v>
      </c>
      <c r="C18" s="25">
        <f ca="1">'EF ele_warmte'!B22</f>
        <v>0.22949292345405012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11438.718669527458</v>
      </c>
      <c r="C20" s="23">
        <f t="shared" ref="C20:P20" ca="1" si="2">C16*C18</f>
        <v>2950.6233015520729</v>
      </c>
      <c r="D20" s="23">
        <f t="shared" ca="1" si="2"/>
        <v>7603.0123267559866</v>
      </c>
      <c r="E20" s="23">
        <f t="shared" si="2"/>
        <v>234.64920976367222</v>
      </c>
      <c r="F20" s="23">
        <f t="shared" ca="1" si="2"/>
        <v>2588.1523345524324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9657.2335951921305</v>
      </c>
      <c r="C26" s="39">
        <f>IF(ISERROR(B26*3.6/1000000/'E Balans VL '!Z12*100),0,B26*3.6/1000000/'E Balans VL '!Z12*100)</f>
        <v>0.20322046569441232</v>
      </c>
      <c r="D26" s="238" t="s">
        <v>719</v>
      </c>
      <c r="F26" s="6"/>
    </row>
    <row r="27" spans="1:18">
      <c r="A27" s="232" t="s">
        <v>53</v>
      </c>
      <c r="B27" s="33">
        <f>IF(ISERROR(TER_horeca_ele_kWh/1000),0,TER_horeca_ele_kWh/1000)</f>
        <v>2728.9122229137201</v>
      </c>
      <c r="C27" s="39">
        <f>IF(ISERROR(B27*3.6/1000000/'E Balans VL '!Z9*100),0,B27*3.6/1000000/'E Balans VL '!Z9*100)</f>
        <v>0.23104932974177039</v>
      </c>
      <c r="D27" s="238" t="s">
        <v>719</v>
      </c>
      <c r="F27" s="6"/>
    </row>
    <row r="28" spans="1:18">
      <c r="A28" s="172" t="s">
        <v>52</v>
      </c>
      <c r="B28" s="33">
        <f>IF(ISERROR(TER_handel_ele_kWh/1000),0,TER_handel_ele_kWh/1000)</f>
        <v>7405.2535606209194</v>
      </c>
      <c r="C28" s="39">
        <f>IF(ISERROR(B28*3.6/1000000/'E Balans VL '!Z13*100),0,B28*3.6/1000000/'E Balans VL '!Z13*100)</f>
        <v>0.20501342083439458</v>
      </c>
      <c r="D28" s="238" t="s">
        <v>719</v>
      </c>
      <c r="F28" s="6"/>
    </row>
    <row r="29" spans="1:18">
      <c r="A29" s="232" t="s">
        <v>51</v>
      </c>
      <c r="B29" s="33">
        <f>IF(ISERROR(TER_gezond_ele_kWh/1000),0,TER_gezond_ele_kWh/1000)</f>
        <v>170.02427054071401</v>
      </c>
      <c r="C29" s="39">
        <f>IF(ISERROR(B29*3.6/1000000/'E Balans VL '!Z10*100),0,B29*3.6/1000000/'E Balans VL '!Z10*100)</f>
        <v>2.2101270231489389E-2</v>
      </c>
      <c r="D29" s="238" t="s">
        <v>719</v>
      </c>
      <c r="F29" s="6"/>
    </row>
    <row r="30" spans="1:18">
      <c r="A30" s="232" t="s">
        <v>50</v>
      </c>
      <c r="B30" s="33">
        <f>IF(ISERROR(TER_ander_ele_kWh/1000),0,TER_ander_ele_kWh/1000)</f>
        <v>3925.8611474173199</v>
      </c>
      <c r="C30" s="39">
        <f>IF(ISERROR(B30*3.6/1000000/'E Balans VL '!Z14*100),0,B30*3.6/1000000/'E Balans VL '!Z14*100)</f>
        <v>0.3042902418218621</v>
      </c>
      <c r="D30" s="238" t="s">
        <v>719</v>
      </c>
      <c r="F30" s="6"/>
    </row>
    <row r="31" spans="1:18">
      <c r="A31" s="232" t="s">
        <v>55</v>
      </c>
      <c r="B31" s="33">
        <f>IF(ISERROR(TER_onderwijs_ele_kWh/1000),0,TER_onderwijs_ele_kWh/1000)</f>
        <v>1557.4361989859301</v>
      </c>
      <c r="C31" s="39">
        <f>IF(ISERROR(B31*3.6/1000000/'E Balans VL '!Z11*100),0,B31*3.6/1000000/'E Balans VL '!Z11*100)</f>
        <v>0.29796408301723504</v>
      </c>
      <c r="D31" s="238" t="s">
        <v>719</v>
      </c>
    </row>
    <row r="32" spans="1:18">
      <c r="A32" s="232" t="s">
        <v>260</v>
      </c>
      <c r="B32" s="33">
        <f>IF(ISERROR(TER_rest_ele_kWh/1000),0,TER_rest_ele_kWh/1000)</f>
        <v>22310.830162644699</v>
      </c>
      <c r="C32" s="39">
        <f>IF(ISERROR(B32*3.6/1000000/'E Balans VL '!Z8*100),0,B32*3.6/1000000/'E Balans VL '!Z8*100)</f>
        <v>0.1839699275247163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4</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82641.399502237909</v>
      </c>
      <c r="C5" s="17">
        <f>IF(ISERROR('Eigen informatie GS &amp; warmtenet'!B59),0,'Eigen informatie GS &amp; warmtenet'!B59)</f>
        <v>0</v>
      </c>
      <c r="D5" s="30">
        <f>SUM(D6:D15)</f>
        <v>52862.263827972289</v>
      </c>
      <c r="E5" s="17">
        <f>SUM(E6:E15)</f>
        <v>819.20933337517999</v>
      </c>
      <c r="F5" s="17">
        <f>SUM(F6:F15)</f>
        <v>17912.223057748663</v>
      </c>
      <c r="G5" s="18"/>
      <c r="H5" s="17"/>
      <c r="I5" s="17"/>
      <c r="J5" s="17">
        <f>SUM(J6:J15)</f>
        <v>531.76651650330541</v>
      </c>
      <c r="K5" s="17"/>
      <c r="L5" s="17"/>
      <c r="M5" s="17"/>
      <c r="N5" s="17">
        <f>SUM(N6:N15)</f>
        <v>1566.8783398655639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1435.0740604185798</v>
      </c>
      <c r="C8" s="33"/>
      <c r="D8" s="37">
        <f>IF( ISERROR(IND_metaal_Gas_kWH/1000),0,IND_metaal_Gas_kWH/1000)*0.902</f>
        <v>503.39400454877278</v>
      </c>
      <c r="E8" s="33">
        <f>C30*'E Balans VL '!I18/100/3.6*1000000</f>
        <v>10.083948787832565</v>
      </c>
      <c r="F8" s="33">
        <f>C30*'E Balans VL '!L18/100/3.6*1000000+C30*'E Balans VL '!N18/100/3.6*1000000</f>
        <v>157.56273582429966</v>
      </c>
      <c r="G8" s="34"/>
      <c r="H8" s="33"/>
      <c r="I8" s="33"/>
      <c r="J8" s="40">
        <f>C30*'E Balans VL '!D18/100/3.6*1000000+C30*'E Balans VL '!E18/100/3.6*1000000</f>
        <v>29.608671013257926</v>
      </c>
      <c r="K8" s="33"/>
      <c r="L8" s="33"/>
      <c r="M8" s="33"/>
      <c r="N8" s="33">
        <f>C30*'E Balans VL '!Y18/100/3.6*1000000</f>
        <v>5.3787609323718097</v>
      </c>
      <c r="O8" s="33"/>
      <c r="P8" s="33"/>
      <c r="R8" s="32"/>
    </row>
    <row r="9" spans="1:18">
      <c r="A9" s="6" t="s">
        <v>33</v>
      </c>
      <c r="B9" s="37">
        <f t="shared" si="0"/>
        <v>2796.0207079776897</v>
      </c>
      <c r="C9" s="33"/>
      <c r="D9" s="37">
        <f>IF( ISERROR(IND_andere_gas_kWh/1000),0,IND_andere_gas_kWh/1000)*0.902</f>
        <v>610.15239127345467</v>
      </c>
      <c r="E9" s="33">
        <f>C31*'E Balans VL '!I19/100/3.6*1000000</f>
        <v>46.962593025214233</v>
      </c>
      <c r="F9" s="33">
        <f>C31*'E Balans VL '!L19/100/3.6*1000000+C31*'E Balans VL '!N19/100/3.6*1000000</f>
        <v>2185.769740048202</v>
      </c>
      <c r="G9" s="34"/>
      <c r="H9" s="33"/>
      <c r="I9" s="33"/>
      <c r="J9" s="40">
        <f>C31*'E Balans VL '!D19/100/3.6*1000000+C31*'E Balans VL '!E19/100/3.6*1000000</f>
        <v>0.25217638630857159</v>
      </c>
      <c r="K9" s="33"/>
      <c r="L9" s="33"/>
      <c r="M9" s="33"/>
      <c r="N9" s="33">
        <f>C31*'E Balans VL '!Y19/100/3.6*1000000</f>
        <v>207.22999266421272</v>
      </c>
      <c r="O9" s="33"/>
      <c r="P9" s="33"/>
      <c r="R9" s="32"/>
    </row>
    <row r="10" spans="1:18">
      <c r="A10" s="6" t="s">
        <v>41</v>
      </c>
      <c r="B10" s="37">
        <f t="shared" si="0"/>
        <v>3549.3904497663698</v>
      </c>
      <c r="C10" s="33"/>
      <c r="D10" s="37">
        <f>IF( ISERROR(IND_voed_gas_kWh/1000),0,IND_voed_gas_kWh/1000)*0.902</f>
        <v>585.78533999323326</v>
      </c>
      <c r="E10" s="33">
        <f>C32*'E Balans VL '!I20/100/3.6*1000000</f>
        <v>32.383163514537863</v>
      </c>
      <c r="F10" s="33">
        <f>C32*'E Balans VL '!L20/100/3.6*1000000+C32*'E Balans VL '!N20/100/3.6*1000000</f>
        <v>572.62769798355907</v>
      </c>
      <c r="G10" s="34"/>
      <c r="H10" s="33"/>
      <c r="I10" s="33"/>
      <c r="J10" s="40">
        <f>C32*'E Balans VL '!D20/100/3.6*1000000+C32*'E Balans VL '!E20/100/3.6*1000000</f>
        <v>14.618716965159905</v>
      </c>
      <c r="K10" s="33"/>
      <c r="L10" s="33"/>
      <c r="M10" s="33"/>
      <c r="N10" s="33">
        <f>C32*'E Balans VL '!Y20/100/3.6*1000000</f>
        <v>51.924783507161791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2491.7679795644799</v>
      </c>
      <c r="C13" s="33"/>
      <c r="D13" s="37">
        <f>IF( ISERROR(IND_papier_gas_kWh/1000),0,IND_papier_gas_kWh/1000)*0.902</f>
        <v>0</v>
      </c>
      <c r="E13" s="33">
        <f>C35*'E Balans VL '!I23/100/3.6*1000000</f>
        <v>76.66519779594006</v>
      </c>
      <c r="F13" s="33">
        <f>C35*'E Balans VL '!L23/100/3.6*1000000+C35*'E Balans VL '!N23/100/3.6*1000000</f>
        <v>529.08942420740368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72369.146304510796</v>
      </c>
      <c r="C15" s="33"/>
      <c r="D15" s="37">
        <f>IF( ISERROR(IND_rest_gas_kWh/1000),0,IND_rest_gas_kWh/1000)*0.902</f>
        <v>51162.932092156829</v>
      </c>
      <c r="E15" s="33">
        <f>C37*'E Balans VL '!I15/100/3.6*1000000</f>
        <v>653.11443025165534</v>
      </c>
      <c r="F15" s="33">
        <f>C37*'E Balans VL '!L15/100/3.6*1000000+C37*'E Balans VL '!N15/100/3.6*1000000</f>
        <v>14467.1734596852</v>
      </c>
      <c r="G15" s="34"/>
      <c r="H15" s="33"/>
      <c r="I15" s="33"/>
      <c r="J15" s="40">
        <f>C37*'E Balans VL '!D15/100/3.6*1000000+C37*'E Balans VL '!E15/100/3.6*1000000</f>
        <v>487.28695213857901</v>
      </c>
      <c r="K15" s="33"/>
      <c r="L15" s="33"/>
      <c r="M15" s="33"/>
      <c r="N15" s="33">
        <f>C37*'E Balans VL '!Y15/100/3.6*1000000</f>
        <v>1302.3448027618176</v>
      </c>
      <c r="O15" s="33"/>
      <c r="P15" s="33"/>
      <c r="R15" s="32"/>
    </row>
    <row r="16" spans="1:18">
      <c r="A16" s="16" t="s">
        <v>496</v>
      </c>
      <c r="B16" s="248">
        <f>'lokale energieproductie'!N90+'lokale energieproductie'!N59</f>
        <v>549</v>
      </c>
      <c r="C16" s="248">
        <f>'lokale energieproductie'!O90+'lokale energieproductie'!O59</f>
        <v>784.28571428571433</v>
      </c>
      <c r="D16" s="311">
        <f>('lokale energieproductie'!P59+'lokale energieproductie'!P90)*(-1)</f>
        <v>-1568.5714285714287</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83190.399502237909</v>
      </c>
      <c r="C18" s="21">
        <f>C5+C16</f>
        <v>784.28571428571433</v>
      </c>
      <c r="D18" s="21">
        <f>MAX((D5+D16),0)</f>
        <v>51293.692399400861</v>
      </c>
      <c r="E18" s="21">
        <f>MAX((E5+E16),0)</f>
        <v>819.20933337517999</v>
      </c>
      <c r="F18" s="21">
        <f>MAX((F5+F16),0)</f>
        <v>17912.223057748663</v>
      </c>
      <c r="G18" s="21"/>
      <c r="H18" s="21"/>
      <c r="I18" s="21"/>
      <c r="J18" s="21">
        <f>MAX((J5+J16),0)</f>
        <v>531.76651650330541</v>
      </c>
      <c r="K18" s="21"/>
      <c r="L18" s="21">
        <f>MAX((L5+L16),0)</f>
        <v>0</v>
      </c>
      <c r="M18" s="21"/>
      <c r="N18" s="21">
        <f>MAX((N5+N16),0)</f>
        <v>1566.8783398655639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0.19689152697475087</v>
      </c>
      <c r="C20" s="25">
        <f ca="1">'EF ele_warmte'!B22</f>
        <v>0.22949292345405012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16379.484787635178</v>
      </c>
      <c r="C22" s="23">
        <f ca="1">C18*C20</f>
        <v>179.98802139467645</v>
      </c>
      <c r="D22" s="23">
        <f>D18*D20</f>
        <v>10361.325864678975</v>
      </c>
      <c r="E22" s="23">
        <f>E18*E20</f>
        <v>185.96051867616586</v>
      </c>
      <c r="F22" s="23">
        <f>F18*F20</f>
        <v>4782.5635564188933</v>
      </c>
      <c r="G22" s="23"/>
      <c r="H22" s="23"/>
      <c r="I22" s="23"/>
      <c r="J22" s="23">
        <f>J18*J20</f>
        <v>188.24534684217011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1435.0740604185798</v>
      </c>
      <c r="C30" s="39">
        <f>IF(ISERROR(B30*3.6/1000000/'E Balans VL '!Z18*100),0,B30*3.6/1000000/'E Balans VL '!Z18*100)</f>
        <v>9.5533756531721026E-2</v>
      </c>
      <c r="D30" s="238" t="s">
        <v>719</v>
      </c>
    </row>
    <row r="31" spans="1:18">
      <c r="A31" s="6" t="s">
        <v>33</v>
      </c>
      <c r="B31" s="37">
        <f>IF( ISERROR(IND_ander_ele_kWh/1000),0,IND_ander_ele_kWh/1000)</f>
        <v>2796.0207079776897</v>
      </c>
      <c r="C31" s="39">
        <f>IF(ISERROR(B31*3.6/1000000/'E Balans VL '!Z19*100),0,B31*3.6/1000000/'E Balans VL '!Z19*100)</f>
        <v>0.12393651750318878</v>
      </c>
      <c r="D31" s="238" t="s">
        <v>719</v>
      </c>
    </row>
    <row r="32" spans="1:18">
      <c r="A32" s="172" t="s">
        <v>41</v>
      </c>
      <c r="B32" s="37">
        <f>IF( ISERROR(IND_voed_ele_kWh/1000),0,IND_voed_ele_kWh/1000)</f>
        <v>3549.3904497663698</v>
      </c>
      <c r="C32" s="39">
        <f>IF(ISERROR(B32*3.6/1000000/'E Balans VL '!Z20*100),0,B32*3.6/1000000/'E Balans VL '!Z20*100)</f>
        <v>0.11855982290560388</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2491.7679795644799</v>
      </c>
      <c r="C35" s="39">
        <f>IF(ISERROR(B35*3.6/1000000/'E Balans VL '!Z22*100),0,B35*3.6/1000000/'E Balans VL '!Z22*100)</f>
        <v>0.48462150150986999</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72369.146304510796</v>
      </c>
      <c r="C37" s="39">
        <f>IF(ISERROR(B37*3.6/1000000/'E Balans VL '!Z15*100),0,B37*3.6/1000000/'E Balans VL '!Z15*100)</f>
        <v>0.53830854908120251</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20035.981652065067</v>
      </c>
      <c r="C5" s="17">
        <f>'Eigen informatie GS &amp; warmtenet'!B60</f>
        <v>0</v>
      </c>
      <c r="D5" s="30">
        <f>IF(ISERROR(SUM(LB_lb_gas_kWh,LB_rest_gas_kWh)/1000),0,SUM(LB_lb_gas_kWh,LB_rest_gas_kWh)/1000)*0.902</f>
        <v>161030.94616823611</v>
      </c>
      <c r="E5" s="17">
        <f>B17*'E Balans VL '!I25/3.6*1000000/100</f>
        <v>209.82113747356624</v>
      </c>
      <c r="F5" s="17">
        <f>B17*('E Balans VL '!L25/3.6*1000000+'E Balans VL '!N25/3.6*1000000)/100</f>
        <v>85769.225583607607</v>
      </c>
      <c r="G5" s="18"/>
      <c r="H5" s="17"/>
      <c r="I5" s="17"/>
      <c r="J5" s="17">
        <f>('E Balans VL '!D25+'E Balans VL '!E25)/3.6*1000000*landbouw!B17/100</f>
        <v>1789.3927470966271</v>
      </c>
      <c r="K5" s="17"/>
      <c r="L5" s="17">
        <f>L6*(-1)</f>
        <v>7020</v>
      </c>
      <c r="M5" s="17"/>
      <c r="N5" s="17">
        <f>N6*(-1)</f>
        <v>0</v>
      </c>
      <c r="O5" s="17"/>
      <c r="P5" s="17"/>
      <c r="R5" s="32"/>
    </row>
    <row r="6" spans="1:18">
      <c r="A6" s="16" t="s">
        <v>496</v>
      </c>
      <c r="B6" s="17" t="s">
        <v>211</v>
      </c>
      <c r="C6" s="17">
        <f>'lokale energieproductie'!O92+'lokale energieproductie'!O61</f>
        <v>77214.85714285713</v>
      </c>
      <c r="D6" s="311">
        <f>('lokale energieproductie'!P61+'lokale energieproductie'!P92)*(-1)</f>
        <v>-146005.71428571429</v>
      </c>
      <c r="E6" s="249"/>
      <c r="F6" s="311">
        <f>('lokale energieproductie'!S61+'lokale energieproductie'!S92)*(-1)</f>
        <v>-2340</v>
      </c>
      <c r="G6" s="250"/>
      <c r="H6" s="249"/>
      <c r="I6" s="249"/>
      <c r="J6" s="249"/>
      <c r="K6" s="249"/>
      <c r="L6" s="311">
        <f>('lokale energieproductie'!T61+'lokale energieproductie'!U61+'lokale energieproductie'!T92+'lokale energieproductie'!U92)*(-1)</f>
        <v>-7020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20035.981652065067</v>
      </c>
      <c r="C8" s="21">
        <f>C5+C6</f>
        <v>77214.85714285713</v>
      </c>
      <c r="D8" s="21">
        <f>MAX((D5+D6),0)</f>
        <v>15025.231882521824</v>
      </c>
      <c r="E8" s="21">
        <f>MAX((E5+E6),0)</f>
        <v>209.82113747356624</v>
      </c>
      <c r="F8" s="21">
        <f>MAX((F5+F6),0)</f>
        <v>83429.225583607607</v>
      </c>
      <c r="G8" s="21"/>
      <c r="H8" s="21"/>
      <c r="I8" s="21"/>
      <c r="J8" s="21">
        <f>MAX((J5+J6),0)</f>
        <v>1789.3927470966271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0.19689152697475087</v>
      </c>
      <c r="C10" s="31">
        <f ca="1">'EF ele_warmte'!B22</f>
        <v>0.22949292345405012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3944.915021913183</v>
      </c>
      <c r="C12" s="23">
        <f ca="1">C8*C10</f>
        <v>17720.263299801125</v>
      </c>
      <c r="D12" s="23">
        <f>D8*D10</f>
        <v>3035.0968402694089</v>
      </c>
      <c r="E12" s="23">
        <f>E8*E10</f>
        <v>47.629398206499538</v>
      </c>
      <c r="F12" s="23">
        <f>F8*F10</f>
        <v>22275.603230823232</v>
      </c>
      <c r="G12" s="23"/>
      <c r="H12" s="23"/>
      <c r="I12" s="23"/>
      <c r="J12" s="23">
        <f>J8*J10</f>
        <v>633.44503247220598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3.0839243421724372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1729.9807041861047</v>
      </c>
      <c r="C26" s="248">
        <f>B26*'GWP N2O_CH4'!B5</f>
        <v>36329.594787908201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1299.7545590329685</v>
      </c>
      <c r="C27" s="248">
        <f>B27*'GWP N2O_CH4'!B5</f>
        <v>27294.845739692337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26.590604783502176</v>
      </c>
      <c r="C28" s="248">
        <f>B28*'GWP N2O_CH4'!B4</f>
        <v>8243.087482885674</v>
      </c>
      <c r="D28" s="50"/>
    </row>
    <row r="29" spans="1:4">
      <c r="A29" s="41" t="s">
        <v>277</v>
      </c>
      <c r="B29" s="248">
        <f>B34*'ha_N2O bodem landbouw'!B4</f>
        <v>57.221316646544182</v>
      </c>
      <c r="C29" s="248">
        <f>B29*'GWP N2O_CH4'!B4</f>
        <v>17738.608160428696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9.4565741032610305E-3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7.4561948093198439E-6</v>
      </c>
      <c r="C5" s="446" t="s">
        <v>211</v>
      </c>
      <c r="D5" s="431">
        <f>SUM(D6:D11)</f>
        <v>3.6626009185590844E-5</v>
      </c>
      <c r="E5" s="431">
        <f>SUM(E6:E11)</f>
        <v>4.1974758117035074E-3</v>
      </c>
      <c r="F5" s="444" t="s">
        <v>211</v>
      </c>
      <c r="G5" s="431">
        <f>SUM(G6:G11)</f>
        <v>0.94129255881450691</v>
      </c>
      <c r="H5" s="431">
        <f>SUM(H6:H11)</f>
        <v>0.12553619381677311</v>
      </c>
      <c r="I5" s="446" t="s">
        <v>211</v>
      </c>
      <c r="J5" s="446" t="s">
        <v>211</v>
      </c>
      <c r="K5" s="446" t="s">
        <v>211</v>
      </c>
      <c r="L5" s="446" t="s">
        <v>211</v>
      </c>
      <c r="M5" s="431">
        <f>SUM(M6:M11)</f>
        <v>4.6455110683854987E-2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2.3490906812622673E-6</v>
      </c>
      <c r="C6" s="432"/>
      <c r="D6" s="432">
        <f>vkm_2011_GW_PW*SUMIFS(TableVerdeelsleutelVkm[CNG],TableVerdeelsleutelVkm[Voertuigtype],"Lichte voertuigen")*SUMIFS(TableECFTransport[EnergieConsumptieFactor (PJ per km)],TableECFTransport[Index],CONCATENATE($A6,"_CNG_CNG"))</f>
        <v>1.0126656868922329E-5</v>
      </c>
      <c r="E6" s="434">
        <f>vkm_2011_GW_PW*SUMIFS(TableVerdeelsleutelVkm[LPG],TableVerdeelsleutelVkm[Voertuigtype],"Lichte voertuigen")*SUMIFS(TableECFTransport[EnergieConsumptieFactor (PJ per km)],TableECFTransport[Index],CONCATENATE($A6,"_LPG_LPG"))</f>
        <v>1.0536165113489355E-3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0.12959772336708217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3.4120394906330113E-2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7.1749128374787949E-3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8.5149527672779113E-2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2.9196593066877017E-5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3.678300052915581E-3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1.1290257971933389E-6</v>
      </c>
      <c r="C8" s="432"/>
      <c r="D8" s="434">
        <f>vkm_2011_NGW_PW*SUMIFS(TableVerdeelsleutelVkm[CNG],TableVerdeelsleutelVkm[Voertuigtype],"Lichte voertuigen")*SUMIFS(TableECFTransport[EnergieConsumptieFactor (PJ per km)],TableECFTransport[Index],CONCATENATE($A8,"_CNG_CNG"))</f>
        <v>8.7316941070776125E-6</v>
      </c>
      <c r="E8" s="434">
        <f>vkm_2011_NGW_PW*SUMIFS(TableVerdeelsleutelVkm[LPG],TableVerdeelsleutelVkm[Voertuigtype],"Lichte voertuigen")*SUMIFS(TableECFTransport[EnergieConsumptieFactor (PJ per km)],TableECFTransport[Index],CONCATENATE($A8,"_LPG_LPG"))</f>
        <v>8.2950888678944164E-4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9.6774905765182523E-2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2.8083642232835958E-2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5.4782572043862096E-3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6.3201666191257657E-3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1.8826115982415593E-6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2.7300619418281973E-4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3.9780783308642379E-6</v>
      </c>
      <c r="C10" s="432"/>
      <c r="D10" s="434">
        <f>vkm_2011_SW_PW*SUMIFS(TableVerdeelsleutelVkm[CNG],TableVerdeelsleutelVkm[Voertuigtype],"Lichte voertuigen")*SUMIFS(TableECFTransport[EnergieConsumptieFactor (PJ per km)],TableECFTransport[Index],CONCATENATE($A10,"_CNG_CNG"))</f>
        <v>1.7767658209590901E-5</v>
      </c>
      <c r="E10" s="434">
        <f>vkm_2011_SW_PW*SUMIFS(TableVerdeelsleutelVkm[LPG],TableVerdeelsleutelVkm[Voertuigtype],"Lichte voertuigen")*SUMIFS(TableECFTransport[EnergieConsumptieFactor (PJ per km)],TableECFTransport[Index],CONCATENATE($A10,"_LPG_LPG"))</f>
        <v>2.3143504135651307E-3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0.26170998587319805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6.3168736399210321E-2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1.4223749149796568E-2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0.36174024951713935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1.323410737316065E-4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1.5626885245095014E-2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2.0711652248110677</v>
      </c>
      <c r="C14" s="21"/>
      <c r="D14" s="21">
        <f t="shared" ref="D14:M14" si="0">((D5)*10^9/3600)+D12</f>
        <v>10.173891440441903</v>
      </c>
      <c r="E14" s="21">
        <f t="shared" si="0"/>
        <v>1165.9655032509743</v>
      </c>
      <c r="F14" s="21"/>
      <c r="G14" s="21">
        <f t="shared" si="0"/>
        <v>261470.15522625193</v>
      </c>
      <c r="H14" s="21">
        <f t="shared" si="0"/>
        <v>34871.164949103644</v>
      </c>
      <c r="I14" s="21"/>
      <c r="J14" s="21"/>
      <c r="K14" s="21"/>
      <c r="L14" s="21"/>
      <c r="M14" s="21">
        <f t="shared" si="0"/>
        <v>12904.197412181942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0.19689152697475087</v>
      </c>
      <c r="C16" s="56">
        <f ca="1">'EF ele_warmte'!B22</f>
        <v>0.22949292345405012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0.40779488373005429</v>
      </c>
      <c r="C18" s="23"/>
      <c r="D18" s="23">
        <f t="shared" ref="D18:M18" si="1">D14*D16</f>
        <v>2.0551260709692647</v>
      </c>
      <c r="E18" s="23">
        <f t="shared" si="1"/>
        <v>264.67416923797117</v>
      </c>
      <c r="F18" s="23"/>
      <c r="G18" s="23">
        <f t="shared" si="1"/>
        <v>69812.531445409273</v>
      </c>
      <c r="H18" s="23">
        <f t="shared" si="1"/>
        <v>8682.9200723268077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6.9955545843171972E-3</v>
      </c>
      <c r="H50" s="322">
        <f t="shared" si="2"/>
        <v>0</v>
      </c>
      <c r="I50" s="322">
        <f t="shared" si="2"/>
        <v>0</v>
      </c>
      <c r="J50" s="322">
        <f t="shared" si="2"/>
        <v>0</v>
      </c>
      <c r="K50" s="322">
        <f t="shared" si="2"/>
        <v>0</v>
      </c>
      <c r="L50" s="322">
        <f t="shared" si="2"/>
        <v>0</v>
      </c>
      <c r="M50" s="322">
        <f t="shared" si="2"/>
        <v>2.981900999064788E-4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6.9955545843171972E-3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2.981900999064788E-4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1943.209606754777</v>
      </c>
      <c r="H54" s="21">
        <f t="shared" si="3"/>
        <v>0</v>
      </c>
      <c r="I54" s="21">
        <f t="shared" si="3"/>
        <v>0</v>
      </c>
      <c r="J54" s="21">
        <f t="shared" si="3"/>
        <v>0</v>
      </c>
      <c r="K54" s="21">
        <f t="shared" si="3"/>
        <v>0</v>
      </c>
      <c r="L54" s="21">
        <f t="shared" si="3"/>
        <v>0</v>
      </c>
      <c r="M54" s="21">
        <f t="shared" si="3"/>
        <v>82.830583307355212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0.19689152697475087</v>
      </c>
      <c r="C56" s="56">
        <f ca="1">'EF ele_warmte'!B22</f>
        <v>0.22949292345405012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518.83696500352551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59532.090158315434</v>
      </c>
      <c r="D10" s="687">
        <f ca="1">tertiair!C16</f>
        <v>12857.142857142857</v>
      </c>
      <c r="E10" s="687">
        <f ca="1">tertiair!D16</f>
        <v>37638.674884930624</v>
      </c>
      <c r="F10" s="687">
        <f>tertiair!E16</f>
        <v>1033.6969593113313</v>
      </c>
      <c r="G10" s="687">
        <f ca="1">tertiair!F16</f>
        <v>9693.4544365259644</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0</v>
      </c>
      <c r="Q10" s="688">
        <f>tertiair!P16</f>
        <v>76.266666666666666</v>
      </c>
      <c r="R10" s="690">
        <f ca="1">SUM(C10:Q10)</f>
        <v>120831.32596289286</v>
      </c>
      <c r="S10" s="67"/>
    </row>
    <row r="11" spans="1:19" s="456" customFormat="1">
      <c r="A11" s="802" t="s">
        <v>225</v>
      </c>
      <c r="B11" s="807"/>
      <c r="C11" s="687">
        <f>huishoudens!B8</f>
        <v>37775.464319062768</v>
      </c>
      <c r="D11" s="687">
        <f>huishoudens!C8</f>
        <v>0</v>
      </c>
      <c r="E11" s="687">
        <f>huishoudens!D8</f>
        <v>85525.881611347766</v>
      </c>
      <c r="F11" s="687">
        <f>huishoudens!E8</f>
        <v>8935.0442608447938</v>
      </c>
      <c r="G11" s="687">
        <f>huishoudens!F8</f>
        <v>18191.520055615281</v>
      </c>
      <c r="H11" s="687">
        <f>huishoudens!G8</f>
        <v>0</v>
      </c>
      <c r="I11" s="687">
        <f>huishoudens!H8</f>
        <v>0</v>
      </c>
      <c r="J11" s="687">
        <f>huishoudens!I8</f>
        <v>0</v>
      </c>
      <c r="K11" s="687">
        <f>huishoudens!J8</f>
        <v>0</v>
      </c>
      <c r="L11" s="687">
        <f>huishoudens!K8</f>
        <v>0</v>
      </c>
      <c r="M11" s="687">
        <f>huishoudens!L8</f>
        <v>0</v>
      </c>
      <c r="N11" s="687">
        <f>huishoudens!M8</f>
        <v>0</v>
      </c>
      <c r="O11" s="687">
        <f>huishoudens!N8</f>
        <v>22208.555421415891</v>
      </c>
      <c r="P11" s="687">
        <f>huishoudens!O8</f>
        <v>145.39000000000001</v>
      </c>
      <c r="Q11" s="688">
        <f>huishoudens!P8</f>
        <v>419.4666666666667</v>
      </c>
      <c r="R11" s="690">
        <f>SUM(C11:Q11)</f>
        <v>173201.32233495321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83190.399502237909</v>
      </c>
      <c r="D13" s="687">
        <f>industrie!C18</f>
        <v>784.28571428571433</v>
      </c>
      <c r="E13" s="687">
        <f>industrie!D18</f>
        <v>51293.692399400861</v>
      </c>
      <c r="F13" s="687">
        <f>industrie!E18</f>
        <v>819.20933337517999</v>
      </c>
      <c r="G13" s="687">
        <f>industrie!F18</f>
        <v>17912.223057748663</v>
      </c>
      <c r="H13" s="687">
        <f>industrie!G18</f>
        <v>0</v>
      </c>
      <c r="I13" s="687">
        <f>industrie!H18</f>
        <v>0</v>
      </c>
      <c r="J13" s="687">
        <f>industrie!I18</f>
        <v>0</v>
      </c>
      <c r="K13" s="687">
        <f>industrie!J18</f>
        <v>531.76651650330541</v>
      </c>
      <c r="L13" s="687">
        <f>industrie!K18</f>
        <v>0</v>
      </c>
      <c r="M13" s="687">
        <f>industrie!L18</f>
        <v>0</v>
      </c>
      <c r="N13" s="687">
        <f>industrie!M18</f>
        <v>0</v>
      </c>
      <c r="O13" s="687">
        <f>industrie!N18</f>
        <v>1566.8783398655639</v>
      </c>
      <c r="P13" s="687">
        <f>industrie!O18</f>
        <v>0</v>
      </c>
      <c r="Q13" s="688">
        <f>industrie!P18</f>
        <v>0</v>
      </c>
      <c r="R13" s="690">
        <f>SUM(C13:Q13)</f>
        <v>156098.4548634172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180497.95397961611</v>
      </c>
      <c r="D16" s="720">
        <f t="shared" ref="D16:R16" ca="1" si="0">SUM(D9:D15)</f>
        <v>13641.428571428571</v>
      </c>
      <c r="E16" s="720">
        <f t="shared" ca="1" si="0"/>
        <v>174458.24889567925</v>
      </c>
      <c r="F16" s="720">
        <f t="shared" si="0"/>
        <v>10787.950553531306</v>
      </c>
      <c r="G16" s="720">
        <f t="shared" ca="1" si="0"/>
        <v>45797.197549889912</v>
      </c>
      <c r="H16" s="720">
        <f t="shared" si="0"/>
        <v>0</v>
      </c>
      <c r="I16" s="720">
        <f t="shared" si="0"/>
        <v>0</v>
      </c>
      <c r="J16" s="720">
        <f t="shared" si="0"/>
        <v>0</v>
      </c>
      <c r="K16" s="720">
        <f t="shared" si="0"/>
        <v>531.76651650330541</v>
      </c>
      <c r="L16" s="720">
        <f t="shared" si="0"/>
        <v>0</v>
      </c>
      <c r="M16" s="720">
        <f t="shared" ca="1" si="0"/>
        <v>0</v>
      </c>
      <c r="N16" s="720">
        <f t="shared" si="0"/>
        <v>0</v>
      </c>
      <c r="O16" s="720">
        <f t="shared" ca="1" si="0"/>
        <v>23775.433761281456</v>
      </c>
      <c r="P16" s="720">
        <f t="shared" si="0"/>
        <v>145.39000000000001</v>
      </c>
      <c r="Q16" s="720">
        <f t="shared" si="0"/>
        <v>495.73333333333335</v>
      </c>
      <c r="R16" s="720">
        <f t="shared" ca="1" si="0"/>
        <v>450131.10316126328</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1943.209606754777</v>
      </c>
      <c r="I19" s="687">
        <f>transport!H54</f>
        <v>0</v>
      </c>
      <c r="J19" s="687">
        <f>transport!I54</f>
        <v>0</v>
      </c>
      <c r="K19" s="687">
        <f>transport!J54</f>
        <v>0</v>
      </c>
      <c r="L19" s="687">
        <f>transport!K54</f>
        <v>0</v>
      </c>
      <c r="M19" s="687">
        <f>transport!L54</f>
        <v>0</v>
      </c>
      <c r="N19" s="687">
        <f>transport!M54</f>
        <v>82.830583307355212</v>
      </c>
      <c r="O19" s="687">
        <f>transport!N54</f>
        <v>0</v>
      </c>
      <c r="P19" s="687">
        <f>transport!O54</f>
        <v>0</v>
      </c>
      <c r="Q19" s="688">
        <f>transport!P54</f>
        <v>0</v>
      </c>
      <c r="R19" s="690">
        <f>SUM(C19:Q19)</f>
        <v>2026.0401900621323</v>
      </c>
      <c r="S19" s="67"/>
    </row>
    <row r="20" spans="1:19" s="456" customFormat="1">
      <c r="A20" s="802" t="s">
        <v>307</v>
      </c>
      <c r="B20" s="807"/>
      <c r="C20" s="687">
        <f>transport!B14</f>
        <v>2.0711652248110677</v>
      </c>
      <c r="D20" s="687">
        <f>transport!C14</f>
        <v>0</v>
      </c>
      <c r="E20" s="687">
        <f>transport!D14</f>
        <v>10.173891440441903</v>
      </c>
      <c r="F20" s="687">
        <f>transport!E14</f>
        <v>1165.9655032509743</v>
      </c>
      <c r="G20" s="687">
        <f>transport!F14</f>
        <v>0</v>
      </c>
      <c r="H20" s="687">
        <f>transport!G14</f>
        <v>261470.15522625193</v>
      </c>
      <c r="I20" s="687">
        <f>transport!H14</f>
        <v>34871.164949103644</v>
      </c>
      <c r="J20" s="687">
        <f>transport!I14</f>
        <v>0</v>
      </c>
      <c r="K20" s="687">
        <f>transport!J14</f>
        <v>0</v>
      </c>
      <c r="L20" s="687">
        <f>transport!K14</f>
        <v>0</v>
      </c>
      <c r="M20" s="687">
        <f>transport!L14</f>
        <v>0</v>
      </c>
      <c r="N20" s="687">
        <f>transport!M14</f>
        <v>12904.197412181942</v>
      </c>
      <c r="O20" s="687">
        <f>transport!N14</f>
        <v>0</v>
      </c>
      <c r="P20" s="687">
        <f>transport!O14</f>
        <v>0</v>
      </c>
      <c r="Q20" s="688">
        <f>transport!P14</f>
        <v>0</v>
      </c>
      <c r="R20" s="690">
        <f>SUM(C20:Q20)</f>
        <v>310423.72814745374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2.0711652248110677</v>
      </c>
      <c r="D22" s="805">
        <f t="shared" ref="D22:R22" si="1">SUM(D18:D21)</f>
        <v>0</v>
      </c>
      <c r="E22" s="805">
        <f t="shared" si="1"/>
        <v>10.173891440441903</v>
      </c>
      <c r="F22" s="805">
        <f t="shared" si="1"/>
        <v>1165.9655032509743</v>
      </c>
      <c r="G22" s="805">
        <f t="shared" si="1"/>
        <v>0</v>
      </c>
      <c r="H22" s="805">
        <f t="shared" si="1"/>
        <v>263413.36483300669</v>
      </c>
      <c r="I22" s="805">
        <f t="shared" si="1"/>
        <v>34871.164949103644</v>
      </c>
      <c r="J22" s="805">
        <f t="shared" si="1"/>
        <v>0</v>
      </c>
      <c r="K22" s="805">
        <f t="shared" si="1"/>
        <v>0</v>
      </c>
      <c r="L22" s="805">
        <f t="shared" si="1"/>
        <v>0</v>
      </c>
      <c r="M22" s="805">
        <f t="shared" si="1"/>
        <v>0</v>
      </c>
      <c r="N22" s="805">
        <f t="shared" si="1"/>
        <v>12987.027995489298</v>
      </c>
      <c r="O22" s="805">
        <f t="shared" si="1"/>
        <v>0</v>
      </c>
      <c r="P22" s="805">
        <f t="shared" si="1"/>
        <v>0</v>
      </c>
      <c r="Q22" s="805">
        <f t="shared" si="1"/>
        <v>0</v>
      </c>
      <c r="R22" s="805">
        <f t="shared" si="1"/>
        <v>312449.76833751588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20035.981652065067</v>
      </c>
      <c r="D24" s="687">
        <f>+landbouw!C8</f>
        <v>77214.85714285713</v>
      </c>
      <c r="E24" s="687">
        <f>+landbouw!D8</f>
        <v>15025.231882521824</v>
      </c>
      <c r="F24" s="687">
        <f>+landbouw!E8</f>
        <v>209.82113747356624</v>
      </c>
      <c r="G24" s="687">
        <f>+landbouw!F8</f>
        <v>83429.225583607607</v>
      </c>
      <c r="H24" s="687">
        <f>+landbouw!G8</f>
        <v>0</v>
      </c>
      <c r="I24" s="687">
        <f>+landbouw!H8</f>
        <v>0</v>
      </c>
      <c r="J24" s="687">
        <f>+landbouw!I8</f>
        <v>0</v>
      </c>
      <c r="K24" s="687">
        <f>+landbouw!J8</f>
        <v>1789.3927470966271</v>
      </c>
      <c r="L24" s="687">
        <f>+landbouw!K8</f>
        <v>0</v>
      </c>
      <c r="M24" s="687">
        <f>+landbouw!L8</f>
        <v>0</v>
      </c>
      <c r="N24" s="687">
        <f>+landbouw!M8</f>
        <v>0</v>
      </c>
      <c r="O24" s="687">
        <f>+landbouw!N8</f>
        <v>0</v>
      </c>
      <c r="P24" s="687">
        <f>+landbouw!O8</f>
        <v>0</v>
      </c>
      <c r="Q24" s="688">
        <f>+landbouw!P8</f>
        <v>0</v>
      </c>
      <c r="R24" s="690">
        <f>SUM(C24:Q24)</f>
        <v>197704.51014562181</v>
      </c>
      <c r="S24" s="67"/>
    </row>
    <row r="25" spans="1:19" s="456" customFormat="1" ht="15" thickBot="1">
      <c r="A25" s="824" t="s">
        <v>925</v>
      </c>
      <c r="B25" s="988"/>
      <c r="C25" s="989">
        <f>IF(Onbekend_ele_kWh="---",0,Onbekend_ele_kWh)/1000+IF(REST_rest_ele_kWh="---",0,REST_rest_ele_kWh)/1000</f>
        <v>3134.6635762508899</v>
      </c>
      <c r="D25" s="989"/>
      <c r="E25" s="989">
        <f>IF(onbekend_gas_kWh="---",0,onbekend_gas_kWh)/1000+IF(REST_rest_gas_kWh="---",0,REST_rest_gas_kWh)/1000</f>
        <v>5739.6909312323496</v>
      </c>
      <c r="F25" s="989"/>
      <c r="G25" s="989"/>
      <c r="H25" s="989"/>
      <c r="I25" s="989"/>
      <c r="J25" s="989"/>
      <c r="K25" s="989"/>
      <c r="L25" s="989"/>
      <c r="M25" s="989"/>
      <c r="N25" s="989"/>
      <c r="O25" s="989"/>
      <c r="P25" s="989"/>
      <c r="Q25" s="990"/>
      <c r="R25" s="690">
        <f>SUM(C25:Q25)</f>
        <v>8874.35450748324</v>
      </c>
      <c r="S25" s="67"/>
    </row>
    <row r="26" spans="1:19" s="456" customFormat="1" ht="15.75" thickBot="1">
      <c r="A26" s="693" t="s">
        <v>926</v>
      </c>
      <c r="B26" s="810"/>
      <c r="C26" s="805">
        <f>SUM(C24:C25)</f>
        <v>23170.645228315956</v>
      </c>
      <c r="D26" s="805">
        <f t="shared" ref="D26:R26" si="2">SUM(D24:D25)</f>
        <v>77214.85714285713</v>
      </c>
      <c r="E26" s="805">
        <f t="shared" si="2"/>
        <v>20764.922813754172</v>
      </c>
      <c r="F26" s="805">
        <f t="shared" si="2"/>
        <v>209.82113747356624</v>
      </c>
      <c r="G26" s="805">
        <f t="shared" si="2"/>
        <v>83429.225583607607</v>
      </c>
      <c r="H26" s="805">
        <f t="shared" si="2"/>
        <v>0</v>
      </c>
      <c r="I26" s="805">
        <f t="shared" si="2"/>
        <v>0</v>
      </c>
      <c r="J26" s="805">
        <f t="shared" si="2"/>
        <v>0</v>
      </c>
      <c r="K26" s="805">
        <f t="shared" si="2"/>
        <v>1789.3927470966271</v>
      </c>
      <c r="L26" s="805">
        <f t="shared" si="2"/>
        <v>0</v>
      </c>
      <c r="M26" s="805">
        <f t="shared" si="2"/>
        <v>0</v>
      </c>
      <c r="N26" s="805">
        <f t="shared" si="2"/>
        <v>0</v>
      </c>
      <c r="O26" s="805">
        <f t="shared" si="2"/>
        <v>0</v>
      </c>
      <c r="P26" s="805">
        <f t="shared" si="2"/>
        <v>0</v>
      </c>
      <c r="Q26" s="805">
        <f t="shared" si="2"/>
        <v>0</v>
      </c>
      <c r="R26" s="805">
        <f t="shared" si="2"/>
        <v>206578.86465310506</v>
      </c>
      <c r="S26" s="67"/>
    </row>
    <row r="27" spans="1:19" s="456" customFormat="1" ht="17.25" thickTop="1" thickBot="1">
      <c r="A27" s="694" t="s">
        <v>116</v>
      </c>
      <c r="B27" s="797"/>
      <c r="C27" s="695">
        <f ca="1">C22+C16+C26</f>
        <v>203670.67037315687</v>
      </c>
      <c r="D27" s="695">
        <f t="shared" ref="D27:R27" ca="1" si="3">D22+D16+D26</f>
        <v>90856.285714285696</v>
      </c>
      <c r="E27" s="695">
        <f t="shared" ca="1" si="3"/>
        <v>195233.34560087387</v>
      </c>
      <c r="F27" s="695">
        <f t="shared" si="3"/>
        <v>12163.737194255846</v>
      </c>
      <c r="G27" s="695">
        <f t="shared" ca="1" si="3"/>
        <v>129226.42313349752</v>
      </c>
      <c r="H27" s="695">
        <f t="shared" si="3"/>
        <v>263413.36483300669</v>
      </c>
      <c r="I27" s="695">
        <f t="shared" si="3"/>
        <v>34871.164949103644</v>
      </c>
      <c r="J27" s="695">
        <f t="shared" si="3"/>
        <v>0</v>
      </c>
      <c r="K27" s="695">
        <f t="shared" si="3"/>
        <v>2321.1592635999323</v>
      </c>
      <c r="L27" s="695">
        <f t="shared" si="3"/>
        <v>0</v>
      </c>
      <c r="M27" s="695">
        <f t="shared" ca="1" si="3"/>
        <v>0</v>
      </c>
      <c r="N27" s="695">
        <f t="shared" si="3"/>
        <v>12987.027995489298</v>
      </c>
      <c r="O27" s="695">
        <f t="shared" ca="1" si="3"/>
        <v>23775.433761281456</v>
      </c>
      <c r="P27" s="695">
        <f t="shared" si="3"/>
        <v>145.39000000000001</v>
      </c>
      <c r="Q27" s="695">
        <f t="shared" si="3"/>
        <v>495.73333333333335</v>
      </c>
      <c r="R27" s="695">
        <f t="shared" ca="1" si="3"/>
        <v>969159.73615188419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11721.364135269265</v>
      </c>
      <c r="D40" s="687">
        <f ca="1">tertiair!C20</f>
        <v>2950.6233015520729</v>
      </c>
      <c r="E40" s="687">
        <f ca="1">tertiair!D20</f>
        <v>7603.0123267559866</v>
      </c>
      <c r="F40" s="687">
        <f>tertiair!E20</f>
        <v>234.64920976367222</v>
      </c>
      <c r="G40" s="687">
        <f ca="1">tertiair!F20</f>
        <v>2588.1523345524324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25097.801307893431</v>
      </c>
    </row>
    <row r="41" spans="1:18">
      <c r="A41" s="815" t="s">
        <v>225</v>
      </c>
      <c r="B41" s="822"/>
      <c r="C41" s="687">
        <f ca="1">huishoudens!B12</f>
        <v>7437.6688519604859</v>
      </c>
      <c r="D41" s="687">
        <f ca="1">huishoudens!C12</f>
        <v>0</v>
      </c>
      <c r="E41" s="687">
        <f>huishoudens!D12</f>
        <v>17276.22808549225</v>
      </c>
      <c r="F41" s="687">
        <f>huishoudens!E12</f>
        <v>2028.2550472117682</v>
      </c>
      <c r="G41" s="687">
        <f>huishoudens!F12</f>
        <v>4857.1358548492808</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31599.287839513789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16379.484787635178</v>
      </c>
      <c r="D43" s="687">
        <f ca="1">industrie!C22</f>
        <v>179.98802139467645</v>
      </c>
      <c r="E43" s="687">
        <f>industrie!D22</f>
        <v>10361.325864678975</v>
      </c>
      <c r="F43" s="687">
        <f>industrie!E22</f>
        <v>185.96051867616586</v>
      </c>
      <c r="G43" s="687">
        <f>industrie!F22</f>
        <v>4782.5635564188933</v>
      </c>
      <c r="H43" s="687">
        <f>industrie!G22</f>
        <v>0</v>
      </c>
      <c r="I43" s="687">
        <f>industrie!H22</f>
        <v>0</v>
      </c>
      <c r="J43" s="687">
        <f>industrie!I22</f>
        <v>0</v>
      </c>
      <c r="K43" s="687">
        <f>industrie!J22</f>
        <v>188.24534684217011</v>
      </c>
      <c r="L43" s="687">
        <f>industrie!K22</f>
        <v>0</v>
      </c>
      <c r="M43" s="687">
        <f>industrie!L22</f>
        <v>0</v>
      </c>
      <c r="N43" s="687">
        <f>industrie!M22</f>
        <v>0</v>
      </c>
      <c r="O43" s="687">
        <f>industrie!N22</f>
        <v>0</v>
      </c>
      <c r="P43" s="687">
        <f>industrie!O22</f>
        <v>0</v>
      </c>
      <c r="Q43" s="762">
        <f>industrie!P22</f>
        <v>0</v>
      </c>
      <c r="R43" s="842">
        <f t="shared" ca="1" si="4"/>
        <v>32077.568095646056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35538.517774864929</v>
      </c>
      <c r="D46" s="720">
        <f t="shared" ref="D46:Q46" ca="1" si="5">SUM(D39:D45)</f>
        <v>3130.6113229467492</v>
      </c>
      <c r="E46" s="720">
        <f t="shared" ca="1" si="5"/>
        <v>35240.566276927209</v>
      </c>
      <c r="F46" s="720">
        <f t="shared" si="5"/>
        <v>2448.8647756516066</v>
      </c>
      <c r="G46" s="720">
        <f t="shared" ca="1" si="5"/>
        <v>12227.851745820608</v>
      </c>
      <c r="H46" s="720">
        <f t="shared" si="5"/>
        <v>0</v>
      </c>
      <c r="I46" s="720">
        <f t="shared" si="5"/>
        <v>0</v>
      </c>
      <c r="J46" s="720">
        <f t="shared" si="5"/>
        <v>0</v>
      </c>
      <c r="K46" s="720">
        <f t="shared" si="5"/>
        <v>188.24534684217011</v>
      </c>
      <c r="L46" s="720">
        <f t="shared" si="5"/>
        <v>0</v>
      </c>
      <c r="M46" s="720">
        <f t="shared" ca="1" si="5"/>
        <v>0</v>
      </c>
      <c r="N46" s="720">
        <f t="shared" si="5"/>
        <v>0</v>
      </c>
      <c r="O46" s="720">
        <f t="shared" ca="1" si="5"/>
        <v>0</v>
      </c>
      <c r="P46" s="720">
        <f t="shared" si="5"/>
        <v>0</v>
      </c>
      <c r="Q46" s="720">
        <f t="shared" si="5"/>
        <v>0</v>
      </c>
      <c r="R46" s="720">
        <f ca="1">SUM(R39:R45)</f>
        <v>88774.657243053283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518.83696500352551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518.83696500352551</v>
      </c>
    </row>
    <row r="50" spans="1:18">
      <c r="A50" s="818" t="s">
        <v>307</v>
      </c>
      <c r="B50" s="828"/>
      <c r="C50" s="995">
        <f ca="1">transport!B18</f>
        <v>0.40779488373005429</v>
      </c>
      <c r="D50" s="995">
        <f>transport!C18</f>
        <v>0</v>
      </c>
      <c r="E50" s="995">
        <f>transport!D18</f>
        <v>2.0551260709692647</v>
      </c>
      <c r="F50" s="995">
        <f>transport!E18</f>
        <v>264.67416923797117</v>
      </c>
      <c r="G50" s="995">
        <f>transport!F18</f>
        <v>0</v>
      </c>
      <c r="H50" s="995">
        <f>transport!G18</f>
        <v>69812.531445409273</v>
      </c>
      <c r="I50" s="995">
        <f>transport!H18</f>
        <v>8682.9200723268077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78762.588607928745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0.40779488373005429</v>
      </c>
      <c r="D52" s="720">
        <f t="shared" ref="D52:Q52" ca="1" si="6">SUM(D48:D51)</f>
        <v>0</v>
      </c>
      <c r="E52" s="720">
        <f t="shared" si="6"/>
        <v>2.0551260709692647</v>
      </c>
      <c r="F52" s="720">
        <f t="shared" si="6"/>
        <v>264.67416923797117</v>
      </c>
      <c r="G52" s="720">
        <f t="shared" si="6"/>
        <v>0</v>
      </c>
      <c r="H52" s="720">
        <f t="shared" si="6"/>
        <v>70331.368410412804</v>
      </c>
      <c r="I52" s="720">
        <f t="shared" si="6"/>
        <v>8682.9200723268077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79281.425572932276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3944.915021913183</v>
      </c>
      <c r="D54" s="995">
        <f ca="1">+landbouw!C12</f>
        <v>17720.263299801125</v>
      </c>
      <c r="E54" s="995">
        <f>+landbouw!D12</f>
        <v>3035.0968402694089</v>
      </c>
      <c r="F54" s="995">
        <f>+landbouw!E12</f>
        <v>47.629398206499538</v>
      </c>
      <c r="G54" s="995">
        <f>+landbouw!F12</f>
        <v>22275.603230823232</v>
      </c>
      <c r="H54" s="995">
        <f>+landbouw!G12</f>
        <v>0</v>
      </c>
      <c r="I54" s="995">
        <f>+landbouw!H12</f>
        <v>0</v>
      </c>
      <c r="J54" s="995">
        <f>+landbouw!I12</f>
        <v>0</v>
      </c>
      <c r="K54" s="995">
        <f>+landbouw!J12</f>
        <v>633.44503247220598</v>
      </c>
      <c r="L54" s="995">
        <f>+landbouw!K12</f>
        <v>0</v>
      </c>
      <c r="M54" s="995">
        <f>+landbouw!L12</f>
        <v>0</v>
      </c>
      <c r="N54" s="995">
        <f>+landbouw!M12</f>
        <v>0</v>
      </c>
      <c r="O54" s="995">
        <f>+landbouw!N12</f>
        <v>0</v>
      </c>
      <c r="P54" s="995">
        <f>+landbouw!O12</f>
        <v>0</v>
      </c>
      <c r="Q54" s="996">
        <f>+landbouw!P12</f>
        <v>0</v>
      </c>
      <c r="R54" s="719">
        <f ca="1">SUM(C54:Q54)</f>
        <v>47656.952823485655</v>
      </c>
    </row>
    <row r="55" spans="1:18" ht="15" thickBot="1">
      <c r="A55" s="818" t="s">
        <v>925</v>
      </c>
      <c r="B55" s="828"/>
      <c r="C55" s="995">
        <f ca="1">C25*'EF ele_warmte'!B12</f>
        <v>617.18869808017109</v>
      </c>
      <c r="D55" s="995"/>
      <c r="E55" s="995">
        <f>E25*EF_CO2_aardgas</f>
        <v>1159.4175681089348</v>
      </c>
      <c r="F55" s="995"/>
      <c r="G55" s="995"/>
      <c r="H55" s="995"/>
      <c r="I55" s="995"/>
      <c r="J55" s="995"/>
      <c r="K55" s="995"/>
      <c r="L55" s="995"/>
      <c r="M55" s="995"/>
      <c r="N55" s="995"/>
      <c r="O55" s="995"/>
      <c r="P55" s="995"/>
      <c r="Q55" s="996"/>
      <c r="R55" s="719">
        <f ca="1">SUM(C55:Q55)</f>
        <v>1776.606266189106</v>
      </c>
    </row>
    <row r="56" spans="1:18" ht="15.75" thickBot="1">
      <c r="A56" s="816" t="s">
        <v>926</v>
      </c>
      <c r="B56" s="829"/>
      <c r="C56" s="720">
        <f ca="1">SUM(C54:C55)</f>
        <v>4562.1037199933544</v>
      </c>
      <c r="D56" s="720">
        <f t="shared" ref="D56:Q56" ca="1" si="7">SUM(D54:D55)</f>
        <v>17720.263299801125</v>
      </c>
      <c r="E56" s="720">
        <f t="shared" si="7"/>
        <v>4194.5144083783434</v>
      </c>
      <c r="F56" s="720">
        <f t="shared" si="7"/>
        <v>47.629398206499538</v>
      </c>
      <c r="G56" s="720">
        <f t="shared" si="7"/>
        <v>22275.603230823232</v>
      </c>
      <c r="H56" s="720">
        <f t="shared" si="7"/>
        <v>0</v>
      </c>
      <c r="I56" s="720">
        <f t="shared" si="7"/>
        <v>0</v>
      </c>
      <c r="J56" s="720">
        <f t="shared" si="7"/>
        <v>0</v>
      </c>
      <c r="K56" s="720">
        <f t="shared" si="7"/>
        <v>633.44503247220598</v>
      </c>
      <c r="L56" s="720">
        <f t="shared" si="7"/>
        <v>0</v>
      </c>
      <c r="M56" s="720">
        <f t="shared" si="7"/>
        <v>0</v>
      </c>
      <c r="N56" s="720">
        <f t="shared" si="7"/>
        <v>0</v>
      </c>
      <c r="O56" s="720">
        <f t="shared" si="7"/>
        <v>0</v>
      </c>
      <c r="P56" s="720">
        <f t="shared" si="7"/>
        <v>0</v>
      </c>
      <c r="Q56" s="721">
        <f t="shared" si="7"/>
        <v>0</v>
      </c>
      <c r="R56" s="722">
        <f ca="1">SUM(R54:R55)</f>
        <v>49433.55908967476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40101.029289742015</v>
      </c>
      <c r="D61" s="728">
        <f t="shared" ref="D61:Q61" ca="1" si="8">D46+D52+D56</f>
        <v>20850.874622747873</v>
      </c>
      <c r="E61" s="728">
        <f t="shared" ca="1" si="8"/>
        <v>39437.135811376524</v>
      </c>
      <c r="F61" s="728">
        <f t="shared" si="8"/>
        <v>2761.168343096077</v>
      </c>
      <c r="G61" s="728">
        <f t="shared" ca="1" si="8"/>
        <v>34503.454976643843</v>
      </c>
      <c r="H61" s="728">
        <f t="shared" si="8"/>
        <v>70331.368410412804</v>
      </c>
      <c r="I61" s="728">
        <f t="shared" si="8"/>
        <v>8682.9200723268077</v>
      </c>
      <c r="J61" s="728">
        <f t="shared" si="8"/>
        <v>0</v>
      </c>
      <c r="K61" s="728">
        <f t="shared" si="8"/>
        <v>821.69037931437606</v>
      </c>
      <c r="L61" s="728">
        <f t="shared" si="8"/>
        <v>0</v>
      </c>
      <c r="M61" s="728">
        <f t="shared" ca="1" si="8"/>
        <v>0</v>
      </c>
      <c r="N61" s="728">
        <f t="shared" si="8"/>
        <v>0</v>
      </c>
      <c r="O61" s="728">
        <f t="shared" ca="1" si="8"/>
        <v>0</v>
      </c>
      <c r="P61" s="728">
        <f t="shared" si="8"/>
        <v>0</v>
      </c>
      <c r="Q61" s="728">
        <f t="shared" si="8"/>
        <v>0</v>
      </c>
      <c r="R61" s="728">
        <f ca="1">R46+R52+R56</f>
        <v>217489.6419056603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0.1968915269747509</v>
      </c>
      <c r="D63" s="772">
        <f t="shared" ca="1" si="9"/>
        <v>0.22949292345405012</v>
      </c>
      <c r="E63" s="997">
        <f t="shared" ca="1" si="9"/>
        <v>0.20200000000000001</v>
      </c>
      <c r="F63" s="772">
        <f t="shared" si="9"/>
        <v>0.22700000000000001</v>
      </c>
      <c r="G63" s="772">
        <f t="shared" ca="1" si="9"/>
        <v>0.26700000000000002</v>
      </c>
      <c r="H63" s="772">
        <f t="shared" si="9"/>
        <v>0.26700000000000007</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19822.423909587542</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3529.2940476487174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2474.9873292974803</v>
      </c>
      <c r="C76" s="738">
        <f>'lokale energieproductie'!B8*IFERROR(SUM(D76:H76)/SUM(D76:O76),0)</f>
        <v>61920.012670702527</v>
      </c>
      <c r="D76" s="1007">
        <f>'lokale energieproductie'!C8</f>
        <v>71876.490463847091</v>
      </c>
      <c r="E76" s="1008">
        <f>'lokale energieproductie'!D8</f>
        <v>0</v>
      </c>
      <c r="F76" s="1008">
        <f>'lokale energieproductie'!E8</f>
        <v>970.58326639116865</v>
      </c>
      <c r="G76" s="1008">
        <f>'lokale energieproductie'!F8</f>
        <v>0</v>
      </c>
      <c r="H76" s="1008">
        <f>'lokale energieproductie'!G8</f>
        <v>0</v>
      </c>
      <c r="I76" s="1008">
        <f>'lokale energieproductie'!I8</f>
        <v>2911.7497991735058</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14778.196805823556</v>
      </c>
      <c r="R76" s="845">
        <v>0</v>
      </c>
    </row>
    <row r="77" spans="1:18" ht="30.75" thickBot="1">
      <c r="A77" s="741" t="s">
        <v>353</v>
      </c>
      <c r="B77" s="738">
        <f>'lokale energieproductie'!B9*IFERROR(SUM(I77:O77)/SUM(D77:O77),0)</f>
        <v>1341</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3831.4285714285716</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27167.705286533739</v>
      </c>
      <c r="C78" s="743">
        <f>SUM(C72:C77)</f>
        <v>61920.012670702527</v>
      </c>
      <c r="D78" s="744">
        <f t="shared" ref="D78:H78" si="10">SUM(D76:D77)</f>
        <v>71876.490463847091</v>
      </c>
      <c r="E78" s="744">
        <f t="shared" si="10"/>
        <v>0</v>
      </c>
      <c r="F78" s="744">
        <f t="shared" si="10"/>
        <v>970.58326639116865</v>
      </c>
      <c r="G78" s="744">
        <f t="shared" si="10"/>
        <v>0</v>
      </c>
      <c r="H78" s="744">
        <f t="shared" si="10"/>
        <v>0</v>
      </c>
      <c r="I78" s="744">
        <f>SUM(I76:I77)</f>
        <v>2911.7497991735058</v>
      </c>
      <c r="J78" s="744">
        <f>SUM(J76:J77)</f>
        <v>3831.4285714285716</v>
      </c>
      <c r="K78" s="744">
        <f t="shared" ref="K78:L78" si="11">SUM(K76:K77)</f>
        <v>0</v>
      </c>
      <c r="L78" s="744">
        <f t="shared" si="11"/>
        <v>0</v>
      </c>
      <c r="M78" s="744">
        <f>SUM(M76:M77)</f>
        <v>0</v>
      </c>
      <c r="N78" s="744">
        <f>SUM(N76:N77)</f>
        <v>0</v>
      </c>
      <c r="O78" s="853">
        <f>SUM(O76:O77)</f>
        <v>0</v>
      </c>
      <c r="P78" s="745">
        <v>0</v>
      </c>
      <c r="Q78" s="745">
        <f>SUM(Q76:Q77)</f>
        <v>14778.196805823556</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3492.0126707025202</v>
      </c>
      <c r="C87" s="754">
        <f>'lokale energieproductie'!B17*IFERROR(SUM(D87:H87)/SUM(D87:O87),0)</f>
        <v>87364.273043583191</v>
      </c>
      <c r="D87" s="765">
        <f>'lokale energieproductie'!C17</f>
        <v>101412.08096472433</v>
      </c>
      <c r="E87" s="765">
        <f>'lokale energieproductie'!D17</f>
        <v>0</v>
      </c>
      <c r="F87" s="765">
        <f>'lokale energieproductie'!E17</f>
        <v>1369.4167336088315</v>
      </c>
      <c r="G87" s="765">
        <f>'lokale energieproductie'!F17</f>
        <v>0</v>
      </c>
      <c r="H87" s="765">
        <f>'lokale energieproductie'!G17</f>
        <v>0</v>
      </c>
      <c r="I87" s="765">
        <f>'lokale energieproductie'!I17</f>
        <v>4108.2502008264946</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20850.874622747873</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3492.0126707025202</v>
      </c>
      <c r="C90" s="743">
        <f>SUM(C87:C89)</f>
        <v>87364.273043583191</v>
      </c>
      <c r="D90" s="743">
        <f t="shared" ref="D90:H90" si="12">SUM(D87:D89)</f>
        <v>101412.08096472433</v>
      </c>
      <c r="E90" s="743">
        <f t="shared" si="12"/>
        <v>0</v>
      </c>
      <c r="F90" s="743">
        <f t="shared" si="12"/>
        <v>1369.4167336088315</v>
      </c>
      <c r="G90" s="743">
        <f t="shared" si="12"/>
        <v>0</v>
      </c>
      <c r="H90" s="743">
        <f t="shared" si="12"/>
        <v>0</v>
      </c>
      <c r="I90" s="743">
        <f>SUM(I87:I89)</f>
        <v>4108.2502008264946</v>
      </c>
      <c r="J90" s="743">
        <f>SUM(J87:J89)</f>
        <v>0</v>
      </c>
      <c r="K90" s="743">
        <f t="shared" ref="K90:L90" si="13">SUM(K87:K89)</f>
        <v>0</v>
      </c>
      <c r="L90" s="743">
        <f t="shared" si="13"/>
        <v>0</v>
      </c>
      <c r="M90" s="743">
        <f>SUM(M87:M89)</f>
        <v>0</v>
      </c>
      <c r="N90" s="743">
        <f>SUM(N87:N89)</f>
        <v>0</v>
      </c>
      <c r="O90" s="743">
        <f>SUM(O87:O89)</f>
        <v>0</v>
      </c>
      <c r="P90" s="743">
        <v>0</v>
      </c>
      <c r="Q90" s="743">
        <f>SUM(Q87:Q89)</f>
        <v>20850.874622747873</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19822.423909587542</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3529.2940476487174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64395</v>
      </c>
      <c r="C8" s="557">
        <f>B101</f>
        <v>71876.490463847091</v>
      </c>
      <c r="D8" s="985"/>
      <c r="E8" s="985">
        <f>E101</f>
        <v>970.58326639116865</v>
      </c>
      <c r="F8" s="986"/>
      <c r="G8" s="558"/>
      <c r="H8" s="985">
        <f>I101</f>
        <v>0</v>
      </c>
      <c r="I8" s="985">
        <f>G101+F101</f>
        <v>2911.7497991735058</v>
      </c>
      <c r="J8" s="985">
        <f>H101+D101+C101</f>
        <v>0</v>
      </c>
      <c r="K8" s="985"/>
      <c r="L8" s="985"/>
      <c r="M8" s="985"/>
      <c r="N8" s="559"/>
      <c r="O8" s="560">
        <f>C8*$C$12+D8*$D$12+E8*$E$12+F8*$F$12+G8*$G$12+H8*$H$12+I8*$I$12+J8*$J$12</f>
        <v>14778.196805823556</v>
      </c>
      <c r="P8" s="1252"/>
      <c r="Q8" s="1253"/>
      <c r="S8" s="1018"/>
      <c r="T8" s="1249"/>
      <c r="U8" s="1249"/>
    </row>
    <row r="9" spans="1:21" s="545" customFormat="1" ht="17.45" customHeight="1" thickBot="1">
      <c r="A9" s="561" t="s">
        <v>248</v>
      </c>
      <c r="B9" s="1022">
        <f>N89+'Eigen informatie GS &amp; warmtenet'!B12</f>
        <v>1341</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89087.717957236251</v>
      </c>
      <c r="C10" s="569">
        <f t="shared" ref="C10:L10" si="0">SUM(C8:C9)</f>
        <v>71876.490463847091</v>
      </c>
      <c r="D10" s="569">
        <f t="shared" si="0"/>
        <v>0</v>
      </c>
      <c r="E10" s="569">
        <f t="shared" si="0"/>
        <v>970.58326639116865</v>
      </c>
      <c r="F10" s="569">
        <f t="shared" si="0"/>
        <v>0</v>
      </c>
      <c r="G10" s="569">
        <f t="shared" si="0"/>
        <v>0</v>
      </c>
      <c r="H10" s="569">
        <f t="shared" si="0"/>
        <v>0</v>
      </c>
      <c r="I10" s="569">
        <f t="shared" si="0"/>
        <v>2911.7497991735058</v>
      </c>
      <c r="J10" s="569">
        <f t="shared" si="0"/>
        <v>3831.4285714285716</v>
      </c>
      <c r="K10" s="569">
        <f t="shared" si="0"/>
        <v>0</v>
      </c>
      <c r="L10" s="569">
        <f t="shared" si="0"/>
        <v>0</v>
      </c>
      <c r="M10" s="980"/>
      <c r="N10" s="980"/>
      <c r="O10" s="570">
        <f>SUM(O4:O9)</f>
        <v>14778.196805823556</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90856.28571428571</v>
      </c>
      <c r="C17" s="581">
        <f>B102</f>
        <v>101412.08096472433</v>
      </c>
      <c r="D17" s="582"/>
      <c r="E17" s="582">
        <f>E102</f>
        <v>1369.4167336088315</v>
      </c>
      <c r="F17" s="583"/>
      <c r="G17" s="584"/>
      <c r="H17" s="581">
        <f>I102</f>
        <v>0</v>
      </c>
      <c r="I17" s="582">
        <f>G102+F102</f>
        <v>4108.2502008264946</v>
      </c>
      <c r="J17" s="582">
        <f>H102+D102+C102</f>
        <v>0</v>
      </c>
      <c r="K17" s="582"/>
      <c r="L17" s="582"/>
      <c r="M17" s="582"/>
      <c r="N17" s="981"/>
      <c r="O17" s="585">
        <f>C17*$C$22+E17*$E$22+H17*$H$22+I17*$I$22+J17*$J$22+D17*$D$22+F17*$F$22+G17*$G$22+K17*$K$22+L17*$L$22</f>
        <v>20850.874622747873</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90856.28571428571</v>
      </c>
      <c r="C20" s="568">
        <f>SUM(C17:C19)</f>
        <v>101412.08096472433</v>
      </c>
      <c r="D20" s="568">
        <f t="shared" ref="D20:L20" si="1">SUM(D17:D19)</f>
        <v>0</v>
      </c>
      <c r="E20" s="568">
        <f t="shared" si="1"/>
        <v>1369.4167336088315</v>
      </c>
      <c r="F20" s="568">
        <f t="shared" si="1"/>
        <v>0</v>
      </c>
      <c r="G20" s="568">
        <f t="shared" si="1"/>
        <v>0</v>
      </c>
      <c r="H20" s="568">
        <f t="shared" si="1"/>
        <v>0</v>
      </c>
      <c r="I20" s="568">
        <f t="shared" si="1"/>
        <v>4108.2502008264946</v>
      </c>
      <c r="J20" s="568">
        <f t="shared" si="1"/>
        <v>0</v>
      </c>
      <c r="K20" s="568">
        <f t="shared" si="1"/>
        <v>0</v>
      </c>
      <c r="L20" s="568">
        <f t="shared" si="1"/>
        <v>0</v>
      </c>
      <c r="M20" s="568"/>
      <c r="N20" s="568"/>
      <c r="O20" s="589">
        <f>SUM(O17:O19)</f>
        <v>20850.874622747873</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13014</v>
      </c>
      <c r="C28" s="788">
        <v>2320</v>
      </c>
      <c r="D28" s="641" t="s">
        <v>965</v>
      </c>
      <c r="E28" s="640" t="s">
        <v>966</v>
      </c>
      <c r="F28" s="640" t="s">
        <v>967</v>
      </c>
      <c r="G28" s="640" t="s">
        <v>968</v>
      </c>
      <c r="H28" s="640" t="s">
        <v>969</v>
      </c>
      <c r="I28" s="640" t="s">
        <v>966</v>
      </c>
      <c r="J28" s="787">
        <v>40185</v>
      </c>
      <c r="K28" s="787">
        <v>40238</v>
      </c>
      <c r="L28" s="640" t="s">
        <v>970</v>
      </c>
      <c r="M28" s="640">
        <v>122</v>
      </c>
      <c r="N28" s="640">
        <v>549</v>
      </c>
      <c r="O28" s="640">
        <v>784.28571428571433</v>
      </c>
      <c r="P28" s="640">
        <v>1568.5714285714287</v>
      </c>
      <c r="Q28" s="640">
        <v>0</v>
      </c>
      <c r="R28" s="640">
        <v>0</v>
      </c>
      <c r="S28" s="640">
        <v>0</v>
      </c>
      <c r="T28" s="640">
        <v>0</v>
      </c>
      <c r="U28" s="640">
        <v>0</v>
      </c>
      <c r="V28" s="640">
        <v>0</v>
      </c>
      <c r="W28" s="640">
        <v>0</v>
      </c>
      <c r="X28" s="640">
        <v>400</v>
      </c>
      <c r="Y28" s="640" t="s">
        <v>37</v>
      </c>
      <c r="Z28" s="642" t="s">
        <v>391</v>
      </c>
    </row>
    <row r="29" spans="1:26" s="594" customFormat="1" ht="38.25">
      <c r="A29" s="593"/>
      <c r="B29" s="788">
        <v>13014</v>
      </c>
      <c r="C29" s="788">
        <v>2328</v>
      </c>
      <c r="D29" s="641" t="s">
        <v>971</v>
      </c>
      <c r="E29" s="640" t="s">
        <v>972</v>
      </c>
      <c r="F29" s="640" t="s">
        <v>973</v>
      </c>
      <c r="G29" s="640" t="s">
        <v>968</v>
      </c>
      <c r="H29" s="640" t="s">
        <v>974</v>
      </c>
      <c r="I29" s="640" t="s">
        <v>972</v>
      </c>
      <c r="J29" s="787">
        <v>40464</v>
      </c>
      <c r="K29" s="787">
        <v>40464</v>
      </c>
      <c r="L29" s="640" t="s">
        <v>975</v>
      </c>
      <c r="M29" s="640">
        <v>832</v>
      </c>
      <c r="N29" s="640">
        <v>3744</v>
      </c>
      <c r="O29" s="640">
        <v>4212</v>
      </c>
      <c r="P29" s="640">
        <v>0</v>
      </c>
      <c r="Q29" s="640">
        <v>0</v>
      </c>
      <c r="R29" s="640">
        <v>0</v>
      </c>
      <c r="S29" s="640">
        <v>2340</v>
      </c>
      <c r="T29" s="640">
        <v>7020</v>
      </c>
      <c r="U29" s="640">
        <v>0</v>
      </c>
      <c r="V29" s="640">
        <v>0</v>
      </c>
      <c r="W29" s="640">
        <v>0</v>
      </c>
      <c r="X29" s="640">
        <v>10</v>
      </c>
      <c r="Y29" s="640" t="s">
        <v>112</v>
      </c>
      <c r="Z29" s="642" t="s">
        <v>112</v>
      </c>
    </row>
    <row r="30" spans="1:26" s="594" customFormat="1" ht="25.5">
      <c r="A30" s="593"/>
      <c r="B30" s="788">
        <v>13014</v>
      </c>
      <c r="C30" s="788">
        <v>2321</v>
      </c>
      <c r="D30" s="641" t="s">
        <v>976</v>
      </c>
      <c r="E30" s="640" t="s">
        <v>977</v>
      </c>
      <c r="F30" s="640" t="s">
        <v>978</v>
      </c>
      <c r="G30" s="640" t="s">
        <v>968</v>
      </c>
      <c r="H30" s="640" t="s">
        <v>969</v>
      </c>
      <c r="I30" s="640" t="s">
        <v>977</v>
      </c>
      <c r="J30" s="787">
        <v>39792</v>
      </c>
      <c r="K30" s="787">
        <v>39792</v>
      </c>
      <c r="L30" s="640" t="s">
        <v>970</v>
      </c>
      <c r="M30" s="640">
        <v>1556</v>
      </c>
      <c r="N30" s="640">
        <v>7002</v>
      </c>
      <c r="O30" s="640">
        <v>10002.857142857143</v>
      </c>
      <c r="P30" s="640">
        <v>20005.714285714286</v>
      </c>
      <c r="Q30" s="640">
        <v>0</v>
      </c>
      <c r="R30" s="640">
        <v>0</v>
      </c>
      <c r="S30" s="640">
        <v>0</v>
      </c>
      <c r="T30" s="640">
        <v>0</v>
      </c>
      <c r="U30" s="640">
        <v>0</v>
      </c>
      <c r="V30" s="640">
        <v>0</v>
      </c>
      <c r="W30" s="640">
        <v>0</v>
      </c>
      <c r="X30" s="640">
        <v>10</v>
      </c>
      <c r="Y30" s="640" t="s">
        <v>112</v>
      </c>
      <c r="Z30" s="642" t="s">
        <v>112</v>
      </c>
    </row>
    <row r="31" spans="1:26" s="594" customFormat="1" ht="25.5">
      <c r="A31" s="593"/>
      <c r="B31" s="788">
        <v>13014</v>
      </c>
      <c r="C31" s="788">
        <v>2321</v>
      </c>
      <c r="D31" s="641" t="s">
        <v>979</v>
      </c>
      <c r="E31" s="640" t="s">
        <v>980</v>
      </c>
      <c r="F31" s="640" t="s">
        <v>981</v>
      </c>
      <c r="G31" s="640" t="s">
        <v>968</v>
      </c>
      <c r="H31" s="640" t="s">
        <v>969</v>
      </c>
      <c r="I31" s="640" t="s">
        <v>980</v>
      </c>
      <c r="J31" s="787">
        <v>39895</v>
      </c>
      <c r="K31" s="787">
        <v>39895</v>
      </c>
      <c r="L31" s="640" t="s">
        <v>970</v>
      </c>
      <c r="M31" s="640">
        <v>1998</v>
      </c>
      <c r="N31" s="640">
        <v>8991</v>
      </c>
      <c r="O31" s="640">
        <v>12844.285714285714</v>
      </c>
      <c r="P31" s="640">
        <v>25688.571428571431</v>
      </c>
      <c r="Q31" s="640">
        <v>0</v>
      </c>
      <c r="R31" s="640">
        <v>0</v>
      </c>
      <c r="S31" s="640">
        <v>0</v>
      </c>
      <c r="T31" s="640">
        <v>0</v>
      </c>
      <c r="U31" s="640">
        <v>0</v>
      </c>
      <c r="V31" s="640">
        <v>0</v>
      </c>
      <c r="W31" s="640">
        <v>0</v>
      </c>
      <c r="X31" s="640">
        <v>10</v>
      </c>
      <c r="Y31" s="640" t="s">
        <v>112</v>
      </c>
      <c r="Z31" s="642" t="s">
        <v>112</v>
      </c>
    </row>
    <row r="32" spans="1:26" s="594" customFormat="1" ht="63.75">
      <c r="A32" s="593"/>
      <c r="B32" s="788">
        <v>13014</v>
      </c>
      <c r="C32" s="788">
        <v>2321</v>
      </c>
      <c r="D32" s="641" t="s">
        <v>982</v>
      </c>
      <c r="E32" s="640" t="s">
        <v>983</v>
      </c>
      <c r="F32" s="640" t="s">
        <v>984</v>
      </c>
      <c r="G32" s="640" t="s">
        <v>968</v>
      </c>
      <c r="H32" s="640" t="s">
        <v>969</v>
      </c>
      <c r="I32" s="640" t="s">
        <v>983</v>
      </c>
      <c r="J32" s="787">
        <v>39562</v>
      </c>
      <c r="K32" s="787">
        <v>39562</v>
      </c>
      <c r="L32" s="640" t="s">
        <v>970</v>
      </c>
      <c r="M32" s="640">
        <v>2000</v>
      </c>
      <c r="N32" s="640">
        <v>9000</v>
      </c>
      <c r="O32" s="640">
        <v>12857.142857142857</v>
      </c>
      <c r="P32" s="640">
        <v>25714.285714285717</v>
      </c>
      <c r="Q32" s="640">
        <v>0</v>
      </c>
      <c r="R32" s="640">
        <v>0</v>
      </c>
      <c r="S32" s="640">
        <v>0</v>
      </c>
      <c r="T32" s="640">
        <v>0</v>
      </c>
      <c r="U32" s="640">
        <v>0</v>
      </c>
      <c r="V32" s="640">
        <v>0</v>
      </c>
      <c r="W32" s="640">
        <v>0</v>
      </c>
      <c r="X32" s="640">
        <v>1600</v>
      </c>
      <c r="Y32" s="640" t="s">
        <v>50</v>
      </c>
      <c r="Z32" s="642" t="s">
        <v>156</v>
      </c>
    </row>
    <row r="33" spans="1:26" s="594" customFormat="1" ht="25.5">
      <c r="A33" s="593"/>
      <c r="B33" s="788">
        <v>13014</v>
      </c>
      <c r="C33" s="788">
        <v>2321</v>
      </c>
      <c r="D33" s="641" t="s">
        <v>985</v>
      </c>
      <c r="E33" s="640" t="s">
        <v>986</v>
      </c>
      <c r="F33" s="640" t="s">
        <v>987</v>
      </c>
      <c r="G33" s="640" t="s">
        <v>968</v>
      </c>
      <c r="H33" s="640" t="s">
        <v>969</v>
      </c>
      <c r="I33" s="640" t="s">
        <v>986</v>
      </c>
      <c r="J33" s="787">
        <v>39660</v>
      </c>
      <c r="K33" s="787">
        <v>39661</v>
      </c>
      <c r="L33" s="640" t="s">
        <v>970</v>
      </c>
      <c r="M33" s="640">
        <v>2028</v>
      </c>
      <c r="N33" s="640">
        <v>9126</v>
      </c>
      <c r="O33" s="640">
        <v>13037.142857142857</v>
      </c>
      <c r="P33" s="640">
        <v>26074.285714285717</v>
      </c>
      <c r="Q33" s="640">
        <v>0</v>
      </c>
      <c r="R33" s="640">
        <v>0</v>
      </c>
      <c r="S33" s="640">
        <v>0</v>
      </c>
      <c r="T33" s="640">
        <v>0</v>
      </c>
      <c r="U33" s="640">
        <v>0</v>
      </c>
      <c r="V33" s="640">
        <v>0</v>
      </c>
      <c r="W33" s="640">
        <v>0</v>
      </c>
      <c r="X33" s="640">
        <v>10</v>
      </c>
      <c r="Y33" s="640" t="s">
        <v>112</v>
      </c>
      <c r="Z33" s="642" t="s">
        <v>112</v>
      </c>
    </row>
    <row r="34" spans="1:26" s="594" customFormat="1" ht="25.5">
      <c r="A34" s="593"/>
      <c r="B34" s="788">
        <v>13014</v>
      </c>
      <c r="C34" s="788">
        <v>2321</v>
      </c>
      <c r="D34" s="641" t="s">
        <v>988</v>
      </c>
      <c r="E34" s="640" t="s">
        <v>989</v>
      </c>
      <c r="F34" s="640" t="s">
        <v>990</v>
      </c>
      <c r="G34" s="640" t="s">
        <v>968</v>
      </c>
      <c r="H34" s="640" t="s">
        <v>969</v>
      </c>
      <c r="I34" s="640" t="s">
        <v>989</v>
      </c>
      <c r="J34" s="787">
        <v>40075</v>
      </c>
      <c r="K34" s="787">
        <v>39538</v>
      </c>
      <c r="L34" s="640" t="s">
        <v>970</v>
      </c>
      <c r="M34" s="640">
        <v>5774</v>
      </c>
      <c r="N34" s="640">
        <v>25983</v>
      </c>
      <c r="O34" s="640">
        <v>37118.571428571428</v>
      </c>
      <c r="P34" s="640">
        <v>74237.142857142855</v>
      </c>
      <c r="Q34" s="640">
        <v>0</v>
      </c>
      <c r="R34" s="640">
        <v>0</v>
      </c>
      <c r="S34" s="640">
        <v>0</v>
      </c>
      <c r="T34" s="640">
        <v>0</v>
      </c>
      <c r="U34" s="640">
        <v>0</v>
      </c>
      <c r="V34" s="640">
        <v>0</v>
      </c>
      <c r="W34" s="640">
        <v>0</v>
      </c>
      <c r="X34" s="640">
        <v>10</v>
      </c>
      <c r="Y34" s="640" t="s">
        <v>112</v>
      </c>
      <c r="Z34" s="642" t="s">
        <v>112</v>
      </c>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14310</v>
      </c>
      <c r="N58" s="598">
        <f>SUM(N28:N57)</f>
        <v>64395</v>
      </c>
      <c r="O58" s="598">
        <f t="shared" ref="O58:W58" si="2">SUM(O28:O57)</f>
        <v>90856.28571428571</v>
      </c>
      <c r="P58" s="598">
        <f t="shared" si="2"/>
        <v>173288.57142857142</v>
      </c>
      <c r="Q58" s="598">
        <f t="shared" si="2"/>
        <v>0</v>
      </c>
      <c r="R58" s="598">
        <f t="shared" si="2"/>
        <v>0</v>
      </c>
      <c r="S58" s="598">
        <f t="shared" si="2"/>
        <v>2340</v>
      </c>
      <c r="T58" s="598">
        <f t="shared" si="2"/>
        <v>7020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122</v>
      </c>
      <c r="N59" s="598">
        <f t="shared" si="3"/>
        <v>549</v>
      </c>
      <c r="O59" s="598">
        <f t="shared" si="3"/>
        <v>784.28571428571433</v>
      </c>
      <c r="P59" s="598">
        <f t="shared" si="3"/>
        <v>1568.5714285714287</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2000</v>
      </c>
      <c r="N60" s="598">
        <f ca="1">SUMIF($Z$28:AD57,"tertiair",N28:N57)</f>
        <v>9000</v>
      </c>
      <c r="O60" s="598">
        <f ca="1">SUMIF($Z$28:AE57,"tertiair",O28:O57)</f>
        <v>12857.142857142857</v>
      </c>
      <c r="P60" s="598">
        <f ca="1">SUMIF($Z$28:AF57,"tertiair",P28:P57)</f>
        <v>25714.285714285717</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12188</v>
      </c>
      <c r="N61" s="603">
        <f t="shared" si="4"/>
        <v>54846</v>
      </c>
      <c r="O61" s="603">
        <f t="shared" si="4"/>
        <v>77214.85714285713</v>
      </c>
      <c r="P61" s="603">
        <f t="shared" si="4"/>
        <v>146005.71428571429</v>
      </c>
      <c r="Q61" s="603">
        <f t="shared" si="4"/>
        <v>0</v>
      </c>
      <c r="R61" s="603">
        <f t="shared" si="4"/>
        <v>0</v>
      </c>
      <c r="S61" s="603">
        <f t="shared" si="4"/>
        <v>2340</v>
      </c>
      <c r="T61" s="603">
        <f t="shared" si="4"/>
        <v>7020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13014</v>
      </c>
      <c r="C64" s="788">
        <v>2320</v>
      </c>
      <c r="D64" s="643" t="s">
        <v>991</v>
      </c>
      <c r="E64" s="643" t="s">
        <v>992</v>
      </c>
      <c r="F64" s="643" t="s">
        <v>993</v>
      </c>
      <c r="G64" s="643" t="s">
        <v>994</v>
      </c>
      <c r="H64" s="643" t="s">
        <v>995</v>
      </c>
      <c r="I64" s="643" t="s">
        <v>996</v>
      </c>
      <c r="J64" s="787">
        <v>38763</v>
      </c>
      <c r="K64" s="787">
        <v>39052</v>
      </c>
      <c r="L64" s="643" t="s">
        <v>997</v>
      </c>
      <c r="M64" s="643">
        <v>298</v>
      </c>
      <c r="N64" s="643">
        <v>1341</v>
      </c>
      <c r="O64" s="643">
        <v>0</v>
      </c>
      <c r="P64" s="643">
        <v>0</v>
      </c>
      <c r="Q64" s="643">
        <v>3831.4285714285716</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298</v>
      </c>
      <c r="N89" s="598">
        <f t="shared" ref="N89:W89" si="5">SUM(N64:N88)</f>
        <v>1341</v>
      </c>
      <c r="O89" s="598">
        <f t="shared" si="5"/>
        <v>0</v>
      </c>
      <c r="P89" s="598">
        <f t="shared" si="5"/>
        <v>0</v>
      </c>
      <c r="Q89" s="598">
        <f t="shared" si="5"/>
        <v>3831.4285714285716</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298</v>
      </c>
      <c r="N91" s="598">
        <f t="shared" si="7"/>
        <v>1341</v>
      </c>
      <c r="O91" s="598">
        <f t="shared" si="7"/>
        <v>0</v>
      </c>
      <c r="P91" s="598">
        <f t="shared" si="7"/>
        <v>0</v>
      </c>
      <c r="Q91" s="598">
        <f t="shared" si="7"/>
        <v>3831.4285714285716</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0.58522082632856043</v>
      </c>
      <c r="C98" s="623">
        <f>IF(ISERROR(N58/(O58+N58)),0,N58/(N58+O58))</f>
        <v>0.41477917367143957</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71876.490463847091</v>
      </c>
      <c r="C101" s="632">
        <f t="shared" si="9"/>
        <v>0</v>
      </c>
      <c r="D101" s="632">
        <f t="shared" si="9"/>
        <v>0</v>
      </c>
      <c r="E101" s="632">
        <f t="shared" si="9"/>
        <v>970.58326639116865</v>
      </c>
      <c r="F101" s="632">
        <f t="shared" si="9"/>
        <v>2911.7497991735058</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101412.08096472433</v>
      </c>
      <c r="C102" s="635">
        <f t="shared" si="10"/>
        <v>0</v>
      </c>
      <c r="D102" s="635">
        <f t="shared" si="10"/>
        <v>0</v>
      </c>
      <c r="E102" s="635">
        <f t="shared" si="10"/>
        <v>1369.4167336088315</v>
      </c>
      <c r="F102" s="635">
        <f t="shared" si="10"/>
        <v>4108.2502008264946</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37775.464319062768</v>
      </c>
      <c r="C4" s="460">
        <f>huishoudens!C8</f>
        <v>0</v>
      </c>
      <c r="D4" s="460">
        <f>huishoudens!D8</f>
        <v>85525.881611347766</v>
      </c>
      <c r="E4" s="460">
        <f>huishoudens!E8</f>
        <v>8935.0442608447938</v>
      </c>
      <c r="F4" s="460">
        <f>huishoudens!F8</f>
        <v>18191.520055615281</v>
      </c>
      <c r="G4" s="460">
        <f>huishoudens!G8</f>
        <v>0</v>
      </c>
      <c r="H4" s="460">
        <f>huishoudens!H8</f>
        <v>0</v>
      </c>
      <c r="I4" s="460">
        <f>huishoudens!I8</f>
        <v>0</v>
      </c>
      <c r="J4" s="460">
        <f>huishoudens!J8</f>
        <v>0</v>
      </c>
      <c r="K4" s="460">
        <f>huishoudens!K8</f>
        <v>0</v>
      </c>
      <c r="L4" s="460">
        <f>huishoudens!L8</f>
        <v>0</v>
      </c>
      <c r="M4" s="460">
        <f>huishoudens!M8</f>
        <v>0</v>
      </c>
      <c r="N4" s="460">
        <f>huishoudens!N8</f>
        <v>22208.555421415891</v>
      </c>
      <c r="O4" s="460">
        <f>huishoudens!O8</f>
        <v>145.39000000000001</v>
      </c>
      <c r="P4" s="461">
        <f>huishoudens!P8</f>
        <v>419.4666666666667</v>
      </c>
      <c r="Q4" s="462">
        <f>SUM(B4:P4)</f>
        <v>173201.32233495321</v>
      </c>
    </row>
    <row r="5" spans="1:17">
      <c r="A5" s="459" t="s">
        <v>156</v>
      </c>
      <c r="B5" s="460">
        <f ca="1">tertiair!B16</f>
        <v>58096.551158315437</v>
      </c>
      <c r="C5" s="460">
        <f ca="1">tertiair!C16</f>
        <v>12857.142857142857</v>
      </c>
      <c r="D5" s="460">
        <f ca="1">tertiair!D16</f>
        <v>37638.674884930624</v>
      </c>
      <c r="E5" s="460">
        <f>tertiair!E16</f>
        <v>1033.6969593113313</v>
      </c>
      <c r="F5" s="460">
        <f ca="1">tertiair!F16</f>
        <v>9693.4544365259644</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0</v>
      </c>
      <c r="P5" s="461">
        <f>tertiair!P16</f>
        <v>76.266666666666666</v>
      </c>
      <c r="Q5" s="459">
        <f t="shared" ref="Q5:Q14" ca="1" si="0">SUM(B5:P5)</f>
        <v>119395.78696289287</v>
      </c>
    </row>
    <row r="6" spans="1:17">
      <c r="A6" s="459" t="s">
        <v>194</v>
      </c>
      <c r="B6" s="460">
        <f>'openbare verlichting'!B8</f>
        <v>1435.539</v>
      </c>
      <c r="C6" s="460"/>
      <c r="D6" s="460"/>
      <c r="E6" s="460"/>
      <c r="F6" s="460"/>
      <c r="G6" s="460"/>
      <c r="H6" s="460"/>
      <c r="I6" s="460"/>
      <c r="J6" s="460"/>
      <c r="K6" s="460"/>
      <c r="L6" s="460"/>
      <c r="M6" s="460"/>
      <c r="N6" s="460"/>
      <c r="O6" s="460"/>
      <c r="P6" s="461"/>
      <c r="Q6" s="459">
        <f t="shared" si="0"/>
        <v>1435.539</v>
      </c>
    </row>
    <row r="7" spans="1:17">
      <c r="A7" s="459" t="s">
        <v>112</v>
      </c>
      <c r="B7" s="460">
        <f>landbouw!B8</f>
        <v>20035.981652065067</v>
      </c>
      <c r="C7" s="460">
        <f>landbouw!C8</f>
        <v>77214.85714285713</v>
      </c>
      <c r="D7" s="460">
        <f>landbouw!D8</f>
        <v>15025.231882521824</v>
      </c>
      <c r="E7" s="460">
        <f>landbouw!E8</f>
        <v>209.82113747356624</v>
      </c>
      <c r="F7" s="460">
        <f>landbouw!F8</f>
        <v>83429.225583607607</v>
      </c>
      <c r="G7" s="460">
        <f>landbouw!G8</f>
        <v>0</v>
      </c>
      <c r="H7" s="460">
        <f>landbouw!H8</f>
        <v>0</v>
      </c>
      <c r="I7" s="460">
        <f>landbouw!I8</f>
        <v>0</v>
      </c>
      <c r="J7" s="460">
        <f>landbouw!J8</f>
        <v>1789.3927470966271</v>
      </c>
      <c r="K7" s="460">
        <f>landbouw!K8</f>
        <v>0</v>
      </c>
      <c r="L7" s="460">
        <f>landbouw!L8</f>
        <v>0</v>
      </c>
      <c r="M7" s="460">
        <f>landbouw!M8</f>
        <v>0</v>
      </c>
      <c r="N7" s="460">
        <f>landbouw!N8</f>
        <v>0</v>
      </c>
      <c r="O7" s="460">
        <f>landbouw!O8</f>
        <v>0</v>
      </c>
      <c r="P7" s="461">
        <f>landbouw!P8</f>
        <v>0</v>
      </c>
      <c r="Q7" s="459">
        <f t="shared" si="0"/>
        <v>197704.51014562181</v>
      </c>
    </row>
    <row r="8" spans="1:17">
      <c r="A8" s="459" t="s">
        <v>655</v>
      </c>
      <c r="B8" s="460">
        <f>industrie!B18</f>
        <v>83190.399502237909</v>
      </c>
      <c r="C8" s="460">
        <f>industrie!C18</f>
        <v>784.28571428571433</v>
      </c>
      <c r="D8" s="460">
        <f>industrie!D18</f>
        <v>51293.692399400861</v>
      </c>
      <c r="E8" s="460">
        <f>industrie!E18</f>
        <v>819.20933337517999</v>
      </c>
      <c r="F8" s="460">
        <f>industrie!F18</f>
        <v>17912.223057748663</v>
      </c>
      <c r="G8" s="460">
        <f>industrie!G18</f>
        <v>0</v>
      </c>
      <c r="H8" s="460">
        <f>industrie!H18</f>
        <v>0</v>
      </c>
      <c r="I8" s="460">
        <f>industrie!I18</f>
        <v>0</v>
      </c>
      <c r="J8" s="460">
        <f>industrie!J18</f>
        <v>531.76651650330541</v>
      </c>
      <c r="K8" s="460">
        <f>industrie!K18</f>
        <v>0</v>
      </c>
      <c r="L8" s="460">
        <f>industrie!L18</f>
        <v>0</v>
      </c>
      <c r="M8" s="460">
        <f>industrie!M18</f>
        <v>0</v>
      </c>
      <c r="N8" s="460">
        <f>industrie!N18</f>
        <v>1566.8783398655639</v>
      </c>
      <c r="O8" s="460">
        <f>industrie!O18</f>
        <v>0</v>
      </c>
      <c r="P8" s="461">
        <f>industrie!P18</f>
        <v>0</v>
      </c>
      <c r="Q8" s="459">
        <f t="shared" si="0"/>
        <v>156098.4548634172</v>
      </c>
    </row>
    <row r="9" spans="1:17" s="465" customFormat="1">
      <c r="A9" s="463" t="s">
        <v>573</v>
      </c>
      <c r="B9" s="464">
        <f>transport!B14</f>
        <v>2.0711652248110677</v>
      </c>
      <c r="C9" s="464">
        <f>transport!C14</f>
        <v>0</v>
      </c>
      <c r="D9" s="464">
        <f>transport!D14</f>
        <v>10.173891440441903</v>
      </c>
      <c r="E9" s="464">
        <f>transport!E14</f>
        <v>1165.9655032509743</v>
      </c>
      <c r="F9" s="464">
        <f>transport!F14</f>
        <v>0</v>
      </c>
      <c r="G9" s="464">
        <f>transport!G14</f>
        <v>261470.15522625193</v>
      </c>
      <c r="H9" s="464">
        <f>transport!H14</f>
        <v>34871.164949103644</v>
      </c>
      <c r="I9" s="464">
        <f>transport!I14</f>
        <v>0</v>
      </c>
      <c r="J9" s="464">
        <f>transport!J14</f>
        <v>0</v>
      </c>
      <c r="K9" s="464">
        <f>transport!K14</f>
        <v>0</v>
      </c>
      <c r="L9" s="464">
        <f>transport!L14</f>
        <v>0</v>
      </c>
      <c r="M9" s="464">
        <f>transport!M14</f>
        <v>12904.197412181942</v>
      </c>
      <c r="N9" s="464">
        <f>transport!N14</f>
        <v>0</v>
      </c>
      <c r="O9" s="464">
        <f>transport!O14</f>
        <v>0</v>
      </c>
      <c r="P9" s="464">
        <f>transport!P14</f>
        <v>0</v>
      </c>
      <c r="Q9" s="463">
        <f>SUM(B9:P9)</f>
        <v>310423.72814745374</v>
      </c>
    </row>
    <row r="10" spans="1:17">
      <c r="A10" s="459" t="s">
        <v>563</v>
      </c>
      <c r="B10" s="460">
        <f>transport!B54</f>
        <v>0</v>
      </c>
      <c r="C10" s="460">
        <f>transport!C54</f>
        <v>0</v>
      </c>
      <c r="D10" s="460">
        <f>transport!D54</f>
        <v>0</v>
      </c>
      <c r="E10" s="460">
        <f>transport!E54</f>
        <v>0</v>
      </c>
      <c r="F10" s="460">
        <f>transport!F54</f>
        <v>0</v>
      </c>
      <c r="G10" s="460">
        <f>transport!G54</f>
        <v>1943.209606754777</v>
      </c>
      <c r="H10" s="460">
        <f>transport!H54</f>
        <v>0</v>
      </c>
      <c r="I10" s="460">
        <f>transport!I54</f>
        <v>0</v>
      </c>
      <c r="J10" s="460">
        <f>transport!J54</f>
        <v>0</v>
      </c>
      <c r="K10" s="460">
        <f>transport!K54</f>
        <v>0</v>
      </c>
      <c r="L10" s="460">
        <f>transport!L54</f>
        <v>0</v>
      </c>
      <c r="M10" s="460">
        <f>transport!M54</f>
        <v>82.830583307355212</v>
      </c>
      <c r="N10" s="460">
        <f>transport!N54</f>
        <v>0</v>
      </c>
      <c r="O10" s="460">
        <f>transport!O54</f>
        <v>0</v>
      </c>
      <c r="P10" s="461">
        <f>transport!P54</f>
        <v>0</v>
      </c>
      <c r="Q10" s="459">
        <f t="shared" si="0"/>
        <v>2026.0401900621323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3134.6635762508899</v>
      </c>
      <c r="C14" s="467"/>
      <c r="D14" s="467">
        <f>'SEAP template'!E25</f>
        <v>5739.6909312323496</v>
      </c>
      <c r="E14" s="467"/>
      <c r="F14" s="467"/>
      <c r="G14" s="467"/>
      <c r="H14" s="467"/>
      <c r="I14" s="467"/>
      <c r="J14" s="467"/>
      <c r="K14" s="467"/>
      <c r="L14" s="467"/>
      <c r="M14" s="467"/>
      <c r="N14" s="467"/>
      <c r="O14" s="467"/>
      <c r="P14" s="468"/>
      <c r="Q14" s="459">
        <f t="shared" si="0"/>
        <v>8874.35450748324</v>
      </c>
    </row>
    <row r="15" spans="1:17" s="472" customFormat="1">
      <c r="A15" s="469" t="s">
        <v>567</v>
      </c>
      <c r="B15" s="470">
        <f ca="1">SUM(B4:B14)</f>
        <v>203670.67037315687</v>
      </c>
      <c r="C15" s="470">
        <f t="shared" ref="C15:Q15" ca="1" si="1">SUM(C4:C14)</f>
        <v>90856.285714285696</v>
      </c>
      <c r="D15" s="470">
        <f t="shared" ca="1" si="1"/>
        <v>195233.34560087387</v>
      </c>
      <c r="E15" s="470">
        <f t="shared" si="1"/>
        <v>12163.737194255846</v>
      </c>
      <c r="F15" s="470">
        <f t="shared" ca="1" si="1"/>
        <v>129226.42313349752</v>
      </c>
      <c r="G15" s="470">
        <f t="shared" si="1"/>
        <v>263413.36483300669</v>
      </c>
      <c r="H15" s="470">
        <f t="shared" si="1"/>
        <v>34871.164949103644</v>
      </c>
      <c r="I15" s="470">
        <f t="shared" si="1"/>
        <v>0</v>
      </c>
      <c r="J15" s="470">
        <f t="shared" si="1"/>
        <v>2321.1592635999323</v>
      </c>
      <c r="K15" s="470">
        <f t="shared" si="1"/>
        <v>0</v>
      </c>
      <c r="L15" s="470">
        <f t="shared" ca="1" si="1"/>
        <v>0</v>
      </c>
      <c r="M15" s="470">
        <f t="shared" si="1"/>
        <v>12987.027995489298</v>
      </c>
      <c r="N15" s="470">
        <f t="shared" ca="1" si="1"/>
        <v>23775.433761281456</v>
      </c>
      <c r="O15" s="470">
        <f t="shared" si="1"/>
        <v>145.39000000000001</v>
      </c>
      <c r="P15" s="470">
        <f t="shared" si="1"/>
        <v>495.73333333333335</v>
      </c>
      <c r="Q15" s="470">
        <f t="shared" ca="1" si="1"/>
        <v>969159.73615188419</v>
      </c>
    </row>
    <row r="17" spans="1:17">
      <c r="A17" s="473" t="s">
        <v>568</v>
      </c>
      <c r="B17" s="777">
        <f ca="1">huishoudens!B10</f>
        <v>0.19689152697475087</v>
      </c>
      <c r="C17" s="777">
        <f ca="1">huishoudens!C10</f>
        <v>0.22949292345405012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7437.6688519604859</v>
      </c>
      <c r="C22" s="460">
        <f t="shared" ref="C22:C32" ca="1" si="3">C4*$C$17</f>
        <v>0</v>
      </c>
      <c r="D22" s="460">
        <f t="shared" ref="D22:D32" si="4">D4*$D$17</f>
        <v>17276.22808549225</v>
      </c>
      <c r="E22" s="460">
        <f t="shared" ref="E22:E32" si="5">E4*$E$17</f>
        <v>2028.2550472117682</v>
      </c>
      <c r="F22" s="460">
        <f t="shared" ref="F22:F32" si="6">F4*$F$17</f>
        <v>4857.1358548492808</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31599.287839513789</v>
      </c>
    </row>
    <row r="23" spans="1:17">
      <c r="A23" s="459" t="s">
        <v>156</v>
      </c>
      <c r="B23" s="460">
        <f t="shared" ca="1" si="2"/>
        <v>11438.718669527458</v>
      </c>
      <c r="C23" s="460">
        <f t="shared" ca="1" si="3"/>
        <v>2950.6233015520729</v>
      </c>
      <c r="D23" s="460">
        <f t="shared" ca="1" si="4"/>
        <v>7603.0123267559866</v>
      </c>
      <c r="E23" s="460">
        <f t="shared" si="5"/>
        <v>234.64920976367222</v>
      </c>
      <c r="F23" s="460">
        <f t="shared" ca="1" si="6"/>
        <v>2588.1523345524324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24815.155842151624</v>
      </c>
    </row>
    <row r="24" spans="1:17">
      <c r="A24" s="459" t="s">
        <v>194</v>
      </c>
      <c r="B24" s="460">
        <f t="shared" ca="1" si="2"/>
        <v>282.6454657418069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282.6454657418069</v>
      </c>
    </row>
    <row r="25" spans="1:17">
      <c r="A25" s="459" t="s">
        <v>112</v>
      </c>
      <c r="B25" s="460">
        <f t="shared" ca="1" si="2"/>
        <v>3944.915021913183</v>
      </c>
      <c r="C25" s="460">
        <f t="shared" ca="1" si="3"/>
        <v>17720.263299801125</v>
      </c>
      <c r="D25" s="460">
        <f t="shared" si="4"/>
        <v>3035.0968402694089</v>
      </c>
      <c r="E25" s="460">
        <f t="shared" si="5"/>
        <v>47.629398206499538</v>
      </c>
      <c r="F25" s="460">
        <f t="shared" si="6"/>
        <v>22275.603230823232</v>
      </c>
      <c r="G25" s="460">
        <f t="shared" si="7"/>
        <v>0</v>
      </c>
      <c r="H25" s="460">
        <f t="shared" si="8"/>
        <v>0</v>
      </c>
      <c r="I25" s="460">
        <f t="shared" si="9"/>
        <v>0</v>
      </c>
      <c r="J25" s="460">
        <f t="shared" si="10"/>
        <v>633.44503247220598</v>
      </c>
      <c r="K25" s="460">
        <f t="shared" si="11"/>
        <v>0</v>
      </c>
      <c r="L25" s="460">
        <f t="shared" si="12"/>
        <v>0</v>
      </c>
      <c r="M25" s="460">
        <f t="shared" si="13"/>
        <v>0</v>
      </c>
      <c r="N25" s="460">
        <f t="shared" si="14"/>
        <v>0</v>
      </c>
      <c r="O25" s="460">
        <f t="shared" si="15"/>
        <v>0</v>
      </c>
      <c r="P25" s="461">
        <f t="shared" si="16"/>
        <v>0</v>
      </c>
      <c r="Q25" s="459">
        <f t="shared" ca="1" si="17"/>
        <v>47656.952823485655</v>
      </c>
    </row>
    <row r="26" spans="1:17">
      <c r="A26" s="459" t="s">
        <v>655</v>
      </c>
      <c r="B26" s="460">
        <f t="shared" ca="1" si="2"/>
        <v>16379.484787635178</v>
      </c>
      <c r="C26" s="460">
        <f t="shared" ca="1" si="3"/>
        <v>179.98802139467645</v>
      </c>
      <c r="D26" s="460">
        <f t="shared" si="4"/>
        <v>10361.325864678975</v>
      </c>
      <c r="E26" s="460">
        <f t="shared" si="5"/>
        <v>185.96051867616586</v>
      </c>
      <c r="F26" s="460">
        <f t="shared" si="6"/>
        <v>4782.5635564188933</v>
      </c>
      <c r="G26" s="460">
        <f t="shared" si="7"/>
        <v>0</v>
      </c>
      <c r="H26" s="460">
        <f t="shared" si="8"/>
        <v>0</v>
      </c>
      <c r="I26" s="460">
        <f t="shared" si="9"/>
        <v>0</v>
      </c>
      <c r="J26" s="460">
        <f t="shared" si="10"/>
        <v>188.24534684217011</v>
      </c>
      <c r="K26" s="460">
        <f t="shared" si="11"/>
        <v>0</v>
      </c>
      <c r="L26" s="460">
        <f t="shared" si="12"/>
        <v>0</v>
      </c>
      <c r="M26" s="460">
        <f t="shared" si="13"/>
        <v>0</v>
      </c>
      <c r="N26" s="460">
        <f t="shared" si="14"/>
        <v>0</v>
      </c>
      <c r="O26" s="460">
        <f t="shared" si="15"/>
        <v>0</v>
      </c>
      <c r="P26" s="461">
        <f t="shared" si="16"/>
        <v>0</v>
      </c>
      <c r="Q26" s="459">
        <f t="shared" ca="1" si="17"/>
        <v>32077.568095646056</v>
      </c>
    </row>
    <row r="27" spans="1:17" s="465" customFormat="1">
      <c r="A27" s="463" t="s">
        <v>573</v>
      </c>
      <c r="B27" s="771">
        <f t="shared" ca="1" si="2"/>
        <v>0.40779488373005429</v>
      </c>
      <c r="C27" s="464">
        <f t="shared" ca="1" si="3"/>
        <v>0</v>
      </c>
      <c r="D27" s="464">
        <f t="shared" si="4"/>
        <v>2.0551260709692647</v>
      </c>
      <c r="E27" s="464">
        <f t="shared" si="5"/>
        <v>264.67416923797117</v>
      </c>
      <c r="F27" s="464">
        <f t="shared" si="6"/>
        <v>0</v>
      </c>
      <c r="G27" s="464">
        <f t="shared" si="7"/>
        <v>69812.531445409273</v>
      </c>
      <c r="H27" s="464">
        <f t="shared" si="8"/>
        <v>8682.9200723268077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78762.588607928745</v>
      </c>
    </row>
    <row r="28" spans="1:17">
      <c r="A28" s="459" t="s">
        <v>563</v>
      </c>
      <c r="B28" s="460">
        <f t="shared" ca="1" si="2"/>
        <v>0</v>
      </c>
      <c r="C28" s="460">
        <f t="shared" ca="1" si="3"/>
        <v>0</v>
      </c>
      <c r="D28" s="460">
        <f t="shared" si="4"/>
        <v>0</v>
      </c>
      <c r="E28" s="460">
        <f t="shared" si="5"/>
        <v>0</v>
      </c>
      <c r="F28" s="460">
        <f t="shared" si="6"/>
        <v>0</v>
      </c>
      <c r="G28" s="460">
        <f t="shared" si="7"/>
        <v>518.83696500352551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518.83696500352551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617.18869808017109</v>
      </c>
      <c r="C32" s="460">
        <f t="shared" ca="1" si="3"/>
        <v>0</v>
      </c>
      <c r="D32" s="460">
        <f t="shared" si="4"/>
        <v>1159.4175681089348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1776.606266189106</v>
      </c>
    </row>
    <row r="33" spans="1:17" s="472" customFormat="1">
      <c r="A33" s="469" t="s">
        <v>567</v>
      </c>
      <c r="B33" s="470">
        <f ca="1">SUM(B22:B32)</f>
        <v>40101.029289742015</v>
      </c>
      <c r="C33" s="470">
        <f t="shared" ref="C33:Q33" ca="1" si="19">SUM(C22:C32)</f>
        <v>20850.874622747877</v>
      </c>
      <c r="D33" s="470">
        <f t="shared" ca="1" si="19"/>
        <v>39437.135811376524</v>
      </c>
      <c r="E33" s="470">
        <f t="shared" si="19"/>
        <v>2761.168343096077</v>
      </c>
      <c r="F33" s="470">
        <f t="shared" ca="1" si="19"/>
        <v>34503.454976643836</v>
      </c>
      <c r="G33" s="470">
        <f t="shared" si="19"/>
        <v>70331.368410412804</v>
      </c>
      <c r="H33" s="470">
        <f t="shared" si="19"/>
        <v>8682.9200723268077</v>
      </c>
      <c r="I33" s="470">
        <f t="shared" si="19"/>
        <v>0</v>
      </c>
      <c r="J33" s="470">
        <f t="shared" si="19"/>
        <v>821.69037931437606</v>
      </c>
      <c r="K33" s="470">
        <f t="shared" si="19"/>
        <v>0</v>
      </c>
      <c r="L33" s="470">
        <f t="shared" ca="1" si="19"/>
        <v>0</v>
      </c>
      <c r="M33" s="470">
        <f t="shared" si="19"/>
        <v>0</v>
      </c>
      <c r="N33" s="470">
        <f t="shared" ca="1" si="19"/>
        <v>0</v>
      </c>
      <c r="O33" s="470">
        <f t="shared" si="19"/>
        <v>0</v>
      </c>
      <c r="P33" s="470">
        <f t="shared" si="19"/>
        <v>0</v>
      </c>
      <c r="Q33" s="470">
        <f t="shared" ca="1" si="19"/>
        <v>217489.64190566028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19822.423909587542</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3529.2940476487174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2474.9873292974803</v>
      </c>
      <c r="C8" s="1028">
        <f>'SEAP template'!C76</f>
        <v>61920.012670702527</v>
      </c>
      <c r="D8" s="1028">
        <f>'SEAP template'!D76</f>
        <v>71876.490463847091</v>
      </c>
      <c r="E8" s="1028">
        <f>'SEAP template'!E76</f>
        <v>0</v>
      </c>
      <c r="F8" s="1028">
        <f>'SEAP template'!F76</f>
        <v>970.58326639116865</v>
      </c>
      <c r="G8" s="1028">
        <f>'SEAP template'!G76</f>
        <v>0</v>
      </c>
      <c r="H8" s="1028">
        <f>'SEAP template'!H76</f>
        <v>0</v>
      </c>
      <c r="I8" s="1028">
        <f>'SEAP template'!I76</f>
        <v>2911.7497991735058</v>
      </c>
      <c r="J8" s="1028">
        <f>'SEAP template'!J76</f>
        <v>0</v>
      </c>
      <c r="K8" s="1028">
        <f>'SEAP template'!K76</f>
        <v>0</v>
      </c>
      <c r="L8" s="1028">
        <f>'SEAP template'!L76</f>
        <v>0</v>
      </c>
      <c r="M8" s="1028">
        <f>'SEAP template'!M76</f>
        <v>0</v>
      </c>
      <c r="N8" s="1028">
        <f>'SEAP template'!N76</f>
        <v>0</v>
      </c>
      <c r="O8" s="1028">
        <f>'SEAP template'!O76</f>
        <v>0</v>
      </c>
      <c r="P8" s="1029">
        <f>'SEAP template'!Q76</f>
        <v>14778.196805823556</v>
      </c>
    </row>
    <row r="9" spans="1:16">
      <c r="A9" s="1031" t="s">
        <v>938</v>
      </c>
      <c r="B9" s="1028">
        <f>'SEAP template'!B77</f>
        <v>1341</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3831.4285714285716</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27167.705286533739</v>
      </c>
      <c r="C10" s="1032">
        <f>SUM(C4:C9)</f>
        <v>61920.012670702527</v>
      </c>
      <c r="D10" s="1032">
        <f t="shared" ref="D10:H10" si="0">SUM(D8:D9)</f>
        <v>71876.490463847091</v>
      </c>
      <c r="E10" s="1032">
        <f t="shared" si="0"/>
        <v>0</v>
      </c>
      <c r="F10" s="1032">
        <f t="shared" si="0"/>
        <v>970.58326639116865</v>
      </c>
      <c r="G10" s="1032">
        <f t="shared" si="0"/>
        <v>0</v>
      </c>
      <c r="H10" s="1032">
        <f t="shared" si="0"/>
        <v>0</v>
      </c>
      <c r="I10" s="1032">
        <f>SUM(I8:I9)</f>
        <v>2911.7497991735058</v>
      </c>
      <c r="J10" s="1032">
        <f>SUM(J8:J9)</f>
        <v>3831.4285714285716</v>
      </c>
      <c r="K10" s="1032">
        <f t="shared" ref="K10:L10" si="1">SUM(K8:K9)</f>
        <v>0</v>
      </c>
      <c r="L10" s="1032">
        <f t="shared" si="1"/>
        <v>0</v>
      </c>
      <c r="M10" s="1032">
        <f>SUM(M8:M9)</f>
        <v>0</v>
      </c>
      <c r="N10" s="1032">
        <f>SUM(N8:N9)</f>
        <v>0</v>
      </c>
      <c r="O10" s="1032">
        <f>SUM(O8:O9)</f>
        <v>0</v>
      </c>
      <c r="P10" s="1032">
        <f>SUM(P8:P9)</f>
        <v>14778.196805823556</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0.19689152697475087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3492.0126707025202</v>
      </c>
      <c r="C17" s="1035">
        <f>'SEAP template'!C87</f>
        <v>87364.273043583191</v>
      </c>
      <c r="D17" s="1029">
        <f>'SEAP template'!D87</f>
        <v>101412.08096472433</v>
      </c>
      <c r="E17" s="1029">
        <f>'SEAP template'!E87</f>
        <v>0</v>
      </c>
      <c r="F17" s="1029">
        <f>'SEAP template'!F87</f>
        <v>1369.4167336088315</v>
      </c>
      <c r="G17" s="1029">
        <f>'SEAP template'!G87</f>
        <v>0</v>
      </c>
      <c r="H17" s="1029">
        <f>'SEAP template'!H87</f>
        <v>0</v>
      </c>
      <c r="I17" s="1029">
        <f>'SEAP template'!I87</f>
        <v>4108.2502008264946</v>
      </c>
      <c r="J17" s="1029">
        <f>'SEAP template'!J87</f>
        <v>0</v>
      </c>
      <c r="K17" s="1029">
        <f>'SEAP template'!K87</f>
        <v>0</v>
      </c>
      <c r="L17" s="1029">
        <f>'SEAP template'!L87</f>
        <v>0</v>
      </c>
      <c r="M17" s="1029">
        <f>'SEAP template'!M87</f>
        <v>0</v>
      </c>
      <c r="N17" s="1029">
        <f>'SEAP template'!N87</f>
        <v>0</v>
      </c>
      <c r="O17" s="1029">
        <f>'SEAP template'!O87</f>
        <v>0</v>
      </c>
      <c r="P17" s="1029">
        <f>'SEAP template'!Q87</f>
        <v>20850.874622747873</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3492.0126707025202</v>
      </c>
      <c r="C20" s="1032">
        <f>SUM(C17:C19)</f>
        <v>87364.273043583191</v>
      </c>
      <c r="D20" s="1032">
        <f t="shared" ref="D20:H20" si="2">SUM(D17:D19)</f>
        <v>101412.08096472433</v>
      </c>
      <c r="E20" s="1032">
        <f t="shared" si="2"/>
        <v>0</v>
      </c>
      <c r="F20" s="1032">
        <f t="shared" si="2"/>
        <v>1369.4167336088315</v>
      </c>
      <c r="G20" s="1032">
        <f t="shared" si="2"/>
        <v>0</v>
      </c>
      <c r="H20" s="1032">
        <f t="shared" si="2"/>
        <v>0</v>
      </c>
      <c r="I20" s="1032">
        <f>SUM(I17:I19)</f>
        <v>4108.2502008264946</v>
      </c>
      <c r="J20" s="1032">
        <f>SUM(J17:J19)</f>
        <v>0</v>
      </c>
      <c r="K20" s="1032">
        <f t="shared" ref="K20:L20" si="3">SUM(K17:K19)</f>
        <v>0</v>
      </c>
      <c r="L20" s="1032">
        <f t="shared" si="3"/>
        <v>0</v>
      </c>
      <c r="M20" s="1032">
        <f>SUM(M17:M19)</f>
        <v>0</v>
      </c>
      <c r="N20" s="1032">
        <f>SUM(N17:N19)</f>
        <v>0</v>
      </c>
      <c r="O20" s="1032">
        <f>SUM(O17:O19)</f>
        <v>0</v>
      </c>
      <c r="P20" s="1032">
        <f>SUM(P17:P19)</f>
        <v>20850.874622747873</v>
      </c>
    </row>
    <row r="22" spans="1:16">
      <c r="A22" s="473" t="s">
        <v>946</v>
      </c>
      <c r="B22" s="777" t="s">
        <v>940</v>
      </c>
      <c r="C22" s="777">
        <f ca="1">'EF ele_warmte'!B22</f>
        <v>0.22949292345405012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0.19689152697475087</v>
      </c>
      <c r="C17" s="509">
        <f ca="1">'EF ele_warmte'!B22</f>
        <v>0.22949292345405012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2</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3.1266666666666669</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2019-08-12T09:19:40Z</dcterms:modified>
</cp:coreProperties>
</file>