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C77" i="14"/>
  <c r="C9" i="55" s="1"/>
  <c r="F9"/>
  <c r="M90" i="14"/>
  <c r="M17" i="55"/>
  <c r="M20" s="1"/>
  <c r="L90" i="14"/>
  <c r="O20" i="55"/>
  <c r="H90" i="14"/>
  <c r="P32" i="48"/>
  <c r="D22" i="14"/>
  <c r="P31" i="48"/>
  <c r="F76" i="14"/>
  <c r="K20" i="55"/>
  <c r="B14" i="48"/>
  <c r="F101" i="18"/>
  <c r="O78" i="14"/>
  <c r="O9" i="55"/>
  <c r="O10" s="1"/>
  <c r="F90" i="14"/>
  <c r="F18" i="55"/>
  <c r="N90" i="14"/>
  <c r="N18" i="55"/>
  <c r="N20" s="1"/>
  <c r="K22" i="14"/>
  <c r="L22"/>
  <c r="L20" i="55"/>
  <c r="D14" i="48"/>
  <c r="C101" i="18"/>
  <c r="R9" i="14"/>
  <c r="E10" i="55"/>
  <c r="H20"/>
  <c r="P24" i="48"/>
  <c r="B101" i="18"/>
  <c r="C8" s="1"/>
  <c r="D76" i="14" s="1"/>
  <c r="N78"/>
  <c r="N9" i="55"/>
  <c r="E90" i="14"/>
  <c r="E18" i="55"/>
  <c r="E20" s="1"/>
  <c r="F20"/>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6" l="1"/>
  <c r="P8" i="55" s="1"/>
  <c r="D8"/>
  <c r="D10" s="1"/>
  <c r="Q14" i="48"/>
  <c r="F8" i="55"/>
  <c r="F10" s="1"/>
  <c r="F78" i="14"/>
  <c r="P9" i="55"/>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Q78" i="14"/>
  <c r="B9" i="6" s="1"/>
  <c r="I78" i="14"/>
  <c r="C76"/>
  <c r="B76"/>
  <c r="I90"/>
  <c r="B87"/>
  <c r="C87"/>
  <c r="H14" i="15"/>
  <c r="H16" s="1"/>
  <c r="G14"/>
  <c r="G16" s="1"/>
  <c r="I10" i="14" l="1"/>
  <c r="I16" s="1"/>
  <c r="H5" i="48"/>
  <c r="G5"/>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29"/>
  <c r="E28"/>
  <c r="E31"/>
  <c r="L10" i="14"/>
  <c r="L16" s="1"/>
  <c r="L27" s="1"/>
  <c r="K5" i="48"/>
  <c r="L32"/>
  <c r="L28"/>
  <c r="L22"/>
  <c r="L30"/>
  <c r="L24"/>
  <c r="L31"/>
  <c r="L29"/>
  <c r="L27"/>
  <c r="B10"/>
  <c r="C19" i="14"/>
  <c r="I5" i="48"/>
  <c r="J10" i="14"/>
  <c r="J16" s="1"/>
  <c r="J27" s="1"/>
  <c r="Q11"/>
  <c r="P4" i="48"/>
  <c r="P11" i="14"/>
  <c r="O4" i="48"/>
  <c r="I28"/>
  <c r="I24"/>
  <c r="I32"/>
  <c r="I30"/>
  <c r="I26"/>
  <c r="I31"/>
  <c r="I29"/>
  <c r="I27"/>
  <c r="I25"/>
  <c r="I22"/>
  <c r="N10" i="14"/>
  <c r="N16" s="1"/>
  <c r="M5" i="48"/>
  <c r="F32"/>
  <c r="F29"/>
  <c r="F24"/>
  <c r="F31"/>
  <c r="F30"/>
  <c r="F28"/>
  <c r="F27"/>
  <c r="N32"/>
  <c r="N31"/>
  <c r="N30"/>
  <c r="N28"/>
  <c r="N27"/>
  <c r="N29"/>
  <c r="N24"/>
  <c r="D24"/>
  <c r="D30"/>
  <c r="D29"/>
  <c r="D28"/>
  <c r="D31"/>
  <c r="D32"/>
  <c r="P5"/>
  <c r="P23" s="1"/>
  <c r="Q10" i="14"/>
  <c r="M30" i="48"/>
  <c r="M24"/>
  <c r="M32"/>
  <c r="M26"/>
  <c r="M25"/>
  <c r="M22"/>
  <c r="M29"/>
  <c r="K30"/>
  <c r="K32"/>
  <c r="K29"/>
  <c r="K28"/>
  <c r="K27"/>
  <c r="K24"/>
  <c r="K26"/>
  <c r="K31"/>
  <c r="K22"/>
  <c r="K25"/>
  <c r="J32"/>
  <c r="J30"/>
  <c r="J29"/>
  <c r="J31"/>
  <c r="J24"/>
  <c r="J28"/>
  <c r="J27"/>
  <c r="H12" i="22"/>
  <c r="H13" i="48"/>
  <c r="H31" s="1"/>
  <c r="I18" i="14"/>
  <c r="D4" i="48"/>
  <c r="D22" s="1"/>
  <c r="E11" i="14"/>
  <c r="H30" i="48"/>
  <c r="H32"/>
  <c r="H24"/>
  <c r="H29"/>
  <c r="H25"/>
  <c r="H28"/>
  <c r="H26"/>
  <c r="H22"/>
  <c r="H23"/>
  <c r="D11" i="14"/>
  <c r="C4" i="48"/>
  <c r="G30"/>
  <c r="G32"/>
  <c r="G26"/>
  <c r="G22"/>
  <c r="G25"/>
  <c r="G24"/>
  <c r="G29"/>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O5"/>
  <c r="O23" s="1"/>
  <c r="P10" i="14"/>
  <c r="M13" i="48"/>
  <c r="M31" s="1"/>
  <c r="N18" i="14"/>
  <c r="I20"/>
  <c r="H9" i="48"/>
  <c r="O22"/>
  <c r="K15"/>
  <c r="K23"/>
  <c r="K33" s="1"/>
  <c r="G11" i="14"/>
  <c r="F4" i="48"/>
  <c r="F22" s="1"/>
  <c r="I22" i="14"/>
  <c r="I27" s="1"/>
  <c r="C8" i="48"/>
  <c r="D16" i="15"/>
  <c r="D5" i="48" s="1"/>
  <c r="L46" i="14"/>
  <c r="L61" s="1"/>
  <c r="L63" s="1"/>
  <c r="P22" i="16"/>
  <c r="Q43" i="14" s="1"/>
  <c r="P8" i="48"/>
  <c r="P26" s="1"/>
  <c r="Q13" i="14"/>
  <c r="Q16" s="1"/>
  <c r="Q27" s="1"/>
  <c r="I23" i="48"/>
  <c r="I15"/>
  <c r="G12" i="22"/>
  <c r="H18" i="14"/>
  <c r="R18" s="1"/>
  <c r="G13" i="48"/>
  <c r="M23"/>
  <c r="I33"/>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P16"/>
  <c r="P27" s="1"/>
  <c r="G10" i="48"/>
  <c r="H19" i="14"/>
  <c r="R19" s="1"/>
  <c r="H27" i="48"/>
  <c r="H33" s="1"/>
  <c r="H15"/>
  <c r="Q13"/>
  <c r="G31"/>
  <c r="C20" i="14"/>
  <c r="B9" i="48"/>
  <c r="F20" i="14"/>
  <c r="F22" s="1"/>
  <c r="E9" i="48"/>
  <c r="E27" s="1"/>
  <c r="E20" i="14"/>
  <c r="E22" s="1"/>
  <c r="D9" i="48"/>
  <c r="D27" s="1"/>
  <c r="O8"/>
  <c r="P13" i="14"/>
  <c r="P33" i="48"/>
  <c r="G14" i="22"/>
  <c r="P46" i="14"/>
  <c r="P61" s="1"/>
  <c r="C15" i="48"/>
  <c r="Q46" i="14"/>
  <c r="Q61" s="1"/>
  <c r="Q63" s="1"/>
  <c r="E10"/>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P63" i="14"/>
  <c r="D15" i="48"/>
  <c r="H20" i="14"/>
  <c r="H22" s="1"/>
  <c r="H27" s="1"/>
  <c r="G9" i="48"/>
  <c r="H52" i="14"/>
  <c r="H61" s="1"/>
  <c r="E22" i="48"/>
  <c r="Q4"/>
  <c r="M18" i="22"/>
  <c r="N50" i="14" s="1"/>
  <c r="M9" i="48"/>
  <c r="N20" i="14"/>
  <c r="N22" s="1"/>
  <c r="N27" s="1"/>
  <c r="O26" i="48"/>
  <c r="O33" s="1"/>
  <c r="O15"/>
  <c r="R20" i="14"/>
  <c r="R22" s="1"/>
  <c r="C22"/>
  <c r="Q9" i="48"/>
  <c r="B15"/>
  <c r="J5"/>
  <c r="K10" i="14"/>
  <c r="E20" i="15"/>
  <c r="F40" i="14" s="1"/>
  <c r="E5" i="48"/>
  <c r="F10" i="14"/>
  <c r="L15" i="48"/>
  <c r="Q7"/>
  <c r="R24" i="14"/>
  <c r="R26" s="1"/>
  <c r="J18" i="16"/>
  <c r="N18"/>
  <c r="E18"/>
  <c r="F18"/>
  <c r="F22"/>
  <c r="G43" i="14" s="1"/>
  <c r="M27" i="48" l="1"/>
  <c r="M33" s="1"/>
  <c r="M15"/>
  <c r="G27"/>
  <c r="G33" s="1"/>
  <c r="G15"/>
  <c r="N63" i="14"/>
  <c r="H6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<sst xmlns="http://schemas.openxmlformats.org/spreadsheetml/2006/main" count="2514" uniqueCount="978">
  <si>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</si>
  <si>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</si>
  <si>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</si>
  <si>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</si>
  <si>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</si>
  <si>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</si>
  <si>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</si>
  <si>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</si>
  <si>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</si>
  <si>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</si>
  <si>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</si>
  <si>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</si>
  <si>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</si>
  <si>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</si>
  <si>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</si>
  <si>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</si>
  <si>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</si>
  <si>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</si>
  <si>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</si>
  <si>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</si>
  <si>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</si>
  <si>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</si>
  <si>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</si>
  <si>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</si>
  <si>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</si>
  <si>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</si>
  <si>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</si>
  <si>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</si>
  <si>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</si>
  <si>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</si>
  <si>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</si>
  <si>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</si>
  <si>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</si>
  <si>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</si>
  <si>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</si>
  <si>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</si>
  <si>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</si>
  <si>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</si>
  <si>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</si>
  <si>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</si>
  <si>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</si>
  <si>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</si>
  <si>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</si>
  <si>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</si>
  <si>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</si>
  <si>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</si>
  <si>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</si>
  <si>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</si>
  <si>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</si>
  <si>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</si>
  <si>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</si>
  <si>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</si>
  <si>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</si>
  <si>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</si>
  <si>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</si>
  <si>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</si>
  <si>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</si>
  <si>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</si>
  <si>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</si>
  <si>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</si>
  <si>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</si>
  <si>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</si>
  <si>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</si>
  <si>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</si>
  <si>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</si>
  <si>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</si>
  <si>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</si>
  <si>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</si>
  <si>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</si>
  <si>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</si>
  <si>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</si>
  <si>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</si>
  <si>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</si>
  <si>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</si>
  <si>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</si>
  <si>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</si>
  <si>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</si>
  <si>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</si>
  <si>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</si>
  <si>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</si>
  <si>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</si>
  <si>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</si>
  <si>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</si>
  <si>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</si>
  <si>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</si>
  <si>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</si>
  <si>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</si>
  <si>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</si>
  <si>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</si>
  <si>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</si>
  <si>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</si>
  <si>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</si>
  <si>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</si>
  <si>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</si>
  <si>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</si>
  <si>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</si>
  <si>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</si>
  <si>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</si>
  <si>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</si>
  <si>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</si>
  <si>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</si>
  <si>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</si>
  <si>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</si>
  <si>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</si>
  <si>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</si>
  <si>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</si>
  <si>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</si>
  <si>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</si>
  <si>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</si>
  <si>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</si>
  <si>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</si>
  <si>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</si>
  <si>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</si>
  <si>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</si>
  <si>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</si>
  <si>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</si>
  <si>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</si>
  <si>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</si>
  <si>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</si>
  <si>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</si>
  <si>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</si>
  <si>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</si>
  <si>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</si>
  <si>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</si>
  <si>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</si>
  <si>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</si>
  <si>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</si>
  <si>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</si>
  <si>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</si>
  <si>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</si>
  <si>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</si>
  <si>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</si>
  <si>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</si>
  <si>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</si>
  <si>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</si>
  <si>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</si>
  <si>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</si>
  <si>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</si>
  <si>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</si>
  <si>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</si>
  <si>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</si>
  <si>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</si>
  <si>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</si>
  <si>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</si>
  <si>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</si>
  <si>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</si>
  <si>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</si>
  <si>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</si>
  <si>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</si>
  <si>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</si>
  <si>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</si>
  <si>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</si>
  <si>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</si>
  <si>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</si>
  <si>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</si>
  <si>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</si>
  <si>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</si>
  <si>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</si>
  <si>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</si>
  <si>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</si>
  <si>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</si>
  <si>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</si>
  <si>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</si>
  <si>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</si>
  <si>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</si>
  <si>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</si>
  <si>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</si>
  <si>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</si>
  <si>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</si>
  <si>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</si>
  <si>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</si>
  <si>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</si>
  <si>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</si>
  <si>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</si>
  <si>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</si>
  <si>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</si>
  <si>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</si>
  <si>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</si>
  <si>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</si>
  <si>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</si>
  <si>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</si>
  <si>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</si>
  <si>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</si>
  <si>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</si>
  <si>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</si>
  <si>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</si>
  <si>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</si>
  <si>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</si>
  <si>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</si>
  <si>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</si>
  <si>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</si>
  <si>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</si>
  <si>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</si>
  <si>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</si>
  <si>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</si>
  <si>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</si>
  <si>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</si>
  <si>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</si>
  <si>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</si>
  <si>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</si>
  <si>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</si>
  <si>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</si>
  <si>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</si>
  <si>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</si>
  <si>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</si>
  <si>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</si>
  <si>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</si>
  <si>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</si>
  <si>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</si>
  <si>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</si>
  <si>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</si>
  <si>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</si>
  <si>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</si>
  <si>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</si>
  <si>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</si>
  <si>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</si>
  <si>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</si>
  <si>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</si>
  <si>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</si>
  <si>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</si>
  <si>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</si>
  <si>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</si>
  <si>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</si>
  <si>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</si>
  <si>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</si>
  <si>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</si>
  <si>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</si>
  <si>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</si>
  <si>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</si>
  <si>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</si>
  <si>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</si>
  <si>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</si>
  <si>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</si>
  <si>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</si>
  <si>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</si>
  <si>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</si>
  <si>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</si>
  <si>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</si>
  <si>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</si>
  <si>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</si>
  <si>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</si>
  <si>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</si>
  <si>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</si>
  <si>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</si>
  <si>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</si>
  <si>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</si>
  <si>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</si>
  <si>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</si>
  <si>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</si>
  <si>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</si>
  <si>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</si>
  <si>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</si>
  <si>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</si>
  <si>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</si>
  <si>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</si>
  <si>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</si>
  <si>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</si>
  <si>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</si>
  <si>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</si>
  <si>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</si>
  <si>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</si>
  <si>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</si>
  <si>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</si>
  <si>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</si>
  <si>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</si>
  <si>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</si>
  <si>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</si>
  <si>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</si>
  <si>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</si>
  <si>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</si>
  <si>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</si>
  <si>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</si>
  <si>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</si>
  <si>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</si>
  <si>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</si>
  <si>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</si>
  <si>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</si>
  <si>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</si>
  <si>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</si>
  <si>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</si>
  <si>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</si>
  <si>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</si>
  <si>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</si>
  <si>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</si>
  <si>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</si>
  <si>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</si>
  <si>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</si>
  <si>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</si>
  <si>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</si>
  <si>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</si>
  <si>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</si>
  <si>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</si>
  <si>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</si>
  <si>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</si>
  <si>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</si>
  <si>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</si>
  <si>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</si>
  <si>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</si>
  <si>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</si>
  <si>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</si>
  <si>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</si>
  <si>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</si>
  <si>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</si>
  <si>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</si>
  <si>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</si>
  <si>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</si>
  <si>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</si>
  <si>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</si>
  <si>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</si>
  <si>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</si>
  <si>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</si>
  <si>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</si>
  <si>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</si>
  <si>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</si>
  <si>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</si>
  <si>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</si>
  <si>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</si>
  <si>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</si>
  <si>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</si>
  <si>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</si>
  <si>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</si>
  <si>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</si>
  <si>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</si>
  <si>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</si>
  <si>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</si>
  <si>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</si>
  <si>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</si>
  <si>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</si>
  <si>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</si>
  <si>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</si>
  <si>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</si>
  <si>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</si>
  <si>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</si>
  <si>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</si>
  <si>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</si>
  <si>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</si>
  <si>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</si>
  <si>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</si>
  <si>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</si>
  <si>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</si>
  <si>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</si>
  <si>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</si>
  <si>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</si>
  <si>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</si>
  <si>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</si>
  <si>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</si>
  <si>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</si>
  <si>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</si>
  <si>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</si>
  <si>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</si>
  <si>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</si>
  <si>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</si>
  <si>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</si>
  <si>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</si>
  <si>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</si>
  <si>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</si>
  <si>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</si>
  <si>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</si>
  <si>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</si>
  <si>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</si>
  <si>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</si>
  <si>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</si>
  <si>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</si>
  <si>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</si>
  <si>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</si>
  <si>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</si>
  <si>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</si>
  <si>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</si>
  <si>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</si>
  <si>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</si>
  <si>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</si>
  <si>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</si>
  <si>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</si>
  <si>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</si>
  <si>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</si>
  <si>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</si>
  <si>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</si>
  <si>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</si>
  <si>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</si>
  <si>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</si>
  <si>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</si>
  <si>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</si>
  <si>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</si>
  <si>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</si>
  <si>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</si>
  <si>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</si>
  <si>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</si>
  <si>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</si>
  <si>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</si>
  <si>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</si>
  <si>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</si>
  <si>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</si>
  <si>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</si>
  <si>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</si>
  <si>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</si>
  <si>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</si>
  <si>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</si>
  <si>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</si>
  <si>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</si>
  <si>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</si>
  <si>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</si>
  <si>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</si>
  <si>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</si>
  <si>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</si>
  <si>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</si>
  <si>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</si>
  <si>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</si>
  <si>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</si>
  <si>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</si>
  <si>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</si>
  <si>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</si>
  <si>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</si>
  <si>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</si>
  <si>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</si>
  <si>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</si>
  <si>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</si>
  <si>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</si>
  <si>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</si>
  <si>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</si>
  <si>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</si>
  <si>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</si>
  <si>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</si>
  <si>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</si>
  <si>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</si>
  <si>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</si>
  <si>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</si>
  <si>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</si>
  <si>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</si>
  <si>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</si>
  <si>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</si>
  <si>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</si>
  <si>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</si>
  <si>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</si>
  <si>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</si>
  <si>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</si>
  <si>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</si>
  <si>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</si>
  <si>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</si>
  <si>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</si>
  <si>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</si>
  <si>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</si>
  <si>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</si>
  <si>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</si>
  <si>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</si>
  <si>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</si>
  <si>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</si>
  <si>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</si>
  <si>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</si>
  <si>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</si>
  <si>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</si>
  <si>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</si>
  <si>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</si>
  <si>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</si>
  <si>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</si>
  <si>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</si>
  <si>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</si>
  <si>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</si>
  <si>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</si>
  <si>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</si>
  <si>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</si>
  <si>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</si>
  <si>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</si>
  <si>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</si>
  <si>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</si>
  <si>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</si>
  <si>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</si>
  <si>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</si>
  <si>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</si>
  <si>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</si>
  <si>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</si>
  <si>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</si>
  <si>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</si>
  <si>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</si>
  <si>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</si>
  <si>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</si>
  <si>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</si>
  <si>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</si>
  <si>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</si>
  <si>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</si>
  <si>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</si>
  <si>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</si>
  <si>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</si>
  <si>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</si>
  <si>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</si>
  <si>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</si>
  <si>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</si>
  <si>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</si>
  <si>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</si>
  <si>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</si>
  <si>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</si>
  <si>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</si>
  <si>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</si>
  <si>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</si>
  <si>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</si>
  <si>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</si>
  <si>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</si>
  <si>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</si>
  <si>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</si>
  <si>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</si>
  <si>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</si>
  <si>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</si>
  <si>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</si>
  <si>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</si>
  <si>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</si>
  <si>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</si>
  <si>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</si>
  <si>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</si>
  <si>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</si>
  <si>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</si>
  <si>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</si>
  <si>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</si>
  <si>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</si>
  <si>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</si>
  <si>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</si>
  <si>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</si>
  <si>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</si>
  <si>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</si>
  <si>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</si>
  <si>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</si>
  <si>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</si>
  <si>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</si>
  <si>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</si>
  <si>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</si>
  <si>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</si>
  <si>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</si>
  <si>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</si>
  <si>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</si>
  <si>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</si>
  <si>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</si>
  <si>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</si>
  <si>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</si>
  <si>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</si>
  <si>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</si>
  <si>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</si>
  <si>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</si>
  <si>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</si>
  <si>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</si>
  <si>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</si>
  <si>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</si>
  <si>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</si>
  <si>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</si>
  <si>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</si>
  <si>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</si>
  <si>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</si>
  <si>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</si>
  <si>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</si>
  <si>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</si>
  <si>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</si>
  <si>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</si>
  <si>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</si>
  <si>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</si>
  <si>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</si>
  <si>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</si>
  <si>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</si>
  <si>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</si>
  <si>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</si>
  <si>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</si>
  <si>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</si>
  <si>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</si>
  <si>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</si>
  <si>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</si>
  <si>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</si>
  <si>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</si>
  <si>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</si>
  <si>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</si>
  <si>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</si>
  <si>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</si>
  <si>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</si>
  <si>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</si>
  <si>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</si>
  <si>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</si>
  <si>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</si>
  <si>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</si>
  <si>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</si>
  <si>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</si>
  <si>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</si>
  <si>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</si>
  <si>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</si>
  <si>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</si>
  <si>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</si>
  <si>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</si>
  <si>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</si>
  <si>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</si>
  <si>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</si>
  <si>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</si>
  <si>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</si>
  <si>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</si>
  <si>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</si>
  <si>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</si>
  <si>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</si>
  <si>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</si>
  <si>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</si>
  <si>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</si>
  <si>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</si>
  <si>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</si>
  <si>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</si>
  <si>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</si>
  <si>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</si>
  <si>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</si>
  <si>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</si>
  <si>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</si>
  <si>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</si>
  <si>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</si>
  <si>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</si>
  <si>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</si>
  <si>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</si>
  <si>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</si>
  <si>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</si>
  <si>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</si>
  <si>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</si>
  <si>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</si>
  <si>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</si>
  <si>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</si>
  <si>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</si>
  <si>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</si>
  <si>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</si>
  <si>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</si>
  <si>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</si>
  <si>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</si>
  <si>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</si>
  <si>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</si>
  <si>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</si>
  <si>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</si>
  <si>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</si>
  <si>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</si>
  <si>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</si>
  <si>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</si>
  <si>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</si>
  <si>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</si>
  <si>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</si>
  <si>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</si>
  <si>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</si>
  <si>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</si>
  <si>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</si>
  <si>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</si>
  <si>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</si>
  <si>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</si>
  <si>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</si>
  <si>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</si>
  <si>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</si>
  <si>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</si>
  <si>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</si>
  <si>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</si>
  <si>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</si>
  <si>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</si>
  <si>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</si>
  <si>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</si>
  <si>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</si>
  <si>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</si>
  <si>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</si>
  <si>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</si>
  <si>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</si>
  <si>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</si>
  <si>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</si>
  <si>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</si>
  <si>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</si>
  <si>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</si>
  <si>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</si>
  <si>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</si>
  <si>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</si>
  <si>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</si>
  <si>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</si>
  <si>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</si>
  <si>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</si>
  <si>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</si>
  <si>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</si>
  <si>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</si>
  <si>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</si>
  <si>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</si>
  <si>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</si>
  <si>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</si>
  <si>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</si>
  <si>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</si>
  <si>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</si>
  <si>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</si>
  <si>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</si>
  <si>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</si>
  <si>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</si>
  <si>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</si>
  <si>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</si>
  <si>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</si>
  <si>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</si>
  <si>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</si>
  <si>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</si>
  <si>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</si>
  <si>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</si>
  <si>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</si>
  <si>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</si>
  <si>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</si>
  <si>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</si>
  <si>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</si>
  <si>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</si>
  <si>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</si>
  <si>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</si>
  <si>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</si>
  <si>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</si>
  <si>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</si>
  <si>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</si>
  <si>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</si>
  <si>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</si>
  <si>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</si>
  <si>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</si>
  <si>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</si>
  <si>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</si>
  <si>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</si>
  <si>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</si>
  <si>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</si>
  <si>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</si>
  <si>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</si>
  <si>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</si>
  <si>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</si>
  <si>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</si>
  <si>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</si>
  <si>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</si>
  <si>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</si>
  <si>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</si>
  <si>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</si>
  <si>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</si>
  <si>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</si>
  <si>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</si>
  <si>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</si>
  <si>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</si>
  <si>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</si>
  <si>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</si>
  <si>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</si>
  <si>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</si>
  <si>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</si>
  <si>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</si>
  <si>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</si>
  <si>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</si>
  <si>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</si>
  <si>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</si>
  <si>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</si>
  <si>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</si>
  <si>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</si>
  <si>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</si>
  <si>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</si>
  <si>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</si>
  <si>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</si>
  <si>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</si>
  <si>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</si>
  <si>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</si>
  <si>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</si>
  <si>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</si>
  <si>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</si>
  <si>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</si>
  <si>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</si>
  <si>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</si>
  <si>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</si>
  <si>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</si>
  <si>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</si>
  <si>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</si>
  <si>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</si>
  <si>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</si>
  <si>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</si>
  <si>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</si>
  <si>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</si>
  <si>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</si>
  <si>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</si>
  <si>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</si>
  <si>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</si>
  <si>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</si>
  <si>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</si>
  <si>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</si>
  <si>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</si>
  <si>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</si>
  <si>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</si>
  <si>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</si>
  <si>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</si>
  <si>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</si>
  <si>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</si>
  <si>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</si>
  <si>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</si>
  <si>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</si>
  <si>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</si>
  <si>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</si>
  <si>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</si>
  <si>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</si>
  <si>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</si>
  <si>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</si>
  <si>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</si>
  <si>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</si>
  <si>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</si>
  <si>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</si>
  <si>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</si>
  <si>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</si>
  <si>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</si>
  <si>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</si>
  <si>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</si>
  <si>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</si>
  <si>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</si>
  <si>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</si>
  <si>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</si>
  <si>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</si>
  <si>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</si>
  <si>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</si>
  <si>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</si>
  <si>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</si>
  <si>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</si>
  <si>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</si>
  <si>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</si>
  <si>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</si>
  <si>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</si>
  <si>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</si>
  <si>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</si>
  <si>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</si>
  <si>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</si>
  <si>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</si>
  <si>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</si>
  <si>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</si>
  <si>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</si>
  <si>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</si>
  <si>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</si>
  <si>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</si>
  <si>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</si>
  <si>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</si>
  <si>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</si>
  <si>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</si>
  <si>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</si>
  <si>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</si>
  <si>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</si>
  <si>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</si>
  <si>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</si>
  <si>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</si>
  <si>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</si>
  <si>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</si>
  <si>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</si>
  <si>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</si>
  <si>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</si>
  <si>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</si>
  <si>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</si>
  <si>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</si>
  <si>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</si>
  <si>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</si>
  <si>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</si>
  <si>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</si>
  <si>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</si>
  <si>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</si>
  <si>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</si>
  <si>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</si>
  <si>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</si>
  <si>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</si>
  <si>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</si>
  <si>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</si>
  <si>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</si>
  <si>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</si>
  <si>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</si>
  <si>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</si>
  <si>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</si>
  <si>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</si>
  <si>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</si>
  <si>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</si>
  <si>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</si>
  <si>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</si>
  <si>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</si>
  <si>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</si>
  <si>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</si>
  <si>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</si>
  <si>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</si>
  <si>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</si>
  <si>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</si>
  <si>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</si>
  <si>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</si>
  <si>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</si>
  <si>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</si>
  <si>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</si>
  <si>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</si>
  <si>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</si>
  <si>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</si>
  <si>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</si>
  <si>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</si>
  <si>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</si>
  <si>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</si>
  <si>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</si>
  <si>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</si>
  <si>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</si>
  <si>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</si>
  <si>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</si>
  <si>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</si>
  <si>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</si>
  <si>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</si>
  <si>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</si>
  <si>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</si>
  <si>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</si>
  <si>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</si>
  <si>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</si>
  <si>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</si>
  <si>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</si>
  <si>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</si>
  <si>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</si>
  <si>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</si>
  <si>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</si>
  <si>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</si>
  <si>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</si>
  <si>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</si>
  <si>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</si>
  <si>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</si>
  <si>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</si>
  <si>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</si>
  <si>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</si>
  <si>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</si>
  <si>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</si>
  <si>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</si>
  <si>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</si>
  <si>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</si>
  <si>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</si>
  <si>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</si>
  <si>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</si>
  <si>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</si>
  <si>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</si>
  <si>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</si>
  <si>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</si>
  <si>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</si>
  <si>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</si>
  <si>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</si>
  <si>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</si>
  <si>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</si>
  <si>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</si>
  <si>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</si>
  <si>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</si>
  <si>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</si>
  <si>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</si>
  <si>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</si>
  <si>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</si>
  <si>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</si>
  <si>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</si>
  <si>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</si>
  <si>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</si>
  <si>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</si>
  <si>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</si>
  <si>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</si>
  <si>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</si>
  <si>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</si>
  <si>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</si>
  <si>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</si>
  <si>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</si>
  <si>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</si>
  <si>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</si>
  <si>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</si>
  <si>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</si>
  <si>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</si>
  <si>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</si>
  <si>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</si>
  <si>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</si>
  <si>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</si>
  <si>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</si>
  <si>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</si>
  <si>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</si>
  <si>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</si>
  <si>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</si>
  <si>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</si>
  <si>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</si>
  <si>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</si>
  <si>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</si>
  <si>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</si>
  <si>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</si>
  <si>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13011</t>
  </si>
  <si>
    <t>HERENTALS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</si>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</sst>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13011</v>
      </c>
      <c r="B6" s="396"/>
      <c r="C6" s="397"/>
    </row>
    <row r="7" spans="1:7" s="394" customFormat="1" ht="15.75" customHeight="1">
      <c r="A7" s="398" t="str">
        <f>txtMunicipality</f>
        <v>HERENTALS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0.21594742585320056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0.21594742585320056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11735</v>
      </c>
      <c r="C9" s="336">
        <v>12306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1486</v>
      </c>
    </row>
    <row r="15" spans="1:6">
      <c r="A15" s="1277" t="s">
        <v>184</v>
      </c>
      <c r="B15" s="333">
        <v>1559</v>
      </c>
    </row>
    <row r="16" spans="1:6">
      <c r="A16" s="1277" t="s">
        <v>6</v>
      </c>
      <c r="B16" s="333">
        <v>513</v>
      </c>
    </row>
    <row r="17" spans="1:6">
      <c r="A17" s="1277" t="s">
        <v>7</v>
      </c>
      <c r="B17" s="333">
        <v>142</v>
      </c>
    </row>
    <row r="18" spans="1:6">
      <c r="A18" s="1277" t="s">
        <v>8</v>
      </c>
      <c r="B18" s="333">
        <v>345</v>
      </c>
    </row>
    <row r="19" spans="1:6">
      <c r="A19" s="1277" t="s">
        <v>9</v>
      </c>
      <c r="B19" s="333">
        <v>339</v>
      </c>
    </row>
    <row r="20" spans="1:6">
      <c r="A20" s="1277" t="s">
        <v>10</v>
      </c>
      <c r="B20" s="333">
        <v>260</v>
      </c>
    </row>
    <row r="21" spans="1:6">
      <c r="A21" s="1277" t="s">
        <v>11</v>
      </c>
      <c r="B21" s="333">
        <v>1447</v>
      </c>
    </row>
    <row r="22" spans="1:6">
      <c r="A22" s="1277" t="s">
        <v>12</v>
      </c>
      <c r="B22" s="333">
        <v>6222</v>
      </c>
    </row>
    <row r="23" spans="1:6">
      <c r="A23" s="1277" t="s">
        <v>13</v>
      </c>
      <c r="B23" s="333">
        <v>81</v>
      </c>
    </row>
    <row r="24" spans="1:6">
      <c r="A24" s="1277" t="s">
        <v>14</v>
      </c>
      <c r="B24" s="333">
        <v>1</v>
      </c>
    </row>
    <row r="25" spans="1:6">
      <c r="A25" s="1277" t="s">
        <v>15</v>
      </c>
      <c r="B25" s="333">
        <v>366</v>
      </c>
    </row>
    <row r="26" spans="1:6">
      <c r="A26" s="1277" t="s">
        <v>16</v>
      </c>
      <c r="B26" s="333">
        <v>106</v>
      </c>
    </row>
    <row r="27" spans="1:6">
      <c r="A27" s="1277" t="s">
        <v>17</v>
      </c>
      <c r="B27" s="333">
        <v>0</v>
      </c>
    </row>
    <row r="28" spans="1:6">
      <c r="A28" s="1277" t="s">
        <v>18</v>
      </c>
      <c r="B28" s="333">
        <v>147905</v>
      </c>
    </row>
    <row r="29" spans="1:6">
      <c r="A29" s="1277" t="s">
        <v>959</v>
      </c>
      <c r="B29" s="333">
        <v>202</v>
      </c>
    </row>
    <row r="30" spans="1:6">
      <c r="A30" s="1273" t="s">
        <v>960</v>
      </c>
      <c r="B30" s="1273">
        <v>27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23377.472474489899</v>
      </c>
    </row>
    <row r="36" spans="1:6">
      <c r="A36" s="1277" t="s">
        <v>25</v>
      </c>
      <c r="B36" s="1277" t="s">
        <v>27</v>
      </c>
      <c r="C36" s="333">
        <v>0</v>
      </c>
      <c r="D36" s="333">
        <v>0</v>
      </c>
      <c r="E36" s="333">
        <v>7</v>
      </c>
      <c r="F36" s="333">
        <v>25533.618733822699</v>
      </c>
    </row>
    <row r="37" spans="1:6">
      <c r="A37" s="1277" t="s">
        <v>25</v>
      </c>
      <c r="B37" s="1277" t="s">
        <v>28</v>
      </c>
      <c r="C37" s="333">
        <v>0</v>
      </c>
      <c r="D37" s="333">
        <v>0</v>
      </c>
      <c r="E37" s="333">
        <v>0</v>
      </c>
      <c r="F37" s="333">
        <v>0</v>
      </c>
    </row>
    <row r="38" spans="1:6">
      <c r="A38" s="1277" t="s">
        <v>25</v>
      </c>
      <c r="B38" s="1277" t="s">
        <v>29</v>
      </c>
      <c r="C38" s="333">
        <v>2</v>
      </c>
      <c r="D38" s="333">
        <v>608085.28654707095</v>
      </c>
      <c r="E38" s="333">
        <v>1</v>
      </c>
      <c r="F38" s="333">
        <v>3021.5178547072001</v>
      </c>
    </row>
    <row r="39" spans="1:6">
      <c r="A39" s="1277" t="s">
        <v>30</v>
      </c>
      <c r="B39" s="1277" t="s">
        <v>31</v>
      </c>
      <c r="C39" s="333">
        <v>9037</v>
      </c>
      <c r="D39" s="333">
        <v>145037625.675782</v>
      </c>
      <c r="E39" s="333">
        <v>11657</v>
      </c>
      <c r="F39" s="333">
        <v>42168008.514729902</v>
      </c>
    </row>
    <row r="40" spans="1:6">
      <c r="A40" s="1277" t="s">
        <v>30</v>
      </c>
      <c r="B40" s="1277" t="s">
        <v>29</v>
      </c>
      <c r="C40" s="333">
        <v>1</v>
      </c>
      <c r="D40" s="333">
        <v>239760.74224299399</v>
      </c>
      <c r="E40" s="333">
        <v>1</v>
      </c>
      <c r="F40" s="333">
        <v>42590.493166598499</v>
      </c>
    </row>
    <row r="41" spans="1:6">
      <c r="A41" s="1277" t="s">
        <v>32</v>
      </c>
      <c r="B41" s="1277" t="s">
        <v>33</v>
      </c>
      <c r="C41" s="333">
        <v>95</v>
      </c>
      <c r="D41" s="333">
        <v>5015043.3648571</v>
      </c>
      <c r="E41" s="333">
        <v>220</v>
      </c>
      <c r="F41" s="333">
        <v>13047142.490833901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16</v>
      </c>
      <c r="D44" s="333">
        <v>1721564.6971117901</v>
      </c>
      <c r="E44" s="333">
        <v>21</v>
      </c>
      <c r="F44" s="333">
        <v>18891123.940807</v>
      </c>
    </row>
    <row r="45" spans="1:6">
      <c r="A45" s="1277" t="s">
        <v>32</v>
      </c>
      <c r="B45" s="1277" t="s">
        <v>37</v>
      </c>
      <c r="C45" s="333">
        <v>0</v>
      </c>
      <c r="D45" s="333">
        <v>0</v>
      </c>
      <c r="E45" s="333">
        <v>4</v>
      </c>
      <c r="F45" s="333">
        <v>387482.33722518198</v>
      </c>
    </row>
    <row r="46" spans="1:6">
      <c r="A46" s="1277" t="s">
        <v>32</v>
      </c>
      <c r="B46" s="1277" t="s">
        <v>38</v>
      </c>
      <c r="C46" s="333">
        <v>0</v>
      </c>
      <c r="D46" s="333">
        <v>0</v>
      </c>
      <c r="E46" s="333">
        <v>0</v>
      </c>
      <c r="F46" s="333">
        <v>0</v>
      </c>
    </row>
    <row r="47" spans="1:6">
      <c r="A47" s="1277" t="s">
        <v>32</v>
      </c>
      <c r="B47" s="1277" t="s">
        <v>39</v>
      </c>
      <c r="C47" s="333">
        <v>11</v>
      </c>
      <c r="D47" s="333">
        <v>840882.69118904101</v>
      </c>
      <c r="E47" s="333">
        <v>15</v>
      </c>
      <c r="F47" s="333">
        <v>1136675.653006</v>
      </c>
    </row>
    <row r="48" spans="1:6">
      <c r="A48" s="1277" t="s">
        <v>32</v>
      </c>
      <c r="B48" s="1277" t="s">
        <v>29</v>
      </c>
      <c r="C48" s="333">
        <v>37</v>
      </c>
      <c r="D48" s="333">
        <v>38665355.447064802</v>
      </c>
      <c r="E48" s="333">
        <v>59</v>
      </c>
      <c r="F48" s="333">
        <v>88929310.083669007</v>
      </c>
    </row>
    <row r="49" spans="1:6">
      <c r="A49" s="1277" t="s">
        <v>32</v>
      </c>
      <c r="B49" s="1277" t="s">
        <v>40</v>
      </c>
      <c r="C49" s="333">
        <v>0</v>
      </c>
      <c r="D49" s="333">
        <v>0</v>
      </c>
      <c r="E49" s="333">
        <v>3</v>
      </c>
      <c r="F49" s="333">
        <v>108510.427244866</v>
      </c>
    </row>
    <row r="50" spans="1:6">
      <c r="A50" s="1277" t="s">
        <v>32</v>
      </c>
      <c r="B50" s="1277" t="s">
        <v>41</v>
      </c>
      <c r="C50" s="333">
        <v>29</v>
      </c>
      <c r="D50" s="333">
        <v>28433694.6017492</v>
      </c>
      <c r="E50" s="333">
        <v>30</v>
      </c>
      <c r="F50" s="333">
        <v>5882116.2360912496</v>
      </c>
    </row>
    <row r="51" spans="1:6">
      <c r="A51" s="1277" t="s">
        <v>42</v>
      </c>
      <c r="B51" s="1277" t="s">
        <v>43</v>
      </c>
      <c r="C51" s="333">
        <v>0</v>
      </c>
      <c r="D51" s="333">
        <v>0</v>
      </c>
      <c r="E51" s="333">
        <v>77</v>
      </c>
      <c r="F51" s="333">
        <v>1378123.8645536799</v>
      </c>
    </row>
    <row r="52" spans="1:6">
      <c r="A52" s="1277" t="s">
        <v>42</v>
      </c>
      <c r="B52" s="1277" t="s">
        <v>29</v>
      </c>
      <c r="C52" s="333">
        <v>12</v>
      </c>
      <c r="D52" s="333">
        <v>44981880.184749499</v>
      </c>
      <c r="E52" s="333">
        <v>2</v>
      </c>
      <c r="F52" s="333">
        <v>69430.924031975097</v>
      </c>
    </row>
    <row r="53" spans="1:6">
      <c r="A53" s="1277" t="s">
        <v>44</v>
      </c>
      <c r="B53" s="1277" t="s">
        <v>45</v>
      </c>
      <c r="C53" s="333">
        <v>314</v>
      </c>
      <c r="D53" s="333">
        <v>6542297.1716701696</v>
      </c>
      <c r="E53" s="333">
        <v>508</v>
      </c>
      <c r="F53" s="333">
        <v>2404823.8223205199</v>
      </c>
    </row>
    <row r="54" spans="1:6">
      <c r="A54" s="1277" t="s">
        <v>46</v>
      </c>
      <c r="B54" s="1277" t="s">
        <v>47</v>
      </c>
      <c r="C54" s="333">
        <v>0</v>
      </c>
      <c r="D54" s="333">
        <v>0</v>
      </c>
      <c r="E54" s="333">
        <v>1</v>
      </c>
      <c r="F54" s="333">
        <v>1388561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9879484.5498885699</v>
      </c>
      <c r="E57" s="333">
        <v>98</v>
      </c>
      <c r="F57" s="333">
        <v>8596838.9811775796</v>
      </c>
    </row>
    <row r="58" spans="1:6">
      <c r="A58" s="1277" t="s">
        <v>49</v>
      </c>
      <c r="B58" s="1277" t="s">
        <v>51</v>
      </c>
      <c r="C58" s="333">
        <v>53</v>
      </c>
      <c r="D58" s="333">
        <v>7112475.3593282402</v>
      </c>
      <c r="E58" s="333">
        <v>73</v>
      </c>
      <c r="F58" s="333">
        <v>2004642.6449396501</v>
      </c>
    </row>
    <row r="59" spans="1:6">
      <c r="A59" s="1277" t="s">
        <v>49</v>
      </c>
      <c r="B59" s="1277" t="s">
        <v>52</v>
      </c>
      <c r="C59" s="333">
        <v>269</v>
      </c>
      <c r="D59" s="333">
        <v>18617374.545149099</v>
      </c>
      <c r="E59" s="333">
        <v>486</v>
      </c>
      <c r="F59" s="333">
        <v>23803852.204309098</v>
      </c>
    </row>
    <row r="60" spans="1:6">
      <c r="A60" s="1277" t="s">
        <v>49</v>
      </c>
      <c r="B60" s="1277" t="s">
        <v>53</v>
      </c>
      <c r="C60" s="333">
        <v>99</v>
      </c>
      <c r="D60" s="333">
        <v>4850786.0718255304</v>
      </c>
      <c r="E60" s="333">
        <v>127</v>
      </c>
      <c r="F60" s="333">
        <v>3816016.8572436199</v>
      </c>
    </row>
    <row r="61" spans="1:6">
      <c r="A61" s="1277" t="s">
        <v>49</v>
      </c>
      <c r="B61" s="1277" t="s">
        <v>54</v>
      </c>
      <c r="C61" s="333">
        <v>302</v>
      </c>
      <c r="D61" s="333">
        <v>17278829.312869601</v>
      </c>
      <c r="E61" s="333">
        <v>664</v>
      </c>
      <c r="F61" s="333">
        <v>23787159.020275202</v>
      </c>
    </row>
    <row r="62" spans="1:6">
      <c r="A62" s="1277" t="s">
        <v>49</v>
      </c>
      <c r="B62" s="1277" t="s">
        <v>55</v>
      </c>
      <c r="C62" s="333">
        <v>32</v>
      </c>
      <c r="D62" s="333">
        <v>5676594.7852242896</v>
      </c>
      <c r="E62" s="333">
        <v>26</v>
      </c>
      <c r="F62" s="333">
        <v>1571125.4124024301</v>
      </c>
    </row>
    <row r="63" spans="1:6">
      <c r="A63" s="1277" t="s">
        <v>49</v>
      </c>
      <c r="B63" s="1277" t="s">
        <v>29</v>
      </c>
      <c r="C63" s="333">
        <v>94</v>
      </c>
      <c r="D63" s="333">
        <v>6265258.8111615498</v>
      </c>
      <c r="E63" s="333">
        <v>113</v>
      </c>
      <c r="F63" s="333">
        <v>3479962.2517086398</v>
      </c>
    </row>
    <row r="64" spans="1:6">
      <c r="A64" s="1277" t="s">
        <v>56</v>
      </c>
      <c r="B64" s="1277" t="s">
        <v>57</v>
      </c>
      <c r="C64" s="333">
        <v>0</v>
      </c>
      <c r="D64" s="333">
        <v>0</v>
      </c>
      <c r="E64" s="333">
        <v>0</v>
      </c>
      <c r="F64" s="333">
        <v>0</v>
      </c>
    </row>
    <row r="65" spans="1:6">
      <c r="A65" s="1277" t="s">
        <v>56</v>
      </c>
      <c r="B65" s="1277" t="s">
        <v>29</v>
      </c>
      <c r="C65" s="333">
        <v>1</v>
      </c>
      <c r="D65" s="333">
        <v>30516.614359630501</v>
      </c>
      <c r="E65" s="333">
        <v>3</v>
      </c>
      <c r="F65" s="333">
        <v>74749.523896841507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322015.18917599902</v>
      </c>
      <c r="E68" s="333">
        <v>23</v>
      </c>
      <c r="F68" s="333">
        <v>575678.87248125905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115709972</v>
      </c>
      <c r="E73" s="333">
        <v>117996600.51896253</v>
      </c>
      <c r="F73" s="333">
        <v>115361416</v>
      </c>
    </row>
    <row r="74" spans="1:6">
      <c r="A74" s="1277" t="s">
        <v>64</v>
      </c>
      <c r="B74" s="1277" t="s">
        <v>774</v>
      </c>
      <c r="C74" s="1288" t="s">
        <v>775</v>
      </c>
      <c r="D74" s="333">
        <v>7684451.1474169111</v>
      </c>
      <c r="E74" s="333">
        <v>7894413.4702297682</v>
      </c>
      <c r="F74" s="333">
        <v>7775291.6498171575</v>
      </c>
    </row>
    <row r="75" spans="1:6">
      <c r="A75" s="1277" t="s">
        <v>65</v>
      </c>
      <c r="B75" s="1277" t="s">
        <v>772</v>
      </c>
      <c r="C75" s="1288" t="s">
        <v>776</v>
      </c>
      <c r="D75" s="333">
        <v>31674035</v>
      </c>
      <c r="E75" s="333">
        <v>32180101.751689337</v>
      </c>
      <c r="F75" s="333">
        <v>31404093</v>
      </c>
    </row>
    <row r="76" spans="1:6">
      <c r="A76" s="1277" t="s">
        <v>65</v>
      </c>
      <c r="B76" s="1277" t="s">
        <v>774</v>
      </c>
      <c r="C76" s="1288" t="s">
        <v>777</v>
      </c>
      <c r="D76" s="333">
        <v>1452234.1474169116</v>
      </c>
      <c r="E76" s="333">
        <v>1514764.1707825686</v>
      </c>
      <c r="F76" s="333">
        <v>1478050.6498171578</v>
      </c>
    </row>
    <row r="77" spans="1:6">
      <c r="A77" s="1277" t="s">
        <v>66</v>
      </c>
      <c r="B77" s="1277" t="s">
        <v>772</v>
      </c>
      <c r="C77" s="1288" t="s">
        <v>778</v>
      </c>
      <c r="D77" s="333">
        <v>83534566</v>
      </c>
      <c r="E77" s="333">
        <v>91859423.202845797</v>
      </c>
      <c r="F77" s="333">
        <v>85355775</v>
      </c>
    </row>
    <row r="78" spans="1:6">
      <c r="A78" s="1273" t="s">
        <v>66</v>
      </c>
      <c r="B78" s="1273" t="s">
        <v>774</v>
      </c>
      <c r="C78" s="1273" t="s">
        <v>779</v>
      </c>
      <c r="D78" s="1273">
        <v>13748595</v>
      </c>
      <c r="E78" s="1273">
        <v>15804948.696965352</v>
      </c>
      <c r="F78" s="336">
        <v>14631154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691133.70516617713</v>
      </c>
      <c r="C83" s="333">
        <v>637109.47332504392</v>
      </c>
      <c r="D83" s="333">
        <v>644410.70036568446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2070.2577893951175</v>
      </c>
    </row>
    <row r="92" spans="1:6">
      <c r="A92" s="1273" t="s">
        <v>69</v>
      </c>
      <c r="B92" s="336">
        <v>3250.6835173530103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6292</v>
      </c>
    </row>
    <row r="98" spans="1:6">
      <c r="A98" s="1277" t="s">
        <v>72</v>
      </c>
      <c r="B98" s="333">
        <v>7</v>
      </c>
    </row>
    <row r="99" spans="1:6">
      <c r="A99" s="1277" t="s">
        <v>73</v>
      </c>
      <c r="B99" s="333">
        <v>107</v>
      </c>
    </row>
    <row r="100" spans="1:6">
      <c r="A100" s="1277" t="s">
        <v>74</v>
      </c>
      <c r="B100" s="333">
        <v>383</v>
      </c>
    </row>
    <row r="101" spans="1:6">
      <c r="A101" s="1277" t="s">
        <v>75</v>
      </c>
      <c r="B101" s="333">
        <v>115</v>
      </c>
    </row>
    <row r="102" spans="1:6">
      <c r="A102" s="1277" t="s">
        <v>76</v>
      </c>
      <c r="B102" s="333">
        <v>106</v>
      </c>
    </row>
    <row r="103" spans="1:6">
      <c r="A103" s="1277" t="s">
        <v>77</v>
      </c>
      <c r="B103" s="333">
        <v>207</v>
      </c>
    </row>
    <row r="104" spans="1:6">
      <c r="A104" s="1277" t="s">
        <v>78</v>
      </c>
      <c r="B104" s="333">
        <v>2932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125</v>
      </c>
    </row>
    <row r="130" spans="1:6">
      <c r="A130" s="1277" t="s">
        <v>295</v>
      </c>
      <c r="B130" s="333">
        <v>0</v>
      </c>
    </row>
    <row r="131" spans="1:6">
      <c r="A131" s="1277" t="s">
        <v>296</v>
      </c>
      <c r="B131" s="333">
        <v>7</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246306.59860955697</v>
      </c>
      <c r="C3" s="43" t="s">
        <v>170</v>
      </c>
      <c r="D3" s="43"/>
      <c r="E3" s="156"/>
      <c r="F3" s="43"/>
      <c r="G3" s="43"/>
      <c r="H3" s="43"/>
      <c r="I3" s="43"/>
      <c r="J3" s="43"/>
      <c r="K3" s="96"/>
    </row>
    <row r="4" spans="1:11">
      <c r="A4" s="364" t="s">
        <v>171</v>
      </c>
      <c r="B4" s="49">
        <f>IF(ISERROR('SEAP template'!B78+'SEAP template'!C78),0,'SEAP template'!B78+'SEAP template'!C78)</f>
        <v>20346.441306748129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3252.0811764705886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0.21594742585320056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4645.8302521008409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19549.285714285714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1388.5609999999999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1388.5609999999999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0.21594742585320056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299.856173590146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42210.599007896497</v>
      </c>
      <c r="C5" s="17">
        <f>IF(ISERROR('Eigen informatie GS &amp; warmtenet'!B57),0,'Eigen informatie GS &amp; warmtenet'!B57)</f>
        <v>0</v>
      </c>
      <c r="D5" s="30">
        <f>(SUM(HH_hh_gas_kWh,HH_rest_gas_kWh)/1000)*0.902</f>
        <v>131040.20254905854</v>
      </c>
      <c r="E5" s="17">
        <f>B46*B57</f>
        <v>8059.5004033937212</v>
      </c>
      <c r="F5" s="17">
        <f>B51*B62</f>
        <v>10502.649959408871</v>
      </c>
      <c r="G5" s="18"/>
      <c r="H5" s="17"/>
      <c r="I5" s="17"/>
      <c r="J5" s="17">
        <f>B50*B61+C50*C61</f>
        <v>0</v>
      </c>
      <c r="K5" s="17"/>
      <c r="L5" s="17"/>
      <c r="M5" s="17"/>
      <c r="N5" s="17">
        <f>B48*B59+C48*C59</f>
        <v>25062.366981180188</v>
      </c>
      <c r="O5" s="17">
        <f>B69*B70*B71</f>
        <v>223.55666666666667</v>
      </c>
      <c r="P5" s="17">
        <f>B77*B78*B79/1000-B77*B78*B79/1000/B80</f>
        <v>400.4</v>
      </c>
    </row>
    <row r="6" spans="1:16">
      <c r="A6" s="16" t="s">
        <v>632</v>
      </c>
      <c r="B6" s="779">
        <f>kWh_PV_kleiner_dan_10kW</f>
        <v>2070.2577893951175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44280.856797291613</v>
      </c>
      <c r="C8" s="21">
        <f>C5</f>
        <v>0</v>
      </c>
      <c r="D8" s="21">
        <f>D5</f>
        <v>131040.20254905854</v>
      </c>
      <c r="E8" s="21">
        <f>E5</f>
        <v>8059.5004033937212</v>
      </c>
      <c r="F8" s="21">
        <f>F5</f>
        <v>10502.649959408871</v>
      </c>
      <c r="G8" s="21"/>
      <c r="H8" s="21"/>
      <c r="I8" s="21"/>
      <c r="J8" s="21">
        <f>J5</f>
        <v>0</v>
      </c>
      <c r="K8" s="21"/>
      <c r="L8" s="21">
        <f>L5</f>
        <v>0</v>
      </c>
      <c r="M8" s="21">
        <f>M5</f>
        <v>0</v>
      </c>
      <c r="N8" s="21">
        <f>N5</f>
        <v>25062.366981180188</v>
      </c>
      <c r="O8" s="21">
        <f>O5</f>
        <v>223.55666666666667</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0.21594742585320056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9562.3370399493233</v>
      </c>
      <c r="C12" s="23">
        <f ca="1">C10*C8</f>
        <v>0</v>
      </c>
      <c r="D12" s="23">
        <f>D8*D10</f>
        <v>26470.120914909825</v>
      </c>
      <c r="E12" s="23">
        <f>E10*E8</f>
        <v>1829.5065915703747</v>
      </c>
      <c r="F12" s="23">
        <f>F10*F8</f>
        <v>2804.2075391621688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6292</v>
      </c>
      <c r="C18" s="167" t="s">
        <v>111</v>
      </c>
      <c r="D18" s="229"/>
      <c r="E18" s="15"/>
    </row>
    <row r="19" spans="1:7">
      <c r="A19" s="172" t="s">
        <v>72</v>
      </c>
      <c r="B19" s="37">
        <f>aantalw2001_ander</f>
        <v>7</v>
      </c>
      <c r="C19" s="167" t="s">
        <v>111</v>
      </c>
      <c r="D19" s="230"/>
      <c r="E19" s="15"/>
    </row>
    <row r="20" spans="1:7">
      <c r="A20" s="172" t="s">
        <v>73</v>
      </c>
      <c r="B20" s="37">
        <f>aantalw2001_propaan</f>
        <v>107</v>
      </c>
      <c r="C20" s="168">
        <f>IF(ISERROR(B20/SUM($B$20,$B$21,$B$22)*100),0,B20/SUM($B$20,$B$21,$B$22)*100)</f>
        <v>17.685950413223139</v>
      </c>
      <c r="D20" s="230"/>
      <c r="E20" s="15"/>
    </row>
    <row r="21" spans="1:7">
      <c r="A21" s="172" t="s">
        <v>74</v>
      </c>
      <c r="B21" s="37">
        <f>aantalw2001_elektriciteit</f>
        <v>383</v>
      </c>
      <c r="C21" s="168">
        <f>IF(ISERROR(B21/SUM($B$20,$B$21,$B$22)*100),0,B21/SUM($B$20,$B$21,$B$22)*100)</f>
        <v>63.305785123966942</v>
      </c>
      <c r="D21" s="230"/>
      <c r="E21" s="15"/>
    </row>
    <row r="22" spans="1:7">
      <c r="A22" s="172" t="s">
        <v>75</v>
      </c>
      <c r="B22" s="37">
        <f>aantalw2001_hout</f>
        <v>115</v>
      </c>
      <c r="C22" s="168">
        <f>IF(ISERROR(B22/SUM($B$20,$B$21,$B$22)*100),0,B22/SUM($B$20,$B$21,$B$22)*100)</f>
        <v>19.008264462809919</v>
      </c>
      <c r="D22" s="230"/>
      <c r="E22" s="15"/>
    </row>
    <row r="23" spans="1:7">
      <c r="A23" s="172" t="s">
        <v>76</v>
      </c>
      <c r="B23" s="37">
        <f>aantalw2001_niet_gespec</f>
        <v>106</v>
      </c>
      <c r="C23" s="167" t="s">
        <v>111</v>
      </c>
      <c r="D23" s="229"/>
      <c r="E23" s="15"/>
    </row>
    <row r="24" spans="1:7">
      <c r="A24" s="172" t="s">
        <v>77</v>
      </c>
      <c r="B24" s="37">
        <f>aantalw2001_steenkool</f>
        <v>207</v>
      </c>
      <c r="C24" s="167" t="s">
        <v>111</v>
      </c>
      <c r="D24" s="230"/>
      <c r="E24" s="15"/>
    </row>
    <row r="25" spans="1:7">
      <c r="A25" s="172" t="s">
        <v>78</v>
      </c>
      <c r="B25" s="37">
        <f>aantalw2001_stookolie</f>
        <v>2932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11735</v>
      </c>
      <c r="C28" s="36"/>
      <c r="D28" s="229"/>
    </row>
    <row r="29" spans="1:7" s="15" customFormat="1">
      <c r="A29" s="231" t="s">
        <v>713</v>
      </c>
      <c r="B29" s="37">
        <f>SUM(HH_hh_gas_aantal,HH_rest_gas_aantal)</f>
        <v>9038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9038</v>
      </c>
      <c r="C32" s="168">
        <f>IF(ISERROR(B32/SUM($B$32,$B$34,$B$35,$B$36,$B$38,$B$39)*100),0,B32/SUM($B$32,$B$34,$B$35,$B$36,$B$38,$B$39)*100)</f>
        <v>77.155540379033638</v>
      </c>
      <c r="D32" s="234"/>
      <c r="G32" s="15"/>
    </row>
    <row r="33" spans="1:7">
      <c r="A33" s="172" t="s">
        <v>72</v>
      </c>
      <c r="B33" s="34" t="s">
        <v>111</v>
      </c>
      <c r="C33" s="168"/>
      <c r="D33" s="234"/>
      <c r="G33" s="15"/>
    </row>
    <row r="34" spans="1:7">
      <c r="A34" s="172" t="s">
        <v>73</v>
      </c>
      <c r="B34" s="33">
        <f>IF((($B$28-$B$32-$B$39-$B$77-$B$38)*C20/100)&lt;0,0,($B$28-$B$32-$B$39-$B$77-$B$38)*C20/100)</f>
        <v>391.81454545454545</v>
      </c>
      <c r="C34" s="168">
        <f>IF(ISERROR(B34/SUM($B$32,$B$34,$B$35,$B$36,$B$38,$B$39)*100),0,B34/SUM($B$32,$B$34,$B$35,$B$36,$B$38,$B$39)*100)</f>
        <v>3.344839896316762</v>
      </c>
      <c r="D34" s="234"/>
      <c r="G34" s="15"/>
    </row>
    <row r="35" spans="1:7">
      <c r="A35" s="172" t="s">
        <v>74</v>
      </c>
      <c r="B35" s="33">
        <f>IF((($B$28-$B$32-$B$39-$B$77-$B$38)*C21/100)&lt;0,0,($B$28-$B$32-$B$39-$B$77-$B$38)*C21/100)</f>
        <v>1402.4763636363639</v>
      </c>
      <c r="C35" s="168">
        <f>IF(ISERROR(B35/SUM($B$32,$B$34,$B$35,$B$36,$B$38,$B$39)*100),0,B35/SUM($B$32,$B$34,$B$35,$B$36,$B$38,$B$39)*100)</f>
        <v>11.972651217657196</v>
      </c>
      <c r="D35" s="234"/>
      <c r="G35" s="15"/>
    </row>
    <row r="36" spans="1:7">
      <c r="A36" s="172" t="s">
        <v>75</v>
      </c>
      <c r="B36" s="33">
        <f>IF((($B$28-$B$32-$B$39-$B$77-$B$38)*C22/100)&lt;0,0,($B$28-$B$32-$B$39-$B$77-$B$38)*C22/100)</f>
        <v>421.10909090909098</v>
      </c>
      <c r="C36" s="168">
        <f>IF(ISERROR(B36/SUM($B$32,$B$34,$B$35,$B$36,$B$38,$B$39)*100),0,B36/SUM($B$32,$B$34,$B$35,$B$36,$B$38,$B$39)*100)</f>
        <v>3.594921383891847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460.59999999999991</v>
      </c>
      <c r="C39" s="168">
        <f>IF(ISERROR(B39/SUM($B$32,$B$34,$B$35,$B$36,$B$38,$B$39)*100),0,B39/SUM($B$32,$B$34,$B$35,$B$36,$B$38,$B$39)*100)</f>
        <v>3.9320471231005625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9038</v>
      </c>
      <c r="C44" s="34" t="s">
        <v>111</v>
      </c>
      <c r="D44" s="175"/>
    </row>
    <row r="45" spans="1:7">
      <c r="A45" s="172" t="s">
        <v>72</v>
      </c>
      <c r="B45" s="33" t="str">
        <f t="shared" si="0"/>
        <v>-</v>
      </c>
      <c r="C45" s="34" t="s">
        <v>111</v>
      </c>
      <c r="D45" s="175"/>
    </row>
    <row r="46" spans="1:7">
      <c r="A46" s="172" t="s">
        <v>73</v>
      </c>
      <c r="B46" s="33">
        <f t="shared" si="0"/>
        <v>391.81454545454545</v>
      </c>
      <c r="C46" s="34" t="s">
        <v>111</v>
      </c>
      <c r="D46" s="175"/>
    </row>
    <row r="47" spans="1:7">
      <c r="A47" s="172" t="s">
        <v>74</v>
      </c>
      <c r="B47" s="33">
        <f t="shared" si="0"/>
        <v>1402.4763636363639</v>
      </c>
      <c r="C47" s="34" t="s">
        <v>111</v>
      </c>
      <c r="D47" s="175"/>
    </row>
    <row r="48" spans="1:7">
      <c r="A48" s="172" t="s">
        <v>75</v>
      </c>
      <c r="B48" s="33">
        <f t="shared" si="0"/>
        <v>421.10909090909098</v>
      </c>
      <c r="C48" s="33">
        <f>B48*10</f>
        <v>4211.0909090909099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460.59999999999991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67059.597372056218</v>
      </c>
      <c r="C5" s="17">
        <f>IF(ISERROR('Eigen informatie GS &amp; warmtenet'!B58),0,'Eigen informatie GS &amp; warmtenet'!B58)</f>
        <v>0</v>
      </c>
      <c r="D5" s="30">
        <f>SUM(D6:D12)</f>
        <v>62852.084698773084</v>
      </c>
      <c r="E5" s="17">
        <f>SUM(E6:E12)</f>
        <v>1299.1944577881334</v>
      </c>
      <c r="F5" s="17">
        <f>SUM(F6:F12)</f>
        <v>12538.066766665985</v>
      </c>
      <c r="G5" s="18"/>
      <c r="H5" s="17"/>
      <c r="I5" s="17"/>
      <c r="J5" s="17">
        <f>SUM(J6:J12)</f>
        <v>0</v>
      </c>
      <c r="K5" s="17"/>
      <c r="L5" s="17"/>
      <c r="M5" s="17"/>
      <c r="N5" s="17">
        <f>SUM(N6:N12)</f>
        <v>2297.0430343782227</v>
      </c>
      <c r="O5" s="17">
        <f>B38*B39*B40</f>
        <v>0</v>
      </c>
      <c r="P5" s="17">
        <f>B46*B47*B48/1000-B46*B47*B48/1000/B49</f>
        <v>133.46666666666667</v>
      </c>
      <c r="R5" s="32"/>
    </row>
    <row r="6" spans="1:18">
      <c r="A6" s="32" t="s">
        <v>54</v>
      </c>
      <c r="B6" s="37">
        <f>B26</f>
        <v>23787.159020275201</v>
      </c>
      <c r="C6" s="33"/>
      <c r="D6" s="37">
        <f>IF(ISERROR(TER_kantoor_gas_kWh/1000),0,TER_kantoor_gas_kWh/1000)*0.902</f>
        <v>15585.504040208381</v>
      </c>
      <c r="E6" s="33">
        <f>$C$26*'E Balans VL '!I12/100/3.6*1000000</f>
        <v>832.64413836638994</v>
      </c>
      <c r="F6" s="33">
        <f>$C$26*('E Balans VL '!L12+'E Balans VL '!N12)/100/3.6*1000000</f>
        <v>3606.6440127734318</v>
      </c>
      <c r="G6" s="34"/>
      <c r="H6" s="33"/>
      <c r="I6" s="33"/>
      <c r="J6" s="33">
        <f>$C$26*('E Balans VL '!D12+'E Balans VL '!E12)/100/3.6*1000000</f>
        <v>0</v>
      </c>
      <c r="K6" s="33"/>
      <c r="L6" s="33"/>
      <c r="M6" s="33"/>
      <c r="N6" s="33">
        <f>$C$26*'E Balans VL '!Y12/100/3.6*1000000</f>
        <v>183.86729405085441</v>
      </c>
      <c r="O6" s="33"/>
      <c r="P6" s="33"/>
      <c r="R6" s="32"/>
    </row>
    <row r="7" spans="1:18">
      <c r="A7" s="32" t="s">
        <v>53</v>
      </c>
      <c r="B7" s="37">
        <f t="shared" ref="B7:B12" si="0">B27</f>
        <v>3816.0168572436201</v>
      </c>
      <c r="C7" s="33"/>
      <c r="D7" s="37">
        <f>IF(ISERROR(TER_horeca_gas_kWh/1000),0,TER_horeca_gas_kWh/1000)*0.902</f>
        <v>4375.4090367866283</v>
      </c>
      <c r="E7" s="33">
        <f>$C$27*'E Balans VL '!I9/100/3.6*1000000</f>
        <v>215.27409141529535</v>
      </c>
      <c r="F7" s="33">
        <f>$C$27*('E Balans VL '!L9+'E Balans VL '!N9)/100/3.6*1000000</f>
        <v>664.77125464027051</v>
      </c>
      <c r="G7" s="34"/>
      <c r="H7" s="33"/>
      <c r="I7" s="33"/>
      <c r="J7" s="33">
        <f>$C$27*('E Balans VL '!D9+'E Balans VL '!E9)/100/3.6*1000000</f>
        <v>0</v>
      </c>
      <c r="K7" s="33"/>
      <c r="L7" s="33"/>
      <c r="M7" s="33"/>
      <c r="N7" s="33">
        <f>$C$27*'E Balans VL '!Y9/100/3.6*1000000</f>
        <v>0</v>
      </c>
      <c r="O7" s="33"/>
      <c r="P7" s="33"/>
      <c r="R7" s="32"/>
    </row>
    <row r="8" spans="1:18">
      <c r="A8" s="6" t="s">
        <v>52</v>
      </c>
      <c r="B8" s="37">
        <f t="shared" si="0"/>
        <v>23803.8522043091</v>
      </c>
      <c r="C8" s="33"/>
      <c r="D8" s="37">
        <f>IF(ISERROR(TER_handel_gas_kWh/1000),0,TER_handel_gas_kWh/1000)*0.902</f>
        <v>16792.871839724485</v>
      </c>
      <c r="E8" s="33">
        <f>$C$28*'E Balans VL '!I13/100/3.6*1000000</f>
        <v>122.20655878061444</v>
      </c>
      <c r="F8" s="33">
        <f>$C$28*('E Balans VL '!L13+'E Balans VL '!N13)/100/3.6*1000000</f>
        <v>3670.1862026308422</v>
      </c>
      <c r="G8" s="34"/>
      <c r="H8" s="33"/>
      <c r="I8" s="33"/>
      <c r="J8" s="33">
        <f>$C$28*('E Balans VL '!D13+'E Balans VL '!E13)/100/3.6*1000000</f>
        <v>0</v>
      </c>
      <c r="K8" s="33"/>
      <c r="L8" s="33"/>
      <c r="M8" s="33"/>
      <c r="N8" s="33">
        <f>$C$28*'E Balans VL '!Y13/100/3.6*1000000</f>
        <v>11.133352241082678</v>
      </c>
      <c r="O8" s="33"/>
      <c r="P8" s="33"/>
      <c r="R8" s="32"/>
    </row>
    <row r="9" spans="1:18">
      <c r="A9" s="32" t="s">
        <v>51</v>
      </c>
      <c r="B9" s="37">
        <f t="shared" si="0"/>
        <v>2004.6426449396502</v>
      </c>
      <c r="C9" s="33"/>
      <c r="D9" s="37">
        <f>IF(ISERROR(TER_gezond_gas_kWh/1000),0,TER_gezond_gas_kWh/1000)*0.902</f>
        <v>6415.4527741140728</v>
      </c>
      <c r="E9" s="33">
        <f>$C$29*'E Balans VL '!I10/100/3.6*1000000</f>
        <v>0.83091009977423635</v>
      </c>
      <c r="F9" s="33">
        <f>$C$29*('E Balans VL '!L10+'E Balans VL '!N10)/100/3.6*1000000</f>
        <v>493.71473303801758</v>
      </c>
      <c r="G9" s="34"/>
      <c r="H9" s="33"/>
      <c r="I9" s="33"/>
      <c r="J9" s="33">
        <f>$C$29*('E Balans VL '!D10+'E Balans VL '!E10)/100/3.6*1000000</f>
        <v>0</v>
      </c>
      <c r="K9" s="33"/>
      <c r="L9" s="33"/>
      <c r="M9" s="33"/>
      <c r="N9" s="33">
        <f>$C$29*'E Balans VL '!Y10/100/3.6*1000000</f>
        <v>17.325074193641374</v>
      </c>
      <c r="O9" s="33"/>
      <c r="P9" s="33"/>
      <c r="R9" s="32"/>
    </row>
    <row r="10" spans="1:18">
      <c r="A10" s="32" t="s">
        <v>50</v>
      </c>
      <c r="B10" s="37">
        <f t="shared" si="0"/>
        <v>8596.8389811775796</v>
      </c>
      <c r="C10" s="33"/>
      <c r="D10" s="37">
        <f>IF(ISERROR(TER_ander_gas_kWh/1000),0,TER_ander_gas_kWh/1000)*0.902</f>
        <v>8911.2950639994906</v>
      </c>
      <c r="E10" s="33">
        <f>$C$30*'E Balans VL '!I14/100/3.6*1000000</f>
        <v>52.406542536465757</v>
      </c>
      <c r="F10" s="33">
        <f>$C$30*('E Balans VL '!L14+'E Balans VL '!N14)/100/3.6*1000000</f>
        <v>2279.1397772457431</v>
      </c>
      <c r="G10" s="34"/>
      <c r="H10" s="33"/>
      <c r="I10" s="33"/>
      <c r="J10" s="33">
        <f>$C$30*('E Balans VL '!D14+'E Balans VL '!E14)/100/3.6*1000000</f>
        <v>0</v>
      </c>
      <c r="K10" s="33"/>
      <c r="L10" s="33"/>
      <c r="M10" s="33"/>
      <c r="N10" s="33">
        <f>$C$30*'E Balans VL '!Y14/100/3.6*1000000</f>
        <v>1981.3856211440641</v>
      </c>
      <c r="O10" s="33"/>
      <c r="P10" s="33"/>
      <c r="R10" s="32"/>
    </row>
    <row r="11" spans="1:18">
      <c r="A11" s="32" t="s">
        <v>55</v>
      </c>
      <c r="B11" s="37">
        <f t="shared" si="0"/>
        <v>1571.1254124024301</v>
      </c>
      <c r="C11" s="33"/>
      <c r="D11" s="37">
        <f>IF(ISERROR(TER_onderwijs_gas_kWh/1000),0,TER_onderwijs_gas_kWh/1000)*0.902</f>
        <v>5120.2884962723092</v>
      </c>
      <c r="E11" s="33">
        <f>$C$31*'E Balans VL '!I11/100/3.6*1000000</f>
        <v>1.1972793736151373</v>
      </c>
      <c r="F11" s="33">
        <f>$C$31*('E Balans VL '!L11+'E Balans VL '!N11)/100/3.6*1000000</f>
        <v>1136.9524496694844</v>
      </c>
      <c r="G11" s="34"/>
      <c r="H11" s="33"/>
      <c r="I11" s="33"/>
      <c r="J11" s="33">
        <f>$C$31*('E Balans VL '!D11+'E Balans VL '!E11)/100/3.6*1000000</f>
        <v>0</v>
      </c>
      <c r="K11" s="33"/>
      <c r="L11" s="33"/>
      <c r="M11" s="33"/>
      <c r="N11" s="33">
        <f>$C$31*'E Balans VL '!Y11/100/3.6*1000000</f>
        <v>4.630482082481322</v>
      </c>
      <c r="O11" s="33"/>
      <c r="P11" s="33"/>
      <c r="R11" s="32"/>
    </row>
    <row r="12" spans="1:18">
      <c r="A12" s="32" t="s">
        <v>260</v>
      </c>
      <c r="B12" s="37">
        <f t="shared" si="0"/>
        <v>3479.96225170864</v>
      </c>
      <c r="C12" s="33"/>
      <c r="D12" s="37">
        <f>IF(ISERROR(TER_rest_gas_kWh/1000),0,TER_rest_gas_kWh/1000)*0.902</f>
        <v>5651.2634476677176</v>
      </c>
      <c r="E12" s="33">
        <f>$C$32*'E Balans VL '!I8/100/3.6*1000000</f>
        <v>74.63493721597851</v>
      </c>
      <c r="F12" s="33">
        <f>$C$32*('E Balans VL '!L8+'E Balans VL '!N8)/100/3.6*1000000</f>
        <v>686.65833666819526</v>
      </c>
      <c r="G12" s="34"/>
      <c r="H12" s="33"/>
      <c r="I12" s="33"/>
      <c r="J12" s="33">
        <f>$C$32*('E Balans VL '!D8+'E Balans VL '!E8)/100/3.6*1000000</f>
        <v>0</v>
      </c>
      <c r="K12" s="33"/>
      <c r="L12" s="33"/>
      <c r="M12" s="33"/>
      <c r="N12" s="33">
        <f>$C$32*'E Balans VL '!Y8/100/3.6*1000000</f>
        <v>98.701210666098987</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68400.597372056218</v>
      </c>
      <c r="C16" s="21">
        <f ca="1">C5+C13+C14</f>
        <v>0</v>
      </c>
      <c r="D16" s="21">
        <f t="shared" ref="D16:N16" ca="1" si="1">MAX((D5+D13+D14),0)</f>
        <v>62852.084698773084</v>
      </c>
      <c r="E16" s="21">
        <f t="shared" si="1"/>
        <v>1299.1944577881334</v>
      </c>
      <c r="F16" s="21">
        <f t="shared" ca="1" si="1"/>
        <v>12538.066766665985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0.21594742585320056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14770.932929316736</v>
      </c>
      <c r="C20" s="23">
        <f t="shared" ref="C20:P20" ca="1" si="2">C16*C18</f>
        <v>0</v>
      </c>
      <c r="D20" s="23">
        <f t="shared" ca="1" si="2"/>
        <v>12696.121109152164</v>
      </c>
      <c r="E20" s="23">
        <f t="shared" si="2"/>
        <v>294.91714191790629</v>
      </c>
      <c r="F20" s="23">
        <f t="shared" ca="1" si="2"/>
        <v>3347.6638266998179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23787.159020275201</v>
      </c>
      <c r="C26" s="39">
        <f>IF(ISERROR(B26*3.6/1000000/'E Balans VL '!Z12*100),0,B26*3.6/1000000/'E Balans VL '!Z12*100)</f>
        <v>0.5005613135478052</v>
      </c>
      <c r="D26" s="238" t="s">
        <v>719</v>
      </c>
      <c r="F26" s="6"/>
    </row>
    <row r="27" spans="1:18">
      <c r="A27" s="232" t="s">
        <v>53</v>
      </c>
      <c r="B27" s="33">
        <f>IF(ISERROR(TER_horeca_ele_kWh/1000),0,TER_horeca_ele_kWh/1000)</f>
        <v>3816.0168572436201</v>
      </c>
      <c r="C27" s="39">
        <f>IF(ISERROR(B27*3.6/1000000/'E Balans VL '!Z9*100),0,B27*3.6/1000000/'E Balans VL '!Z9*100)</f>
        <v>0.32309142439474936</v>
      </c>
      <c r="D27" s="238" t="s">
        <v>719</v>
      </c>
      <c r="F27" s="6"/>
    </row>
    <row r="28" spans="1:18">
      <c r="A28" s="172" t="s">
        <v>52</v>
      </c>
      <c r="B28" s="33">
        <f>IF(ISERROR(TER_handel_ele_kWh/1000),0,TER_handel_ele_kWh/1000)</f>
        <v>23803.8522043091</v>
      </c>
      <c r="C28" s="39">
        <f>IF(ISERROR(B28*3.6/1000000/'E Balans VL '!Z13*100),0,B28*3.6/1000000/'E Balans VL '!Z13*100)</f>
        <v>0.65900635670233054</v>
      </c>
      <c r="D28" s="238" t="s">
        <v>719</v>
      </c>
      <c r="F28" s="6"/>
    </row>
    <row r="29" spans="1:18">
      <c r="A29" s="232" t="s">
        <v>51</v>
      </c>
      <c r="B29" s="33">
        <f>IF(ISERROR(TER_gezond_ele_kWh/1000),0,TER_gezond_ele_kWh/1000)</f>
        <v>2004.6426449396502</v>
      </c>
      <c r="C29" s="39">
        <f>IF(ISERROR(B29*3.6/1000000/'E Balans VL '!Z10*100),0,B29*3.6/1000000/'E Balans VL '!Z10*100)</f>
        <v>0.26058131978733906</v>
      </c>
      <c r="D29" s="238" t="s">
        <v>719</v>
      </c>
      <c r="F29" s="6"/>
    </row>
    <row r="30" spans="1:18">
      <c r="A30" s="232" t="s">
        <v>50</v>
      </c>
      <c r="B30" s="33">
        <f>IF(ISERROR(TER_ander_ele_kWh/1000),0,TER_ander_ele_kWh/1000)</f>
        <v>8596.8389811775796</v>
      </c>
      <c r="C30" s="39">
        <f>IF(ISERROR(B30*3.6/1000000/'E Balans VL '!Z14*100),0,B30*3.6/1000000/'E Balans VL '!Z14*100)</f>
        <v>0.6663338600773141</v>
      </c>
      <c r="D30" s="238" t="s">
        <v>719</v>
      </c>
      <c r="F30" s="6"/>
    </row>
    <row r="31" spans="1:18">
      <c r="A31" s="232" t="s">
        <v>55</v>
      </c>
      <c r="B31" s="33">
        <f>IF(ISERROR(TER_onderwijs_ele_kWh/1000),0,TER_onderwijs_ele_kWh/1000)</f>
        <v>1571.1254124024301</v>
      </c>
      <c r="C31" s="39">
        <f>IF(ISERROR(B31*3.6/1000000/'E Balans VL '!Z11*100),0,B31*3.6/1000000/'E Balans VL '!Z11*100)</f>
        <v>0.30058306280307184</v>
      </c>
      <c r="D31" s="238" t="s">
        <v>719</v>
      </c>
    </row>
    <row r="32" spans="1:18">
      <c r="A32" s="232" t="s">
        <v>260</v>
      </c>
      <c r="B32" s="33">
        <f>IF(ISERROR(TER_rest_ele_kWh/1000),0,TER_rest_ele_kWh/1000)</f>
        <v>3479.96225170864</v>
      </c>
      <c r="C32" s="39">
        <f>IF(ISERROR(B32*3.6/1000000/'E Balans VL '!Z8*100),0,B32*3.6/1000000/'E Balans VL '!Z8*100)</f>
        <v>2.8694961082510326E-2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128382.36116887722</v>
      </c>
      <c r="C5" s="17">
        <f>IF(ISERROR('Eigen informatie GS &amp; warmtenet'!B59),0,'Eigen informatie GS &amp; warmtenet'!B59)</f>
        <v>0</v>
      </c>
      <c r="D5" s="30">
        <f>SUM(D6:D15)</f>
        <v>67358.239803378674</v>
      </c>
      <c r="E5" s="17">
        <f>SUM(E6:E15)</f>
        <v>1252.9493345559506</v>
      </c>
      <c r="F5" s="17">
        <f>SUM(F6:F15)</f>
        <v>31285.149464914324</v>
      </c>
      <c r="G5" s="18"/>
      <c r="H5" s="17"/>
      <c r="I5" s="17"/>
      <c r="J5" s="17">
        <f>SUM(J6:J15)</f>
        <v>1016.1612476827167</v>
      </c>
      <c r="K5" s="17"/>
      <c r="L5" s="17"/>
      <c r="M5" s="17"/>
      <c r="N5" s="17">
        <f>SUM(N6:N15)</f>
        <v>2724.9874961029909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18891.123940807</v>
      </c>
      <c r="C8" s="33"/>
      <c r="D8" s="37">
        <f>IF( ISERROR(IND_metaal_Gas_kWH/1000),0,IND_metaal_Gas_kWH/1000)*0.902</f>
        <v>1552.8513567948348</v>
      </c>
      <c r="E8" s="33">
        <f>C30*'E Balans VL '!I18/100/3.6*1000000</f>
        <v>132.74375979462101</v>
      </c>
      <c r="F8" s="33">
        <f>C30*'E Balans VL '!L18/100/3.6*1000000+C30*'E Balans VL '!N18/100/3.6*1000000</f>
        <v>2074.1348847468435</v>
      </c>
      <c r="G8" s="34"/>
      <c r="H8" s="33"/>
      <c r="I8" s="33"/>
      <c r="J8" s="40">
        <f>C30*'E Balans VL '!D18/100/3.6*1000000+C30*'E Balans VL '!E18/100/3.6*1000000</f>
        <v>389.76460467196188</v>
      </c>
      <c r="K8" s="33"/>
      <c r="L8" s="33"/>
      <c r="M8" s="33"/>
      <c r="N8" s="33">
        <f>C30*'E Balans VL '!Y18/100/3.6*1000000</f>
        <v>70.805293067431492</v>
      </c>
      <c r="O8" s="33"/>
      <c r="P8" s="33"/>
      <c r="R8" s="32"/>
    </row>
    <row r="9" spans="1:18">
      <c r="A9" s="6" t="s">
        <v>33</v>
      </c>
      <c r="B9" s="37">
        <f t="shared" si="0"/>
        <v>13047.142490833901</v>
      </c>
      <c r="C9" s="33"/>
      <c r="D9" s="37">
        <f>IF( ISERROR(IND_andere_gas_kWh/1000),0,IND_andere_gas_kWh/1000)*0.902</f>
        <v>4523.5691151011042</v>
      </c>
      <c r="E9" s="33">
        <f>C31*'E Balans VL '!I19/100/3.6*1000000</f>
        <v>219.14274139342373</v>
      </c>
      <c r="F9" s="33">
        <f>C31*'E Balans VL '!L19/100/3.6*1000000+C31*'E Balans VL '!N19/100/3.6*1000000</f>
        <v>10199.512889583868</v>
      </c>
      <c r="G9" s="34"/>
      <c r="H9" s="33"/>
      <c r="I9" s="33"/>
      <c r="J9" s="40">
        <f>C31*'E Balans VL '!D19/100/3.6*1000000+C31*'E Balans VL '!E19/100/3.6*1000000</f>
        <v>1.176737080524427</v>
      </c>
      <c r="K9" s="33"/>
      <c r="L9" s="33"/>
      <c r="M9" s="33"/>
      <c r="N9" s="33">
        <f>C31*'E Balans VL '!Y19/100/3.6*1000000</f>
        <v>967.00258154383482</v>
      </c>
      <c r="O9" s="33"/>
      <c r="P9" s="33"/>
      <c r="R9" s="32"/>
    </row>
    <row r="10" spans="1:18">
      <c r="A10" s="6" t="s">
        <v>41</v>
      </c>
      <c r="B10" s="37">
        <f t="shared" si="0"/>
        <v>5882.1162360912494</v>
      </c>
      <c r="C10" s="33"/>
      <c r="D10" s="37">
        <f>IF( ISERROR(IND_voed_gas_kWh/1000),0,IND_voed_gas_kWh/1000)*0.902</f>
        <v>25647.192530777778</v>
      </c>
      <c r="E10" s="33">
        <f>C32*'E Balans VL '!I20/100/3.6*1000000</f>
        <v>53.665984224812171</v>
      </c>
      <c r="F10" s="33">
        <f>C32*'E Balans VL '!L20/100/3.6*1000000+C32*'E Balans VL '!N20/100/3.6*1000000</f>
        <v>948.96933071039211</v>
      </c>
      <c r="G10" s="34"/>
      <c r="H10" s="33"/>
      <c r="I10" s="33"/>
      <c r="J10" s="40">
        <f>C32*'E Balans VL '!D20/100/3.6*1000000+C32*'E Balans VL '!E20/100/3.6*1000000</f>
        <v>24.226411162302437</v>
      </c>
      <c r="K10" s="33"/>
      <c r="L10" s="33"/>
      <c r="M10" s="33"/>
      <c r="N10" s="33">
        <f>C32*'E Balans VL '!Y20/100/3.6*1000000</f>
        <v>86.050722355187375</v>
      </c>
      <c r="O10" s="33"/>
      <c r="P10" s="33"/>
      <c r="R10" s="32"/>
    </row>
    <row r="11" spans="1:18">
      <c r="A11" s="6" t="s">
        <v>40</v>
      </c>
      <c r="B11" s="37">
        <f t="shared" si="0"/>
        <v>108.51042724486601</v>
      </c>
      <c r="C11" s="33"/>
      <c r="D11" s="37">
        <f>IF( ISERROR(IND_textiel_gas_kWh/1000),0,IND_textiel_gas_kWh/1000)*0.902</f>
        <v>0</v>
      </c>
      <c r="E11" s="33">
        <f>C33*'E Balans VL '!I21/100/3.6*1000000</f>
        <v>0.24749215672185523</v>
      </c>
      <c r="F11" s="33">
        <f>C33*'E Balans VL '!L21/100/3.6*1000000+C33*'E Balans VL '!N21/100/3.6*1000000</f>
        <v>2.3195110253268694</v>
      </c>
      <c r="G11" s="34"/>
      <c r="H11" s="33"/>
      <c r="I11" s="33"/>
      <c r="J11" s="40">
        <f>C33*'E Balans VL '!D21/100/3.6*1000000+C33*'E Balans VL '!E21/100/3.6*1000000</f>
        <v>0</v>
      </c>
      <c r="K11" s="33"/>
      <c r="L11" s="33"/>
      <c r="M11" s="33"/>
      <c r="N11" s="33">
        <f>C33*'E Balans VL '!Y21/100/3.6*1000000</f>
        <v>0.76975833178262187</v>
      </c>
      <c r="O11" s="33"/>
      <c r="P11" s="33"/>
      <c r="R11" s="32"/>
    </row>
    <row r="12" spans="1:18">
      <c r="A12" s="6" t="s">
        <v>37</v>
      </c>
      <c r="B12" s="37">
        <f t="shared" si="0"/>
        <v>387.48233722518199</v>
      </c>
      <c r="C12" s="33"/>
      <c r="D12" s="37">
        <f>IF( ISERROR(IND_min_gas_kWh/1000),0,IND_min_gas_kWh/1000)*0.902</f>
        <v>0</v>
      </c>
      <c r="E12" s="33">
        <f>C34*'E Balans VL '!I22/100/3.6*1000000</f>
        <v>9.6108216869844174</v>
      </c>
      <c r="F12" s="33">
        <f>C34*'E Balans VL '!L22/100/3.6*1000000+C34*'E Balans VL '!N22/100/3.6*1000000</f>
        <v>41.173708472105453</v>
      </c>
      <c r="G12" s="34"/>
      <c r="H12" s="33"/>
      <c r="I12" s="33"/>
      <c r="J12" s="40">
        <f>C34*'E Balans VL '!D22/100/3.6*1000000+C34*'E Balans VL '!E22/100/3.6*1000000</f>
        <v>2.2011270354285166</v>
      </c>
      <c r="K12" s="33"/>
      <c r="L12" s="33"/>
      <c r="M12" s="33"/>
      <c r="N12" s="33">
        <f>C34*'E Balans VL '!Y22/100/3.6*1000000</f>
        <v>0</v>
      </c>
      <c r="O12" s="33"/>
      <c r="P12" s="33"/>
      <c r="R12" s="32"/>
    </row>
    <row r="13" spans="1:18">
      <c r="A13" s="6" t="s">
        <v>39</v>
      </c>
      <c r="B13" s="37">
        <f t="shared" si="0"/>
        <v>1136.6756530059999</v>
      </c>
      <c r="C13" s="33"/>
      <c r="D13" s="37">
        <f>IF( ISERROR(IND_papier_gas_kWh/1000),0,IND_papier_gas_kWh/1000)*0.902</f>
        <v>758.47618745251498</v>
      </c>
      <c r="E13" s="33">
        <f>C35*'E Balans VL '!I23/100/3.6*1000000</f>
        <v>34.972543383740557</v>
      </c>
      <c r="F13" s="33">
        <f>C35*'E Balans VL '!L23/100/3.6*1000000+C35*'E Balans VL '!N23/100/3.6*1000000</f>
        <v>241.35596560023001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88929.310083669014</v>
      </c>
      <c r="C15" s="33"/>
      <c r="D15" s="37">
        <f>IF( ISERROR(IND_rest_gas_kWh/1000),0,IND_rest_gas_kWh/1000)*0.902</f>
        <v>34876.150613252452</v>
      </c>
      <c r="E15" s="33">
        <f>C37*'E Balans VL '!I15/100/3.6*1000000</f>
        <v>802.5659919156468</v>
      </c>
      <c r="F15" s="33">
        <f>C37*'E Balans VL '!L15/100/3.6*1000000+C37*'E Balans VL '!N15/100/3.6*1000000</f>
        <v>17777.683174775557</v>
      </c>
      <c r="G15" s="34"/>
      <c r="H15" s="33"/>
      <c r="I15" s="33"/>
      <c r="J15" s="40">
        <f>C37*'E Balans VL '!D15/100/3.6*1000000+C37*'E Balans VL '!E15/100/3.6*1000000</f>
        <v>598.79236773249943</v>
      </c>
      <c r="K15" s="33"/>
      <c r="L15" s="33"/>
      <c r="M15" s="33"/>
      <c r="N15" s="33">
        <f>C37*'E Balans VL '!Y15/100/3.6*1000000</f>
        <v>1600.3591408047546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128382.36116887722</v>
      </c>
      <c r="C18" s="21">
        <f>C5+C16</f>
        <v>0</v>
      </c>
      <c r="D18" s="21">
        <f>MAX((D5+D16),0)</f>
        <v>67358.239803378674</v>
      </c>
      <c r="E18" s="21">
        <f>MAX((E5+E16),0)</f>
        <v>1252.9493345559506</v>
      </c>
      <c r="F18" s="21">
        <f>MAX((F5+F16),0)</f>
        <v>31285.149464914324</v>
      </c>
      <c r="G18" s="21"/>
      <c r="H18" s="21"/>
      <c r="I18" s="21"/>
      <c r="J18" s="21">
        <f>MAX((J5+J16),0)</f>
        <v>1016.1612476827167</v>
      </c>
      <c r="K18" s="21"/>
      <c r="L18" s="21">
        <f>MAX((L5+L16),0)</f>
        <v>0</v>
      </c>
      <c r="M18" s="21"/>
      <c r="N18" s="21">
        <f>MAX((N5+N16),0)</f>
        <v>2724.9874961029909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0.21594742585320056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27723.84041937493</v>
      </c>
      <c r="C22" s="23">
        <f ca="1">C18*C20</f>
        <v>0</v>
      </c>
      <c r="D22" s="23">
        <f>D18*D20</f>
        <v>13606.364440282494</v>
      </c>
      <c r="E22" s="23">
        <f>E18*E20</f>
        <v>284.41949894420077</v>
      </c>
      <c r="F22" s="23">
        <f>F18*F20</f>
        <v>8353.1349071321256</v>
      </c>
      <c r="G22" s="23"/>
      <c r="H22" s="23"/>
      <c r="I22" s="23"/>
      <c r="J22" s="23">
        <f>J18*J20</f>
        <v>359.72108167968173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18891.123940807</v>
      </c>
      <c r="C30" s="39">
        <f>IF(ISERROR(B30*3.6/1000000/'E Balans VL '!Z18*100),0,B30*3.6/1000000/'E Balans VL '!Z18*100)</f>
        <v>1.2575936566264869</v>
      </c>
      <c r="D30" s="238" t="s">
        <v>719</v>
      </c>
    </row>
    <row r="31" spans="1:18">
      <c r="A31" s="6" t="s">
        <v>33</v>
      </c>
      <c r="B31" s="37">
        <f>IF( ISERROR(IND_ander_ele_kWh/1000),0,IND_ander_ele_kWh/1000)</f>
        <v>13047.142490833901</v>
      </c>
      <c r="C31" s="39">
        <f>IF(ISERROR(B31*3.6/1000000/'E Balans VL '!Z19*100),0,B31*3.6/1000000/'E Balans VL '!Z19*100)</f>
        <v>0.57832812148640789</v>
      </c>
      <c r="D31" s="238" t="s">
        <v>719</v>
      </c>
    </row>
    <row r="32" spans="1:18">
      <c r="A32" s="172" t="s">
        <v>41</v>
      </c>
      <c r="B32" s="37">
        <f>IF( ISERROR(IND_voed_ele_kWh/1000),0,IND_voed_ele_kWh/1000)</f>
        <v>5882.1162360912494</v>
      </c>
      <c r="C32" s="39">
        <f>IF(ISERROR(B32*3.6/1000000/'E Balans VL '!Z20*100),0,B32*3.6/1000000/'E Balans VL '!Z20*100)</f>
        <v>0.19647955589305746</v>
      </c>
      <c r="D32" s="238" t="s">
        <v>719</v>
      </c>
    </row>
    <row r="33" spans="1:5">
      <c r="A33" s="172" t="s">
        <v>40</v>
      </c>
      <c r="B33" s="37">
        <f>IF( ISERROR(IND_textiel_ele_kWh/1000),0,IND_textiel_ele_kWh/1000)</f>
        <v>108.51042724486601</v>
      </c>
      <c r="C33" s="39">
        <f>IF(ISERROR(B33*3.6/1000000/'E Balans VL '!Z21*100),0,B33*3.6/1000000/'E Balans VL '!Z21*100)</f>
        <v>1.4285647976169907E-2</v>
      </c>
      <c r="D33" s="238" t="s">
        <v>719</v>
      </c>
    </row>
    <row r="34" spans="1:5">
      <c r="A34" s="172" t="s">
        <v>37</v>
      </c>
      <c r="B34" s="37">
        <f>IF( ISERROR(IND_min_ele_kWh/1000),0,IND_min_ele_kWh/1000)</f>
        <v>387.48233722518199</v>
      </c>
      <c r="C34" s="39">
        <f>IF(ISERROR(B34*3.6/1000000/'E Balans VL '!Z22*100),0,B34*3.6/1000000/'E Balans VL '!Z22*100)</f>
        <v>7.5361058338763443E-2</v>
      </c>
      <c r="D34" s="238" t="s">
        <v>719</v>
      </c>
    </row>
    <row r="35" spans="1:5">
      <c r="A35" s="172" t="s">
        <v>39</v>
      </c>
      <c r="B35" s="37">
        <f>IF( ISERROR(IND_papier_ele_kWh/1000),0,IND_papier_ele_kWh/1000)</f>
        <v>1136.6756530059999</v>
      </c>
      <c r="C35" s="39">
        <f>IF(ISERROR(B35*3.6/1000000/'E Balans VL '!Z22*100),0,B35*3.6/1000000/'E Balans VL '!Z22*100)</f>
        <v>0.22107092883734725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88929.310083669014</v>
      </c>
      <c r="C37" s="39">
        <f>IF(ISERROR(B37*3.6/1000000/'E Balans VL '!Z15*100),0,B37*3.6/1000000/'E Balans VL '!Z15*100)</f>
        <v>0.66148918878359608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1447.5547885856549</v>
      </c>
      <c r="C5" s="17">
        <f>'Eigen informatie GS &amp; warmtenet'!B60</f>
        <v>0</v>
      </c>
      <c r="D5" s="30">
        <f>IF(ISERROR(SUM(LB_lb_gas_kWh,LB_rest_gas_kWh)/1000),0,SUM(LB_lb_gas_kWh,LB_rest_gas_kWh)/1000)*0.902</f>
        <v>40573.655926644045</v>
      </c>
      <c r="E5" s="17">
        <f>B17*'E Balans VL '!I25/3.6*1000000/100</f>
        <v>15.159107128901033</v>
      </c>
      <c r="F5" s="17">
        <f>B17*('E Balans VL '!L25/3.6*1000000+'E Balans VL '!N25/3.6*1000000)/100</f>
        <v>6196.6344031882254</v>
      </c>
      <c r="G5" s="18"/>
      <c r="H5" s="17"/>
      <c r="I5" s="17"/>
      <c r="J5" s="17">
        <f>('E Balans VL '!D25+'E Balans VL '!E25)/3.6*1000000*landbouw!B17/100</f>
        <v>129.27961727561231</v>
      </c>
      <c r="K5" s="17"/>
      <c r="L5" s="17">
        <f>L6*(-1)</f>
        <v>0</v>
      </c>
      <c r="M5" s="17"/>
      <c r="N5" s="17">
        <f>N6*(-1)</f>
        <v>0</v>
      </c>
      <c r="O5" s="17"/>
      <c r="P5" s="17"/>
      <c r="R5" s="32"/>
    </row>
    <row r="6" spans="1:18">
      <c r="A6" s="16" t="s">
        <v>496</v>
      </c>
      <c r="B6" s="17" t="s">
        <v>211</v>
      </c>
      <c r="C6" s="17">
        <f>'lokale energieproductie'!O92+'lokale energieproductie'!O61</f>
        <v>19549.285714285714</v>
      </c>
      <c r="D6" s="311">
        <f>('lokale energieproductie'!P61+'lokale energieproductie'!P92)*(-1)</f>
        <v>-39098.571428571428</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1447.5547885856549</v>
      </c>
      <c r="C8" s="21">
        <f>C5+C6</f>
        <v>19549.285714285714</v>
      </c>
      <c r="D8" s="21">
        <f>MAX((D5+D6),0)</f>
        <v>1475.0844980726179</v>
      </c>
      <c r="E8" s="21">
        <f>MAX((E5+E6),0)</f>
        <v>15.159107128901033</v>
      </c>
      <c r="F8" s="21">
        <f>MAX((F5+F6),0)</f>
        <v>6196.6344031882254</v>
      </c>
      <c r="G8" s="21"/>
      <c r="H8" s="21"/>
      <c r="I8" s="21"/>
      <c r="J8" s="21">
        <f>MAX((J5+J6),0)</f>
        <v>129.27961727561231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0.21594742585320056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312.59573037654616</v>
      </c>
      <c r="C12" s="23">
        <f ca="1">C8*C10</f>
        <v>4645.8302521008409</v>
      </c>
      <c r="D12" s="23">
        <f>D8*D10</f>
        <v>297.96706861066883</v>
      </c>
      <c r="E12" s="23">
        <f>E8*E10</f>
        <v>3.4411173182605346</v>
      </c>
      <c r="F12" s="23">
        <f>F8*F10</f>
        <v>1654.5013856512562</v>
      </c>
      <c r="G12" s="23"/>
      <c r="H12" s="23"/>
      <c r="I12" s="23"/>
      <c r="J12" s="23">
        <f>J8*J10</f>
        <v>45.764984515566752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0.22280662493456946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147.52603120680786</v>
      </c>
      <c r="C26" s="248">
        <f>B26*'GWP N2O_CH4'!B5</f>
        <v>3098.0466553429651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67.964276807857843</v>
      </c>
      <c r="C27" s="248">
        <f>B27*'GWP N2O_CH4'!B5</f>
        <v>1427.2498129650146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3.1609022150251262</v>
      </c>
      <c r="C28" s="248">
        <f>B28*'GWP N2O_CH4'!B4</f>
        <v>979.87968665778919</v>
      </c>
      <c r="D28" s="50"/>
    </row>
    <row r="29" spans="1:4">
      <c r="A29" s="41" t="s">
        <v>277</v>
      </c>
      <c r="B29" s="248">
        <f>B34*'ha_N2O bodem landbouw'!B4</f>
        <v>13.369634675591929</v>
      </c>
      <c r="C29" s="248">
        <f>B29*'GWP N2O_CH4'!B4</f>
        <v>4144.586749433498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2.209507722868851E-3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6.6371775326771283E-6</v>
      </c>
      <c r="C5" s="446" t="s">
        <v>211</v>
      </c>
      <c r="D5" s="431">
        <f>SUM(D6:D11)</f>
        <v>3.2101695451605846E-5</v>
      </c>
      <c r="E5" s="431">
        <f>SUM(E6:E11)</f>
        <v>3.5574034952362363E-3</v>
      </c>
      <c r="F5" s="444" t="s">
        <v>211</v>
      </c>
      <c r="G5" s="431">
        <f>SUM(G6:G11)</f>
        <v>0.63422734802872893</v>
      </c>
      <c r="H5" s="431">
        <f>SUM(H6:H11)</f>
        <v>0.10915371643101229</v>
      </c>
      <c r="I5" s="446" t="s">
        <v>211</v>
      </c>
      <c r="J5" s="446" t="s">
        <v>211</v>
      </c>
      <c r="K5" s="446" t="s">
        <v>211</v>
      </c>
      <c r="L5" s="446" t="s">
        <v>211</v>
      </c>
      <c r="M5" s="431">
        <f>SUM(M6:M11)</f>
        <v>3.2437400073832834E-2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3.3257940948089075E-6</v>
      </c>
      <c r="C6" s="432"/>
      <c r="D6" s="432">
        <f>vkm_2011_GW_PW*SUMIFS(TableVerdeelsleutelVkm[CNG],TableVerdeelsleutelVkm[Voertuigtype],"Lichte voertuigen")*SUMIFS(TableECFTransport[EnergieConsumptieFactor (PJ per km)],TableECFTransport[Index],CONCATENATE($A6,"_CNG_CNG"))</f>
        <v>1.4337111752842457E-5</v>
      </c>
      <c r="E6" s="434">
        <f>vkm_2011_GW_PW*SUMIFS(TableVerdeelsleutelVkm[LPG],TableVerdeelsleutelVkm[Voertuigtype],"Lichte voertuigen")*SUMIFS(TableECFTransport[EnergieConsumptieFactor (PJ per km)],TableECFTransport[Index],CONCATENATE($A6,"_LPG_LPG"))</f>
        <v>1.4916885072118809E-3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0.18348178148802549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4.830695076915649E-2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1.0158093485277193E-2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7.186279135250262E-2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2.4640755305559387E-5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3.1043379389064374E-3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9.1039101246840383E-7</v>
      </c>
      <c r="C8" s="432"/>
      <c r="D8" s="434">
        <f>vkm_2011_NGW_PW*SUMIFS(TableVerdeelsleutelVkm[CNG],TableVerdeelsleutelVkm[Voertuigtype],"Lichte voertuigen")*SUMIFS(TableECFTransport[EnergieConsumptieFactor (PJ per km)],TableECFTransport[Index],CONCATENATE($A8,"_CNG_CNG"))</f>
        <v>7.0408097480748004E-6</v>
      </c>
      <c r="E8" s="434">
        <f>vkm_2011_NGW_PW*SUMIFS(TableVerdeelsleutelVkm[LPG],TableVerdeelsleutelVkm[Voertuigtype],"Lichte voertuigen")*SUMIFS(TableECFTransport[EnergieConsumptieFactor (PJ per km)],TableECFTransport[Index],CONCATENATE($A8,"_LPG_LPG"))</f>
        <v>6.6887527031984971E-4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7.8034536199363541E-2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2.2645271303551751E-2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4.4173978444616829E-3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1.8871074518390655E-2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5.6211973355406931E-6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8.1515576168763356E-4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2.4009924253998172E-6</v>
      </c>
      <c r="C10" s="432"/>
      <c r="D10" s="434">
        <f>vkm_2011_SW_PW*SUMIFS(TableVerdeelsleutelVkm[CNG],TableVerdeelsleutelVkm[Voertuigtype],"Lichte voertuigen")*SUMIFS(TableECFTransport[EnergieConsumptieFactor (PJ per km)],TableECFTransport[Index],CONCATENATE($A10,"_CNG_CNG"))</f>
        <v>1.0723773950688584E-5</v>
      </c>
      <c r="E10" s="434">
        <f>vkm_2011_SW_PW*SUMIFS(TableVerdeelsleutelVkm[LPG],TableVerdeelsleutelVkm[Voertuigtype],"Lichte voertuigen")*SUMIFS(TableECFTransport[EnergieConsumptieFactor (PJ per km)],TableECFTransport[Index],CONCATENATE($A10,"_LPG_LPG"))</f>
        <v>1.3968397177045058E-3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0.15795659146724991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3.8125860026399214E-2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8.5848269262283027E-3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0.12402057300319669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4.5372379263741525E-5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5.357588117271583E-3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1.8436604257436469</v>
      </c>
      <c r="C14" s="21"/>
      <c r="D14" s="21">
        <f t="shared" ref="D14:M14" si="0">((D5)*10^9/3600)+D12</f>
        <v>8.9171376254460686</v>
      </c>
      <c r="E14" s="21">
        <f t="shared" si="0"/>
        <v>988.16763756562113</v>
      </c>
      <c r="F14" s="21"/>
      <c r="G14" s="21">
        <f t="shared" si="0"/>
        <v>176174.26334131361</v>
      </c>
      <c r="H14" s="21">
        <f t="shared" si="0"/>
        <v>30320.476786392301</v>
      </c>
      <c r="I14" s="21"/>
      <c r="J14" s="21"/>
      <c r="K14" s="21"/>
      <c r="L14" s="21"/>
      <c r="M14" s="21">
        <f t="shared" si="0"/>
        <v>9010.3889093980088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0.21594742585320056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0.39813372308675637</v>
      </c>
      <c r="C18" s="23"/>
      <c r="D18" s="23">
        <f t="shared" ref="D18:M18" si="1">D14*D16</f>
        <v>1.801261800340106</v>
      </c>
      <c r="E18" s="23">
        <f t="shared" si="1"/>
        <v>224.31405372739601</v>
      </c>
      <c r="F18" s="23"/>
      <c r="G18" s="23">
        <f t="shared" si="1"/>
        <v>47038.528312130737</v>
      </c>
      <c r="H18" s="23">
        <f t="shared" si="1"/>
        <v>7549.7987198116825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9.074851539241393E-3</v>
      </c>
      <c r="H50" s="322">
        <f t="shared" si="2"/>
        <v>0</v>
      </c>
      <c r="I50" s="322">
        <f t="shared" si="2"/>
        <v>0</v>
      </c>
      <c r="J50" s="322">
        <f t="shared" si="2"/>
        <v>0</v>
      </c>
      <c r="K50" s="322">
        <f t="shared" si="2"/>
        <v>0</v>
      </c>
      <c r="L50" s="322">
        <f t="shared" si="2"/>
        <v>0</v>
      </c>
      <c r="M50" s="322">
        <f t="shared" si="2"/>
        <v>3.8682149563800121E-4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9.074851539241393E-3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3.8682149563800121E-4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2520.79209423372</v>
      </c>
      <c r="H54" s="21">
        <f t="shared" si="3"/>
        <v>0</v>
      </c>
      <c r="I54" s="21">
        <f t="shared" si="3"/>
        <v>0</v>
      </c>
      <c r="J54" s="21">
        <f t="shared" si="3"/>
        <v>0</v>
      </c>
      <c r="K54" s="21">
        <f t="shared" si="3"/>
        <v>0</v>
      </c>
      <c r="L54" s="21">
        <f t="shared" si="3"/>
        <v>0</v>
      </c>
      <c r="M54" s="21">
        <f t="shared" si="3"/>
        <v>107.45041545500032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0.21594742585320056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673.05148916040332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69789.158372056219</v>
      </c>
      <c r="D10" s="687">
        <f ca="1">tertiair!C16</f>
        <v>0</v>
      </c>
      <c r="E10" s="687">
        <f ca="1">tertiair!D16</f>
        <v>62852.084698773084</v>
      </c>
      <c r="F10" s="687">
        <f>tertiair!E16</f>
        <v>1299.1944577881334</v>
      </c>
      <c r="G10" s="687">
        <f ca="1">tertiair!F16</f>
        <v>12538.066766665985</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133.46666666666667</v>
      </c>
      <c r="R10" s="690">
        <f ca="1">SUM(C10:Q10)</f>
        <v>146611.97096195011</v>
      </c>
      <c r="S10" s="67"/>
    </row>
    <row r="11" spans="1:19" s="456" customFormat="1">
      <c r="A11" s="802" t="s">
        <v>225</v>
      </c>
      <c r="B11" s="807"/>
      <c r="C11" s="687">
        <f>huishoudens!B8</f>
        <v>44280.856797291613</v>
      </c>
      <c r="D11" s="687">
        <f>huishoudens!C8</f>
        <v>0</v>
      </c>
      <c r="E11" s="687">
        <f>huishoudens!D8</f>
        <v>131040.20254905854</v>
      </c>
      <c r="F11" s="687">
        <f>huishoudens!E8</f>
        <v>8059.5004033937212</v>
      </c>
      <c r="G11" s="687">
        <f>huishoudens!F8</f>
        <v>10502.649959408871</v>
      </c>
      <c r="H11" s="687">
        <f>huishoudens!G8</f>
        <v>0</v>
      </c>
      <c r="I11" s="687">
        <f>huishoudens!H8</f>
        <v>0</v>
      </c>
      <c r="J11" s="687">
        <f>huishoudens!I8</f>
        <v>0</v>
      </c>
      <c r="K11" s="687">
        <f>huishoudens!J8</f>
        <v>0</v>
      </c>
      <c r="L11" s="687">
        <f>huishoudens!K8</f>
        <v>0</v>
      </c>
      <c r="M11" s="687">
        <f>huishoudens!L8</f>
        <v>0</v>
      </c>
      <c r="N11" s="687">
        <f>huishoudens!M8</f>
        <v>0</v>
      </c>
      <c r="O11" s="687">
        <f>huishoudens!N8</f>
        <v>25062.366981180188</v>
      </c>
      <c r="P11" s="687">
        <f>huishoudens!O8</f>
        <v>223.55666666666667</v>
      </c>
      <c r="Q11" s="688">
        <f>huishoudens!P8</f>
        <v>400.4</v>
      </c>
      <c r="R11" s="690">
        <f>SUM(C11:Q11)</f>
        <v>219569.5333569996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128382.36116887722</v>
      </c>
      <c r="D13" s="687">
        <f>industrie!C18</f>
        <v>0</v>
      </c>
      <c r="E13" s="687">
        <f>industrie!D18</f>
        <v>67358.239803378674</v>
      </c>
      <c r="F13" s="687">
        <f>industrie!E18</f>
        <v>1252.9493345559506</v>
      </c>
      <c r="G13" s="687">
        <f>industrie!F18</f>
        <v>31285.149464914324</v>
      </c>
      <c r="H13" s="687">
        <f>industrie!G18</f>
        <v>0</v>
      </c>
      <c r="I13" s="687">
        <f>industrie!H18</f>
        <v>0</v>
      </c>
      <c r="J13" s="687">
        <f>industrie!I18</f>
        <v>0</v>
      </c>
      <c r="K13" s="687">
        <f>industrie!J18</f>
        <v>1016.1612476827167</v>
      </c>
      <c r="L13" s="687">
        <f>industrie!K18</f>
        <v>0</v>
      </c>
      <c r="M13" s="687">
        <f>industrie!L18</f>
        <v>0</v>
      </c>
      <c r="N13" s="687">
        <f>industrie!M18</f>
        <v>0</v>
      </c>
      <c r="O13" s="687">
        <f>industrie!N18</f>
        <v>2724.9874961029909</v>
      </c>
      <c r="P13" s="687">
        <f>industrie!O18</f>
        <v>0</v>
      </c>
      <c r="Q13" s="688">
        <f>industrie!P18</f>
        <v>0</v>
      </c>
      <c r="R13" s="690">
        <f>SUM(C13:Q13)</f>
        <v>232019.84851551187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242452.37633822506</v>
      </c>
      <c r="D16" s="720">
        <f t="shared" ref="D16:R16" ca="1" si="0">SUM(D9:D15)</f>
        <v>0</v>
      </c>
      <c r="E16" s="720">
        <f t="shared" ca="1" si="0"/>
        <v>261250.52705121029</v>
      </c>
      <c r="F16" s="720">
        <f t="shared" si="0"/>
        <v>10611.644195737807</v>
      </c>
      <c r="G16" s="720">
        <f t="shared" ca="1" si="0"/>
        <v>54325.866190989182</v>
      </c>
      <c r="H16" s="720">
        <f t="shared" si="0"/>
        <v>0</v>
      </c>
      <c r="I16" s="720">
        <f t="shared" si="0"/>
        <v>0</v>
      </c>
      <c r="J16" s="720">
        <f t="shared" si="0"/>
        <v>0</v>
      </c>
      <c r="K16" s="720">
        <f t="shared" si="0"/>
        <v>1016.1612476827167</v>
      </c>
      <c r="L16" s="720">
        <f t="shared" si="0"/>
        <v>0</v>
      </c>
      <c r="M16" s="720">
        <f t="shared" ca="1" si="0"/>
        <v>0</v>
      </c>
      <c r="N16" s="720">
        <f t="shared" si="0"/>
        <v>0</v>
      </c>
      <c r="O16" s="720">
        <f t="shared" ca="1" si="0"/>
        <v>27787.354477283181</v>
      </c>
      <c r="P16" s="720">
        <f t="shared" si="0"/>
        <v>223.55666666666667</v>
      </c>
      <c r="Q16" s="720">
        <f t="shared" si="0"/>
        <v>533.86666666666667</v>
      </c>
      <c r="R16" s="720">
        <f t="shared" ca="1" si="0"/>
        <v>598201.35283446161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2520.79209423372</v>
      </c>
      <c r="I19" s="687">
        <f>transport!H54</f>
        <v>0</v>
      </c>
      <c r="J19" s="687">
        <f>transport!I54</f>
        <v>0</v>
      </c>
      <c r="K19" s="687">
        <f>transport!J54</f>
        <v>0</v>
      </c>
      <c r="L19" s="687">
        <f>transport!K54</f>
        <v>0</v>
      </c>
      <c r="M19" s="687">
        <f>transport!L54</f>
        <v>0</v>
      </c>
      <c r="N19" s="687">
        <f>transport!M54</f>
        <v>107.45041545500032</v>
      </c>
      <c r="O19" s="687">
        <f>transport!N54</f>
        <v>0</v>
      </c>
      <c r="P19" s="687">
        <f>transport!O54</f>
        <v>0</v>
      </c>
      <c r="Q19" s="688">
        <f>transport!P54</f>
        <v>0</v>
      </c>
      <c r="R19" s="690">
        <f>SUM(C19:Q19)</f>
        <v>2628.2425096887205</v>
      </c>
      <c r="S19" s="67"/>
    </row>
    <row r="20" spans="1:19" s="456" customFormat="1">
      <c r="A20" s="802" t="s">
        <v>307</v>
      </c>
      <c r="B20" s="807"/>
      <c r="C20" s="687">
        <f>transport!B14</f>
        <v>1.8436604257436469</v>
      </c>
      <c r="D20" s="687">
        <f>transport!C14</f>
        <v>0</v>
      </c>
      <c r="E20" s="687">
        <f>transport!D14</f>
        <v>8.9171376254460686</v>
      </c>
      <c r="F20" s="687">
        <f>transport!E14</f>
        <v>988.16763756562113</v>
      </c>
      <c r="G20" s="687">
        <f>transport!F14</f>
        <v>0</v>
      </c>
      <c r="H20" s="687">
        <f>transport!G14</f>
        <v>176174.26334131361</v>
      </c>
      <c r="I20" s="687">
        <f>transport!H14</f>
        <v>30320.476786392301</v>
      </c>
      <c r="J20" s="687">
        <f>transport!I14</f>
        <v>0</v>
      </c>
      <c r="K20" s="687">
        <f>transport!J14</f>
        <v>0</v>
      </c>
      <c r="L20" s="687">
        <f>transport!K14</f>
        <v>0</v>
      </c>
      <c r="M20" s="687">
        <f>transport!L14</f>
        <v>0</v>
      </c>
      <c r="N20" s="687">
        <f>transport!M14</f>
        <v>9010.3889093980088</v>
      </c>
      <c r="O20" s="687">
        <f>transport!N14</f>
        <v>0</v>
      </c>
      <c r="P20" s="687">
        <f>transport!O14</f>
        <v>0</v>
      </c>
      <c r="Q20" s="688">
        <f>transport!P14</f>
        <v>0</v>
      </c>
      <c r="R20" s="690">
        <f>SUM(C20:Q20)</f>
        <v>216504.05747272071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1.8436604257436469</v>
      </c>
      <c r="D22" s="805">
        <f t="shared" ref="D22:R22" si="1">SUM(D18:D21)</f>
        <v>0</v>
      </c>
      <c r="E22" s="805">
        <f t="shared" si="1"/>
        <v>8.9171376254460686</v>
      </c>
      <c r="F22" s="805">
        <f t="shared" si="1"/>
        <v>988.16763756562113</v>
      </c>
      <c r="G22" s="805">
        <f t="shared" si="1"/>
        <v>0</v>
      </c>
      <c r="H22" s="805">
        <f t="shared" si="1"/>
        <v>178695.05543554731</v>
      </c>
      <c r="I22" s="805">
        <f t="shared" si="1"/>
        <v>30320.476786392301</v>
      </c>
      <c r="J22" s="805">
        <f t="shared" si="1"/>
        <v>0</v>
      </c>
      <c r="K22" s="805">
        <f t="shared" si="1"/>
        <v>0</v>
      </c>
      <c r="L22" s="805">
        <f t="shared" si="1"/>
        <v>0</v>
      </c>
      <c r="M22" s="805">
        <f t="shared" si="1"/>
        <v>0</v>
      </c>
      <c r="N22" s="805">
        <f t="shared" si="1"/>
        <v>9117.8393248530083</v>
      </c>
      <c r="O22" s="805">
        <f t="shared" si="1"/>
        <v>0</v>
      </c>
      <c r="P22" s="805">
        <f t="shared" si="1"/>
        <v>0</v>
      </c>
      <c r="Q22" s="805">
        <f t="shared" si="1"/>
        <v>0</v>
      </c>
      <c r="R22" s="805">
        <f t="shared" si="1"/>
        <v>219132.29998240943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1447.5547885856549</v>
      </c>
      <c r="D24" s="687">
        <f>+landbouw!C8</f>
        <v>19549.285714285714</v>
      </c>
      <c r="E24" s="687">
        <f>+landbouw!D8</f>
        <v>1475.0844980726179</v>
      </c>
      <c r="F24" s="687">
        <f>+landbouw!E8</f>
        <v>15.159107128901033</v>
      </c>
      <c r="G24" s="687">
        <f>+landbouw!F8</f>
        <v>6196.6344031882254</v>
      </c>
      <c r="H24" s="687">
        <f>+landbouw!G8</f>
        <v>0</v>
      </c>
      <c r="I24" s="687">
        <f>+landbouw!H8</f>
        <v>0</v>
      </c>
      <c r="J24" s="687">
        <f>+landbouw!I8</f>
        <v>0</v>
      </c>
      <c r="K24" s="687">
        <f>+landbouw!J8</f>
        <v>129.27961727561231</v>
      </c>
      <c r="L24" s="687">
        <f>+landbouw!K8</f>
        <v>0</v>
      </c>
      <c r="M24" s="687">
        <f>+landbouw!L8</f>
        <v>0</v>
      </c>
      <c r="N24" s="687">
        <f>+landbouw!M8</f>
        <v>0</v>
      </c>
      <c r="O24" s="687">
        <f>+landbouw!N8</f>
        <v>0</v>
      </c>
      <c r="P24" s="687">
        <f>+landbouw!O8</f>
        <v>0</v>
      </c>
      <c r="Q24" s="688">
        <f>+landbouw!P8</f>
        <v>0</v>
      </c>
      <c r="R24" s="690">
        <f>SUM(C24:Q24)</f>
        <v>28812.998128536725</v>
      </c>
      <c r="S24" s="67"/>
    </row>
    <row r="25" spans="1:19" s="456" customFormat="1" ht="15" thickBot="1">
      <c r="A25" s="824" t="s">
        <v>925</v>
      </c>
      <c r="B25" s="988"/>
      <c r="C25" s="989">
        <f>IF(Onbekend_ele_kWh="---",0,Onbekend_ele_kWh)/1000+IF(REST_rest_ele_kWh="---",0,REST_rest_ele_kWh)/1000</f>
        <v>2404.8238223205199</v>
      </c>
      <c r="D25" s="989"/>
      <c r="E25" s="989">
        <f>IF(onbekend_gas_kWh="---",0,onbekend_gas_kWh)/1000+IF(REST_rest_gas_kWh="---",0,REST_rest_gas_kWh)/1000</f>
        <v>6542.2971716701695</v>
      </c>
      <c r="F25" s="989"/>
      <c r="G25" s="989"/>
      <c r="H25" s="989"/>
      <c r="I25" s="989"/>
      <c r="J25" s="989"/>
      <c r="K25" s="989"/>
      <c r="L25" s="989"/>
      <c r="M25" s="989"/>
      <c r="N25" s="989"/>
      <c r="O25" s="989"/>
      <c r="P25" s="989"/>
      <c r="Q25" s="990"/>
      <c r="R25" s="690">
        <f>SUM(C25:Q25)</f>
        <v>8947.1209939906894</v>
      </c>
      <c r="S25" s="67"/>
    </row>
    <row r="26" spans="1:19" s="456" customFormat="1" ht="15.75" thickBot="1">
      <c r="A26" s="693" t="s">
        <v>926</v>
      </c>
      <c r="B26" s="810"/>
      <c r="C26" s="805">
        <f>SUM(C24:C25)</f>
        <v>3852.3786109061748</v>
      </c>
      <c r="D26" s="805">
        <f t="shared" ref="D26:R26" si="2">SUM(D24:D25)</f>
        <v>19549.285714285714</v>
      </c>
      <c r="E26" s="805">
        <f t="shared" si="2"/>
        <v>8017.3816697427874</v>
      </c>
      <c r="F26" s="805">
        <f t="shared" si="2"/>
        <v>15.159107128901033</v>
      </c>
      <c r="G26" s="805">
        <f t="shared" si="2"/>
        <v>6196.6344031882254</v>
      </c>
      <c r="H26" s="805">
        <f t="shared" si="2"/>
        <v>0</v>
      </c>
      <c r="I26" s="805">
        <f t="shared" si="2"/>
        <v>0</v>
      </c>
      <c r="J26" s="805">
        <f t="shared" si="2"/>
        <v>0</v>
      </c>
      <c r="K26" s="805">
        <f t="shared" si="2"/>
        <v>129.27961727561231</v>
      </c>
      <c r="L26" s="805">
        <f t="shared" si="2"/>
        <v>0</v>
      </c>
      <c r="M26" s="805">
        <f t="shared" si="2"/>
        <v>0</v>
      </c>
      <c r="N26" s="805">
        <f t="shared" si="2"/>
        <v>0</v>
      </c>
      <c r="O26" s="805">
        <f t="shared" si="2"/>
        <v>0</v>
      </c>
      <c r="P26" s="805">
        <f t="shared" si="2"/>
        <v>0</v>
      </c>
      <c r="Q26" s="805">
        <f t="shared" si="2"/>
        <v>0</v>
      </c>
      <c r="R26" s="805">
        <f t="shared" si="2"/>
        <v>37760.119122527416</v>
      </c>
      <c r="S26" s="67"/>
    </row>
    <row r="27" spans="1:19" s="456" customFormat="1" ht="17.25" thickTop="1" thickBot="1">
      <c r="A27" s="694" t="s">
        <v>116</v>
      </c>
      <c r="B27" s="797"/>
      <c r="C27" s="695">
        <f ca="1">C22+C16+C26</f>
        <v>246306.59860955697</v>
      </c>
      <c r="D27" s="695">
        <f t="shared" ref="D27:R27" ca="1" si="3">D22+D16+D26</f>
        <v>19549.285714285714</v>
      </c>
      <c r="E27" s="695">
        <f t="shared" ca="1" si="3"/>
        <v>269276.82585857855</v>
      </c>
      <c r="F27" s="695">
        <f t="shared" si="3"/>
        <v>11614.970940432328</v>
      </c>
      <c r="G27" s="695">
        <f t="shared" ca="1" si="3"/>
        <v>60522.500594177407</v>
      </c>
      <c r="H27" s="695">
        <f t="shared" si="3"/>
        <v>178695.05543554731</v>
      </c>
      <c r="I27" s="695">
        <f t="shared" si="3"/>
        <v>30320.476786392301</v>
      </c>
      <c r="J27" s="695">
        <f t="shared" si="3"/>
        <v>0</v>
      </c>
      <c r="K27" s="695">
        <f t="shared" si="3"/>
        <v>1145.440864958329</v>
      </c>
      <c r="L27" s="695">
        <f t="shared" si="3"/>
        <v>0</v>
      </c>
      <c r="M27" s="695">
        <f t="shared" ca="1" si="3"/>
        <v>0</v>
      </c>
      <c r="N27" s="695">
        <f t="shared" si="3"/>
        <v>9117.8393248530083</v>
      </c>
      <c r="O27" s="695">
        <f t="shared" ca="1" si="3"/>
        <v>27787.354477283181</v>
      </c>
      <c r="P27" s="695">
        <f t="shared" si="3"/>
        <v>223.55666666666667</v>
      </c>
      <c r="Q27" s="695">
        <f t="shared" si="3"/>
        <v>533.86666666666667</v>
      </c>
      <c r="R27" s="695">
        <f t="shared" ca="1" si="3"/>
        <v>855093.77193939849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15070.789102906881</v>
      </c>
      <c r="D40" s="687">
        <f ca="1">tertiair!C20</f>
        <v>0</v>
      </c>
      <c r="E40" s="687">
        <f ca="1">tertiair!D20</f>
        <v>12696.121109152164</v>
      </c>
      <c r="F40" s="687">
        <f>tertiair!E20</f>
        <v>294.91714191790629</v>
      </c>
      <c r="G40" s="687">
        <f ca="1">tertiair!F20</f>
        <v>3347.6638266998179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31409.49118067677</v>
      </c>
    </row>
    <row r="41" spans="1:18">
      <c r="A41" s="815" t="s">
        <v>225</v>
      </c>
      <c r="B41" s="822"/>
      <c r="C41" s="687">
        <f ca="1">huishoudens!B12</f>
        <v>9562.3370399493233</v>
      </c>
      <c r="D41" s="687">
        <f ca="1">huishoudens!C12</f>
        <v>0</v>
      </c>
      <c r="E41" s="687">
        <f>huishoudens!D12</f>
        <v>26470.120914909825</v>
      </c>
      <c r="F41" s="687">
        <f>huishoudens!E12</f>
        <v>1829.5065915703747</v>
      </c>
      <c r="G41" s="687">
        <f>huishoudens!F12</f>
        <v>2804.2075391621688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40666.172085591694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27723.84041937493</v>
      </c>
      <c r="D43" s="687">
        <f ca="1">industrie!C22</f>
        <v>0</v>
      </c>
      <c r="E43" s="687">
        <f>industrie!D22</f>
        <v>13606.364440282494</v>
      </c>
      <c r="F43" s="687">
        <f>industrie!E22</f>
        <v>284.41949894420077</v>
      </c>
      <c r="G43" s="687">
        <f>industrie!F22</f>
        <v>8353.1349071321256</v>
      </c>
      <c r="H43" s="687">
        <f>industrie!G22</f>
        <v>0</v>
      </c>
      <c r="I43" s="687">
        <f>industrie!H22</f>
        <v>0</v>
      </c>
      <c r="J43" s="687">
        <f>industrie!I22</f>
        <v>0</v>
      </c>
      <c r="K43" s="687">
        <f>industrie!J22</f>
        <v>359.72108167968173</v>
      </c>
      <c r="L43" s="687">
        <f>industrie!K22</f>
        <v>0</v>
      </c>
      <c r="M43" s="687">
        <f>industrie!L22</f>
        <v>0</v>
      </c>
      <c r="N43" s="687">
        <f>industrie!M22</f>
        <v>0</v>
      </c>
      <c r="O43" s="687">
        <f>industrie!N22</f>
        <v>0</v>
      </c>
      <c r="P43" s="687">
        <f>industrie!O22</f>
        <v>0</v>
      </c>
      <c r="Q43" s="762">
        <f>industrie!P22</f>
        <v>0</v>
      </c>
      <c r="R43" s="842">
        <f t="shared" ca="1" si="4"/>
        <v>50327.480347413431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52356.966562231137</v>
      </c>
      <c r="D46" s="720">
        <f t="shared" ref="D46:Q46" ca="1" si="5">SUM(D39:D45)</f>
        <v>0</v>
      </c>
      <c r="E46" s="720">
        <f t="shared" ca="1" si="5"/>
        <v>52772.606464344484</v>
      </c>
      <c r="F46" s="720">
        <f t="shared" si="5"/>
        <v>2408.8432324324817</v>
      </c>
      <c r="G46" s="720">
        <f t="shared" ca="1" si="5"/>
        <v>14505.006272994113</v>
      </c>
      <c r="H46" s="720">
        <f t="shared" si="5"/>
        <v>0</v>
      </c>
      <c r="I46" s="720">
        <f t="shared" si="5"/>
        <v>0</v>
      </c>
      <c r="J46" s="720">
        <f t="shared" si="5"/>
        <v>0</v>
      </c>
      <c r="K46" s="720">
        <f t="shared" si="5"/>
        <v>359.72108167968173</v>
      </c>
      <c r="L46" s="720">
        <f t="shared" si="5"/>
        <v>0</v>
      </c>
      <c r="M46" s="720">
        <f t="shared" ca="1" si="5"/>
        <v>0</v>
      </c>
      <c r="N46" s="720">
        <f t="shared" si="5"/>
        <v>0</v>
      </c>
      <c r="O46" s="720">
        <f t="shared" ca="1" si="5"/>
        <v>0</v>
      </c>
      <c r="P46" s="720">
        <f t="shared" si="5"/>
        <v>0</v>
      </c>
      <c r="Q46" s="720">
        <f t="shared" si="5"/>
        <v>0</v>
      </c>
      <c r="R46" s="720">
        <f ca="1">SUM(R39:R45)</f>
        <v>122403.1436136819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673.05148916040332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673.05148916040332</v>
      </c>
    </row>
    <row r="50" spans="1:18">
      <c r="A50" s="818" t="s">
        <v>307</v>
      </c>
      <c r="B50" s="828"/>
      <c r="C50" s="995">
        <f ca="1">transport!B18</f>
        <v>0.39813372308675637</v>
      </c>
      <c r="D50" s="995">
        <f>transport!C18</f>
        <v>0</v>
      </c>
      <c r="E50" s="995">
        <f>transport!D18</f>
        <v>1.801261800340106</v>
      </c>
      <c r="F50" s="995">
        <f>transport!E18</f>
        <v>224.31405372739601</v>
      </c>
      <c r="G50" s="995">
        <f>transport!F18</f>
        <v>0</v>
      </c>
      <c r="H50" s="995">
        <f>transport!G18</f>
        <v>47038.528312130737</v>
      </c>
      <c r="I50" s="995">
        <f>transport!H18</f>
        <v>7549.7987198116825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54814.840481193241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0.39813372308675637</v>
      </c>
      <c r="D52" s="720">
        <f t="shared" ref="D52:Q52" ca="1" si="6">SUM(D48:D51)</f>
        <v>0</v>
      </c>
      <c r="E52" s="720">
        <f t="shared" si="6"/>
        <v>1.801261800340106</v>
      </c>
      <c r="F52" s="720">
        <f t="shared" si="6"/>
        <v>224.31405372739601</v>
      </c>
      <c r="G52" s="720">
        <f t="shared" si="6"/>
        <v>0</v>
      </c>
      <c r="H52" s="720">
        <f t="shared" si="6"/>
        <v>47711.57980129114</v>
      </c>
      <c r="I52" s="720">
        <f t="shared" si="6"/>
        <v>7549.7987198116825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55487.891970353645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312.59573037654616</v>
      </c>
      <c r="D54" s="995">
        <f ca="1">+landbouw!C12</f>
        <v>4645.8302521008409</v>
      </c>
      <c r="E54" s="995">
        <f>+landbouw!D12</f>
        <v>297.96706861066883</v>
      </c>
      <c r="F54" s="995">
        <f>+landbouw!E12</f>
        <v>3.4411173182605346</v>
      </c>
      <c r="G54" s="995">
        <f>+landbouw!F12</f>
        <v>1654.5013856512562</v>
      </c>
      <c r="H54" s="995">
        <f>+landbouw!G12</f>
        <v>0</v>
      </c>
      <c r="I54" s="995">
        <f>+landbouw!H12</f>
        <v>0</v>
      </c>
      <c r="J54" s="995">
        <f>+landbouw!I12</f>
        <v>0</v>
      </c>
      <c r="K54" s="995">
        <f>+landbouw!J12</f>
        <v>45.764984515566752</v>
      </c>
      <c r="L54" s="995">
        <f>+landbouw!K12</f>
        <v>0</v>
      </c>
      <c r="M54" s="995">
        <f>+landbouw!L12</f>
        <v>0</v>
      </c>
      <c r="N54" s="995">
        <f>+landbouw!M12</f>
        <v>0</v>
      </c>
      <c r="O54" s="995">
        <f>+landbouw!N12</f>
        <v>0</v>
      </c>
      <c r="P54" s="995">
        <f>+landbouw!O12</f>
        <v>0</v>
      </c>
      <c r="Q54" s="996">
        <f>+landbouw!P12</f>
        <v>0</v>
      </c>
      <c r="R54" s="719">
        <f ca="1">SUM(C54:Q54)</f>
        <v>6960.1005385731396</v>
      </c>
    </row>
    <row r="55" spans="1:18" ht="15" thickBot="1">
      <c r="A55" s="818" t="s">
        <v>925</v>
      </c>
      <c r="B55" s="828"/>
      <c r="C55" s="995">
        <f ca="1">C25*'EF ele_warmte'!B12</f>
        <v>519.31551406057088</v>
      </c>
      <c r="D55" s="995"/>
      <c r="E55" s="995">
        <f>E25*EF_CO2_aardgas</f>
        <v>1321.5440286773744</v>
      </c>
      <c r="F55" s="995"/>
      <c r="G55" s="995"/>
      <c r="H55" s="995"/>
      <c r="I55" s="995"/>
      <c r="J55" s="995"/>
      <c r="K55" s="995"/>
      <c r="L55" s="995"/>
      <c r="M55" s="995"/>
      <c r="N55" s="995"/>
      <c r="O55" s="995"/>
      <c r="P55" s="995"/>
      <c r="Q55" s="996"/>
      <c r="R55" s="719">
        <f ca="1">SUM(C55:Q55)</f>
        <v>1840.8595427379453</v>
      </c>
    </row>
    <row r="56" spans="1:18" ht="15.75" thickBot="1">
      <c r="A56" s="816" t="s">
        <v>926</v>
      </c>
      <c r="B56" s="829"/>
      <c r="C56" s="720">
        <f ca="1">SUM(C54:C55)</f>
        <v>831.91124443711703</v>
      </c>
      <c r="D56" s="720">
        <f t="shared" ref="D56:Q56" ca="1" si="7">SUM(D54:D55)</f>
        <v>4645.8302521008409</v>
      </c>
      <c r="E56" s="720">
        <f t="shared" si="7"/>
        <v>1619.5110972880432</v>
      </c>
      <c r="F56" s="720">
        <f t="shared" si="7"/>
        <v>3.4411173182605346</v>
      </c>
      <c r="G56" s="720">
        <f t="shared" si="7"/>
        <v>1654.5013856512562</v>
      </c>
      <c r="H56" s="720">
        <f t="shared" si="7"/>
        <v>0</v>
      </c>
      <c r="I56" s="720">
        <f t="shared" si="7"/>
        <v>0</v>
      </c>
      <c r="J56" s="720">
        <f t="shared" si="7"/>
        <v>0</v>
      </c>
      <c r="K56" s="720">
        <f t="shared" si="7"/>
        <v>45.764984515566752</v>
      </c>
      <c r="L56" s="720">
        <f t="shared" si="7"/>
        <v>0</v>
      </c>
      <c r="M56" s="720">
        <f t="shared" si="7"/>
        <v>0</v>
      </c>
      <c r="N56" s="720">
        <f t="shared" si="7"/>
        <v>0</v>
      </c>
      <c r="O56" s="720">
        <f t="shared" si="7"/>
        <v>0</v>
      </c>
      <c r="P56" s="720">
        <f t="shared" si="7"/>
        <v>0</v>
      </c>
      <c r="Q56" s="721">
        <f t="shared" si="7"/>
        <v>0</v>
      </c>
      <c r="R56" s="722">
        <f ca="1">SUM(R54:R55)</f>
        <v>8800.9600813110847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53189.275940391344</v>
      </c>
      <c r="D61" s="728">
        <f t="shared" ref="D61:Q61" ca="1" si="8">D46+D52+D56</f>
        <v>4645.8302521008409</v>
      </c>
      <c r="E61" s="728">
        <f t="shared" ca="1" si="8"/>
        <v>54393.918823432869</v>
      </c>
      <c r="F61" s="728">
        <f t="shared" si="8"/>
        <v>2636.5984034781386</v>
      </c>
      <c r="G61" s="728">
        <f t="shared" ca="1" si="8"/>
        <v>16159.507658645369</v>
      </c>
      <c r="H61" s="728">
        <f t="shared" si="8"/>
        <v>47711.57980129114</v>
      </c>
      <c r="I61" s="728">
        <f t="shared" si="8"/>
        <v>7549.7987198116825</v>
      </c>
      <c r="J61" s="728">
        <f t="shared" si="8"/>
        <v>0</v>
      </c>
      <c r="K61" s="728">
        <f t="shared" si="8"/>
        <v>405.4860661952485</v>
      </c>
      <c r="L61" s="728">
        <f t="shared" si="8"/>
        <v>0</v>
      </c>
      <c r="M61" s="728">
        <f t="shared" ca="1" si="8"/>
        <v>0</v>
      </c>
      <c r="N61" s="728">
        <f t="shared" si="8"/>
        <v>0</v>
      </c>
      <c r="O61" s="728">
        <f t="shared" ca="1" si="8"/>
        <v>0</v>
      </c>
      <c r="P61" s="728">
        <f t="shared" si="8"/>
        <v>0</v>
      </c>
      <c r="Q61" s="728">
        <f t="shared" si="8"/>
        <v>0</v>
      </c>
      <c r="R61" s="728">
        <f ca="1">R46+R52+R56</f>
        <v>186691.99566534662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0.21594742585320059</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5320.9413067481273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13684.5</v>
      </c>
      <c r="D76" s="1007">
        <f>'lokale energieproductie'!C8</f>
        <v>16099.411764705883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3252.0811764705886</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6661.9413067481273</v>
      </c>
      <c r="C78" s="743">
        <f>SUM(C72:C77)</f>
        <v>13684.5</v>
      </c>
      <c r="D78" s="744">
        <f t="shared" ref="D78:H78" si="10">SUM(D76:D77)</f>
        <v>16099.411764705883</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3252.0811764705886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19549.285714285714</v>
      </c>
      <c r="D87" s="765">
        <f>'lokale energieproductie'!C17</f>
        <v>22999.159663865546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4645.8302521008409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19549.285714285714</v>
      </c>
      <c r="D90" s="743">
        <f t="shared" ref="D90:H90" si="12">SUM(D87:D89)</f>
        <v>22999.159663865546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4645.8302521008409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5320.9413067481273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13684.5</v>
      </c>
      <c r="C8" s="557">
        <f>B101</f>
        <v>16099.411764705883</v>
      </c>
      <c r="D8" s="985"/>
      <c r="E8" s="985">
        <f>E101</f>
        <v>0</v>
      </c>
      <c r="F8" s="986"/>
      <c r="G8" s="558"/>
      <c r="H8" s="985">
        <f>I101</f>
        <v>0</v>
      </c>
      <c r="I8" s="985">
        <f>G101+F101</f>
        <v>0</v>
      </c>
      <c r="J8" s="985">
        <f>H101+D101+C101</f>
        <v>0</v>
      </c>
      <c r="K8" s="985"/>
      <c r="L8" s="985"/>
      <c r="M8" s="985"/>
      <c r="N8" s="559"/>
      <c r="O8" s="560">
        <f>C8*$C$12+D8*$D$12+E8*$E$12+F8*$F$12+G8*$G$12+H8*$H$12+I8*$I$12+J8*$J$12</f>
        <v>3252.0811764705886</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20346.441306748129</v>
      </c>
      <c r="C10" s="569">
        <f t="shared" ref="C10:L10" si="0">SUM(C8:C9)</f>
        <v>16099.411764705883</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3252.0811764705886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19549.285714285714</v>
      </c>
      <c r="C17" s="581">
        <f>B102</f>
        <v>22999.159663865546</v>
      </c>
      <c r="D17" s="582"/>
      <c r="E17" s="582">
        <f>E102</f>
        <v>0</v>
      </c>
      <c r="F17" s="583"/>
      <c r="G17" s="584"/>
      <c r="H17" s="581">
        <f>I102</f>
        <v>0</v>
      </c>
      <c r="I17" s="582">
        <f>G102+F102</f>
        <v>0</v>
      </c>
      <c r="J17" s="582">
        <f>H102+D102+C102</f>
        <v>0</v>
      </c>
      <c r="K17" s="582"/>
      <c r="L17" s="582"/>
      <c r="M17" s="582"/>
      <c r="N17" s="981"/>
      <c r="O17" s="585">
        <f>C17*$C$22+E17*$E$22+H17*$H$22+I17*$I$22+J17*$J$22+D17*$D$22+F17*$F$22+G17*$G$22+K17*$K$22+L17*$L$22</f>
        <v>4645.8302521008409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19549.285714285714</v>
      </c>
      <c r="C20" s="568">
        <f>SUM(C17:C19)</f>
        <v>22999.159663865546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4645.8302521008409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13011</v>
      </c>
      <c r="C28" s="788">
        <v>2200</v>
      </c>
      <c r="D28" s="641" t="s">
        <v>965</v>
      </c>
      <c r="E28" s="640" t="s">
        <v>966</v>
      </c>
      <c r="F28" s="640" t="s">
        <v>967</v>
      </c>
      <c r="G28" s="640" t="s">
        <v>968</v>
      </c>
      <c r="H28" s="640" t="s">
        <v>969</v>
      </c>
      <c r="I28" s="640" t="s">
        <v>966</v>
      </c>
      <c r="J28" s="787">
        <v>39511</v>
      </c>
      <c r="K28" s="787">
        <v>39511</v>
      </c>
      <c r="L28" s="640" t="s">
        <v>970</v>
      </c>
      <c r="M28" s="640">
        <v>3041</v>
      </c>
      <c r="N28" s="640">
        <v>13684.5</v>
      </c>
      <c r="O28" s="640">
        <v>19549.285714285714</v>
      </c>
      <c r="P28" s="640">
        <v>39098.571428571428</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3041</v>
      </c>
      <c r="N58" s="598">
        <f>SUM(N28:N57)</f>
        <v>13684.5</v>
      </c>
      <c r="O58" s="598">
        <f t="shared" ref="O58:W58" si="2">SUM(O28:O57)</f>
        <v>19549.285714285714</v>
      </c>
      <c r="P58" s="598">
        <f t="shared" si="2"/>
        <v>39098.571428571428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3041</v>
      </c>
      <c r="N61" s="603">
        <f t="shared" si="4"/>
        <v>13684.5</v>
      </c>
      <c r="O61" s="603">
        <f t="shared" si="4"/>
        <v>19549.285714285714</v>
      </c>
      <c r="P61" s="603">
        <f t="shared" si="4"/>
        <v>39098.571428571428</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13011</v>
      </c>
      <c r="C64" s="788">
        <v>2200</v>
      </c>
      <c r="D64" s="643" t="s">
        <v>971</v>
      </c>
      <c r="E64" s="643" t="s">
        <v>972</v>
      </c>
      <c r="F64" s="643" t="s">
        <v>973</v>
      </c>
      <c r="G64" s="643" t="s">
        <v>974</v>
      </c>
      <c r="H64" s="643" t="s">
        <v>975</v>
      </c>
      <c r="I64" s="643" t="s">
        <v>976</v>
      </c>
      <c r="J64" s="787">
        <v>39217</v>
      </c>
      <c r="K64" s="787">
        <v>39227</v>
      </c>
      <c r="L64" s="643" t="s">
        <v>977</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16099.411764705883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22999.159663865546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44280.856797291613</v>
      </c>
      <c r="C4" s="460">
        <f>huishoudens!C8</f>
        <v>0</v>
      </c>
      <c r="D4" s="460">
        <f>huishoudens!D8</f>
        <v>131040.20254905854</v>
      </c>
      <c r="E4" s="460">
        <f>huishoudens!E8</f>
        <v>8059.5004033937212</v>
      </c>
      <c r="F4" s="460">
        <f>huishoudens!F8</f>
        <v>10502.649959408871</v>
      </c>
      <c r="G4" s="460">
        <f>huishoudens!G8</f>
        <v>0</v>
      </c>
      <c r="H4" s="460">
        <f>huishoudens!H8</f>
        <v>0</v>
      </c>
      <c r="I4" s="460">
        <f>huishoudens!I8</f>
        <v>0</v>
      </c>
      <c r="J4" s="460">
        <f>huishoudens!J8</f>
        <v>0</v>
      </c>
      <c r="K4" s="460">
        <f>huishoudens!K8</f>
        <v>0</v>
      </c>
      <c r="L4" s="460">
        <f>huishoudens!L8</f>
        <v>0</v>
      </c>
      <c r="M4" s="460">
        <f>huishoudens!M8</f>
        <v>0</v>
      </c>
      <c r="N4" s="460">
        <f>huishoudens!N8</f>
        <v>25062.366981180188</v>
      </c>
      <c r="O4" s="460">
        <f>huishoudens!O8</f>
        <v>223.55666666666667</v>
      </c>
      <c r="P4" s="461">
        <f>huishoudens!P8</f>
        <v>400.4</v>
      </c>
      <c r="Q4" s="462">
        <f>SUM(B4:P4)</f>
        <v>219569.5333569996</v>
      </c>
    </row>
    <row r="5" spans="1:17">
      <c r="A5" s="459" t="s">
        <v>156</v>
      </c>
      <c r="B5" s="460">
        <f ca="1">tertiair!B16</f>
        <v>68400.597372056218</v>
      </c>
      <c r="C5" s="460">
        <f ca="1">tertiair!C16</f>
        <v>0</v>
      </c>
      <c r="D5" s="460">
        <f ca="1">tertiair!D16</f>
        <v>62852.084698773084</v>
      </c>
      <c r="E5" s="460">
        <f>tertiair!E16</f>
        <v>1299.1944577881334</v>
      </c>
      <c r="F5" s="460">
        <f ca="1">tertiair!F16</f>
        <v>12538.066766665985</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133.46666666666667</v>
      </c>
      <c r="Q5" s="459">
        <f t="shared" ref="Q5:Q14" ca="1" si="0">SUM(B5:P5)</f>
        <v>145223.40996195009</v>
      </c>
    </row>
    <row r="6" spans="1:17">
      <c r="A6" s="459" t="s">
        <v>194</v>
      </c>
      <c r="B6" s="460">
        <f>'openbare verlichting'!B8</f>
        <v>1388.5609999999999</v>
      </c>
      <c r="C6" s="460"/>
      <c r="D6" s="460"/>
      <c r="E6" s="460"/>
      <c r="F6" s="460"/>
      <c r="G6" s="460"/>
      <c r="H6" s="460"/>
      <c r="I6" s="460"/>
      <c r="J6" s="460"/>
      <c r="K6" s="460"/>
      <c r="L6" s="460"/>
      <c r="M6" s="460"/>
      <c r="N6" s="460"/>
      <c r="O6" s="460"/>
      <c r="P6" s="461"/>
      <c r="Q6" s="459">
        <f t="shared" si="0"/>
        <v>1388.5609999999999</v>
      </c>
    </row>
    <row r="7" spans="1:17">
      <c r="A7" s="459" t="s">
        <v>112</v>
      </c>
      <c r="B7" s="460">
        <f>landbouw!B8</f>
        <v>1447.5547885856549</v>
      </c>
      <c r="C7" s="460">
        <f>landbouw!C8</f>
        <v>19549.285714285714</v>
      </c>
      <c r="D7" s="460">
        <f>landbouw!D8</f>
        <v>1475.0844980726179</v>
      </c>
      <c r="E7" s="460">
        <f>landbouw!E8</f>
        <v>15.159107128901033</v>
      </c>
      <c r="F7" s="460">
        <f>landbouw!F8</f>
        <v>6196.6344031882254</v>
      </c>
      <c r="G7" s="460">
        <f>landbouw!G8</f>
        <v>0</v>
      </c>
      <c r="H7" s="460">
        <f>landbouw!H8</f>
        <v>0</v>
      </c>
      <c r="I7" s="460">
        <f>landbouw!I8</f>
        <v>0</v>
      </c>
      <c r="J7" s="460">
        <f>landbouw!J8</f>
        <v>129.27961727561231</v>
      </c>
      <c r="K7" s="460">
        <f>landbouw!K8</f>
        <v>0</v>
      </c>
      <c r="L7" s="460">
        <f>landbouw!L8</f>
        <v>0</v>
      </c>
      <c r="M7" s="460">
        <f>landbouw!M8</f>
        <v>0</v>
      </c>
      <c r="N7" s="460">
        <f>landbouw!N8</f>
        <v>0</v>
      </c>
      <c r="O7" s="460">
        <f>landbouw!O8</f>
        <v>0</v>
      </c>
      <c r="P7" s="461">
        <f>landbouw!P8</f>
        <v>0</v>
      </c>
      <c r="Q7" s="459">
        <f t="shared" si="0"/>
        <v>28812.998128536725</v>
      </c>
    </row>
    <row r="8" spans="1:17">
      <c r="A8" s="459" t="s">
        <v>655</v>
      </c>
      <c r="B8" s="460">
        <f>industrie!B18</f>
        <v>128382.36116887722</v>
      </c>
      <c r="C8" s="460">
        <f>industrie!C18</f>
        <v>0</v>
      </c>
      <c r="D8" s="460">
        <f>industrie!D18</f>
        <v>67358.239803378674</v>
      </c>
      <c r="E8" s="460">
        <f>industrie!E18</f>
        <v>1252.9493345559506</v>
      </c>
      <c r="F8" s="460">
        <f>industrie!F18</f>
        <v>31285.149464914324</v>
      </c>
      <c r="G8" s="460">
        <f>industrie!G18</f>
        <v>0</v>
      </c>
      <c r="H8" s="460">
        <f>industrie!H18</f>
        <v>0</v>
      </c>
      <c r="I8" s="460">
        <f>industrie!I18</f>
        <v>0</v>
      </c>
      <c r="J8" s="460">
        <f>industrie!J18</f>
        <v>1016.1612476827167</v>
      </c>
      <c r="K8" s="460">
        <f>industrie!K18</f>
        <v>0</v>
      </c>
      <c r="L8" s="460">
        <f>industrie!L18</f>
        <v>0</v>
      </c>
      <c r="M8" s="460">
        <f>industrie!M18</f>
        <v>0</v>
      </c>
      <c r="N8" s="460">
        <f>industrie!N18</f>
        <v>2724.9874961029909</v>
      </c>
      <c r="O8" s="460">
        <f>industrie!O18</f>
        <v>0</v>
      </c>
      <c r="P8" s="461">
        <f>industrie!P18</f>
        <v>0</v>
      </c>
      <c r="Q8" s="459">
        <f t="shared" si="0"/>
        <v>232019.84851551187</v>
      </c>
    </row>
    <row r="9" spans="1:17" s="465" customFormat="1">
      <c r="A9" s="463" t="s">
        <v>573</v>
      </c>
      <c r="B9" s="464">
        <f>transport!B14</f>
        <v>1.8436604257436469</v>
      </c>
      <c r="C9" s="464">
        <f>transport!C14</f>
        <v>0</v>
      </c>
      <c r="D9" s="464">
        <f>transport!D14</f>
        <v>8.9171376254460686</v>
      </c>
      <c r="E9" s="464">
        <f>transport!E14</f>
        <v>988.16763756562113</v>
      </c>
      <c r="F9" s="464">
        <f>transport!F14</f>
        <v>0</v>
      </c>
      <c r="G9" s="464">
        <f>transport!G14</f>
        <v>176174.26334131361</v>
      </c>
      <c r="H9" s="464">
        <f>transport!H14</f>
        <v>30320.476786392301</v>
      </c>
      <c r="I9" s="464">
        <f>transport!I14</f>
        <v>0</v>
      </c>
      <c r="J9" s="464">
        <f>transport!J14</f>
        <v>0</v>
      </c>
      <c r="K9" s="464">
        <f>transport!K14</f>
        <v>0</v>
      </c>
      <c r="L9" s="464">
        <f>transport!L14</f>
        <v>0</v>
      </c>
      <c r="M9" s="464">
        <f>transport!M14</f>
        <v>9010.3889093980088</v>
      </c>
      <c r="N9" s="464">
        <f>transport!N14</f>
        <v>0</v>
      </c>
      <c r="O9" s="464">
        <f>transport!O14</f>
        <v>0</v>
      </c>
      <c r="P9" s="464">
        <f>transport!P14</f>
        <v>0</v>
      </c>
      <c r="Q9" s="463">
        <f>SUM(B9:P9)</f>
        <v>216504.05747272071</v>
      </c>
    </row>
    <row r="10" spans="1:17">
      <c r="A10" s="459" t="s">
        <v>563</v>
      </c>
      <c r="B10" s="460">
        <f>transport!B54</f>
        <v>0</v>
      </c>
      <c r="C10" s="460">
        <f>transport!C54</f>
        <v>0</v>
      </c>
      <c r="D10" s="460">
        <f>transport!D54</f>
        <v>0</v>
      </c>
      <c r="E10" s="460">
        <f>transport!E54</f>
        <v>0</v>
      </c>
      <c r="F10" s="460">
        <f>transport!F54</f>
        <v>0</v>
      </c>
      <c r="G10" s="460">
        <f>transport!G54</f>
        <v>2520.79209423372</v>
      </c>
      <c r="H10" s="460">
        <f>transport!H54</f>
        <v>0</v>
      </c>
      <c r="I10" s="460">
        <f>transport!I54</f>
        <v>0</v>
      </c>
      <c r="J10" s="460">
        <f>transport!J54</f>
        <v>0</v>
      </c>
      <c r="K10" s="460">
        <f>transport!K54</f>
        <v>0</v>
      </c>
      <c r="L10" s="460">
        <f>transport!L54</f>
        <v>0</v>
      </c>
      <c r="M10" s="460">
        <f>transport!M54</f>
        <v>107.45041545500032</v>
      </c>
      <c r="N10" s="460">
        <f>transport!N54</f>
        <v>0</v>
      </c>
      <c r="O10" s="460">
        <f>transport!O54</f>
        <v>0</v>
      </c>
      <c r="P10" s="461">
        <f>transport!P54</f>
        <v>0</v>
      </c>
      <c r="Q10" s="459">
        <f t="shared" si="0"/>
        <v>2628.2425096887205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2404.8238223205199</v>
      </c>
      <c r="C14" s="467"/>
      <c r="D14" s="467">
        <f>'SEAP template'!E25</f>
        <v>6542.2971716701695</v>
      </c>
      <c r="E14" s="467"/>
      <c r="F14" s="467"/>
      <c r="G14" s="467"/>
      <c r="H14" s="467"/>
      <c r="I14" s="467"/>
      <c r="J14" s="467"/>
      <c r="K14" s="467"/>
      <c r="L14" s="467"/>
      <c r="M14" s="467"/>
      <c r="N14" s="467"/>
      <c r="O14" s="467"/>
      <c r="P14" s="468"/>
      <c r="Q14" s="459">
        <f t="shared" si="0"/>
        <v>8947.1209939906894</v>
      </c>
    </row>
    <row r="15" spans="1:17" s="472" customFormat="1">
      <c r="A15" s="469" t="s">
        <v>567</v>
      </c>
      <c r="B15" s="470">
        <f ca="1">SUM(B4:B14)</f>
        <v>246306.59860955697</v>
      </c>
      <c r="C15" s="470">
        <f t="shared" ref="C15:Q15" ca="1" si="1">SUM(C4:C14)</f>
        <v>19549.285714285714</v>
      </c>
      <c r="D15" s="470">
        <f t="shared" ca="1" si="1"/>
        <v>269276.82585857855</v>
      </c>
      <c r="E15" s="470">
        <f t="shared" si="1"/>
        <v>11614.970940432328</v>
      </c>
      <c r="F15" s="470">
        <f t="shared" ca="1" si="1"/>
        <v>60522.5005941774</v>
      </c>
      <c r="G15" s="470">
        <f t="shared" si="1"/>
        <v>178695.05543554731</v>
      </c>
      <c r="H15" s="470">
        <f t="shared" si="1"/>
        <v>30320.476786392301</v>
      </c>
      <c r="I15" s="470">
        <f t="shared" si="1"/>
        <v>0</v>
      </c>
      <c r="J15" s="470">
        <f t="shared" si="1"/>
        <v>1145.440864958329</v>
      </c>
      <c r="K15" s="470">
        <f t="shared" si="1"/>
        <v>0</v>
      </c>
      <c r="L15" s="470">
        <f t="shared" ca="1" si="1"/>
        <v>0</v>
      </c>
      <c r="M15" s="470">
        <f t="shared" si="1"/>
        <v>9117.8393248530083</v>
      </c>
      <c r="N15" s="470">
        <f t="shared" ca="1" si="1"/>
        <v>27787.354477283181</v>
      </c>
      <c r="O15" s="470">
        <f t="shared" si="1"/>
        <v>223.55666666666667</v>
      </c>
      <c r="P15" s="470">
        <f t="shared" si="1"/>
        <v>533.86666666666667</v>
      </c>
      <c r="Q15" s="470">
        <f t="shared" ca="1" si="1"/>
        <v>855093.77193939837</v>
      </c>
    </row>
    <row r="17" spans="1:17">
      <c r="A17" s="473" t="s">
        <v>568</v>
      </c>
      <c r="B17" s="777">
        <f ca="1">huishoudens!B10</f>
        <v>0.21594742585320056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9562.3370399493233</v>
      </c>
      <c r="C22" s="460">
        <f t="shared" ref="C22:C32" ca="1" si="3">C4*$C$17</f>
        <v>0</v>
      </c>
      <c r="D22" s="460">
        <f t="shared" ref="D22:D32" si="4">D4*$D$17</f>
        <v>26470.120914909825</v>
      </c>
      <c r="E22" s="460">
        <f t="shared" ref="E22:E32" si="5">E4*$E$17</f>
        <v>1829.5065915703747</v>
      </c>
      <c r="F22" s="460">
        <f t="shared" ref="F22:F32" si="6">F4*$F$17</f>
        <v>2804.2075391621688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40666.172085591694</v>
      </c>
    </row>
    <row r="23" spans="1:17">
      <c r="A23" s="459" t="s">
        <v>156</v>
      </c>
      <c r="B23" s="460">
        <f t="shared" ca="1" si="2"/>
        <v>14770.932929316736</v>
      </c>
      <c r="C23" s="460">
        <f t="shared" ca="1" si="3"/>
        <v>0</v>
      </c>
      <c r="D23" s="460">
        <f t="shared" ca="1" si="4"/>
        <v>12696.121109152164</v>
      </c>
      <c r="E23" s="460">
        <f t="shared" si="5"/>
        <v>294.91714191790629</v>
      </c>
      <c r="F23" s="460">
        <f t="shared" ca="1" si="6"/>
        <v>3347.6638266998179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31109.635007086625</v>
      </c>
    </row>
    <row r="24" spans="1:17">
      <c r="A24" s="459" t="s">
        <v>194</v>
      </c>
      <c r="B24" s="460">
        <f t="shared" ca="1" si="2"/>
        <v>299.856173590146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299.856173590146</v>
      </c>
    </row>
    <row r="25" spans="1:17">
      <c r="A25" s="459" t="s">
        <v>112</v>
      </c>
      <c r="B25" s="460">
        <f t="shared" ca="1" si="2"/>
        <v>312.59573037654616</v>
      </c>
      <c r="C25" s="460">
        <f t="shared" ca="1" si="3"/>
        <v>4645.8302521008409</v>
      </c>
      <c r="D25" s="460">
        <f t="shared" si="4"/>
        <v>297.96706861066883</v>
      </c>
      <c r="E25" s="460">
        <f t="shared" si="5"/>
        <v>3.4411173182605346</v>
      </c>
      <c r="F25" s="460">
        <f t="shared" si="6"/>
        <v>1654.5013856512562</v>
      </c>
      <c r="G25" s="460">
        <f t="shared" si="7"/>
        <v>0</v>
      </c>
      <c r="H25" s="460">
        <f t="shared" si="8"/>
        <v>0</v>
      </c>
      <c r="I25" s="460">
        <f t="shared" si="9"/>
        <v>0</v>
      </c>
      <c r="J25" s="460">
        <f t="shared" si="10"/>
        <v>45.764984515566752</v>
      </c>
      <c r="K25" s="460">
        <f t="shared" si="11"/>
        <v>0</v>
      </c>
      <c r="L25" s="460">
        <f t="shared" si="12"/>
        <v>0</v>
      </c>
      <c r="M25" s="460">
        <f t="shared" si="13"/>
        <v>0</v>
      </c>
      <c r="N25" s="460">
        <f t="shared" si="14"/>
        <v>0</v>
      </c>
      <c r="O25" s="460">
        <f t="shared" si="15"/>
        <v>0</v>
      </c>
      <c r="P25" s="461">
        <f t="shared" si="16"/>
        <v>0</v>
      </c>
      <c r="Q25" s="459">
        <f t="shared" ca="1" si="17"/>
        <v>6960.1005385731396</v>
      </c>
    </row>
    <row r="26" spans="1:17">
      <c r="A26" s="459" t="s">
        <v>655</v>
      </c>
      <c r="B26" s="460">
        <f t="shared" ca="1" si="2"/>
        <v>27723.84041937493</v>
      </c>
      <c r="C26" s="460">
        <f t="shared" ca="1" si="3"/>
        <v>0</v>
      </c>
      <c r="D26" s="460">
        <f t="shared" si="4"/>
        <v>13606.364440282494</v>
      </c>
      <c r="E26" s="460">
        <f t="shared" si="5"/>
        <v>284.41949894420077</v>
      </c>
      <c r="F26" s="460">
        <f t="shared" si="6"/>
        <v>8353.1349071321256</v>
      </c>
      <c r="G26" s="460">
        <f t="shared" si="7"/>
        <v>0</v>
      </c>
      <c r="H26" s="460">
        <f t="shared" si="8"/>
        <v>0</v>
      </c>
      <c r="I26" s="460">
        <f t="shared" si="9"/>
        <v>0</v>
      </c>
      <c r="J26" s="460">
        <f t="shared" si="10"/>
        <v>359.72108167968173</v>
      </c>
      <c r="K26" s="460">
        <f t="shared" si="11"/>
        <v>0</v>
      </c>
      <c r="L26" s="460">
        <f t="shared" si="12"/>
        <v>0</v>
      </c>
      <c r="M26" s="460">
        <f t="shared" si="13"/>
        <v>0</v>
      </c>
      <c r="N26" s="460">
        <f t="shared" si="14"/>
        <v>0</v>
      </c>
      <c r="O26" s="460">
        <f t="shared" si="15"/>
        <v>0</v>
      </c>
      <c r="P26" s="461">
        <f t="shared" si="16"/>
        <v>0</v>
      </c>
      <c r="Q26" s="459">
        <f t="shared" ca="1" si="17"/>
        <v>50327.480347413431</v>
      </c>
    </row>
    <row r="27" spans="1:17" s="465" customFormat="1">
      <c r="A27" s="463" t="s">
        <v>573</v>
      </c>
      <c r="B27" s="771">
        <f t="shared" ca="1" si="2"/>
        <v>0.39813372308675637</v>
      </c>
      <c r="C27" s="464">
        <f t="shared" ca="1" si="3"/>
        <v>0</v>
      </c>
      <c r="D27" s="464">
        <f t="shared" si="4"/>
        <v>1.801261800340106</v>
      </c>
      <c r="E27" s="464">
        <f t="shared" si="5"/>
        <v>224.31405372739601</v>
      </c>
      <c r="F27" s="464">
        <f t="shared" si="6"/>
        <v>0</v>
      </c>
      <c r="G27" s="464">
        <f t="shared" si="7"/>
        <v>47038.528312130737</v>
      </c>
      <c r="H27" s="464">
        <f t="shared" si="8"/>
        <v>7549.7987198116825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54814.840481193241</v>
      </c>
    </row>
    <row r="28" spans="1:17">
      <c r="A28" s="459" t="s">
        <v>563</v>
      </c>
      <c r="B28" s="460">
        <f t="shared" ca="1" si="2"/>
        <v>0</v>
      </c>
      <c r="C28" s="460">
        <f t="shared" ca="1" si="3"/>
        <v>0</v>
      </c>
      <c r="D28" s="460">
        <f t="shared" si="4"/>
        <v>0</v>
      </c>
      <c r="E28" s="460">
        <f t="shared" si="5"/>
        <v>0</v>
      </c>
      <c r="F28" s="460">
        <f t="shared" si="6"/>
        <v>0</v>
      </c>
      <c r="G28" s="460">
        <f t="shared" si="7"/>
        <v>673.05148916040332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673.05148916040332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519.31551406057088</v>
      </c>
      <c r="C32" s="460">
        <f t="shared" ca="1" si="3"/>
        <v>0</v>
      </c>
      <c r="D32" s="460">
        <f t="shared" si="4"/>
        <v>1321.5440286773744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1840.8595427379453</v>
      </c>
    </row>
    <row r="33" spans="1:17" s="472" customFormat="1">
      <c r="A33" s="469" t="s">
        <v>567</v>
      </c>
      <c r="B33" s="470">
        <f ca="1">SUM(B22:B32)</f>
        <v>53189.275940391344</v>
      </c>
      <c r="C33" s="470">
        <f t="shared" ref="C33:Q33" ca="1" si="19">SUM(C22:C32)</f>
        <v>4645.8302521008409</v>
      </c>
      <c r="D33" s="470">
        <f t="shared" ca="1" si="19"/>
        <v>54393.918823432869</v>
      </c>
      <c r="E33" s="470">
        <f t="shared" si="19"/>
        <v>2636.5984034781386</v>
      </c>
      <c r="F33" s="470">
        <f t="shared" ca="1" si="19"/>
        <v>16159.507658645369</v>
      </c>
      <c r="G33" s="470">
        <f t="shared" si="19"/>
        <v>47711.57980129114</v>
      </c>
      <c r="H33" s="470">
        <f t="shared" si="19"/>
        <v>7549.7987198116825</v>
      </c>
      <c r="I33" s="470">
        <f t="shared" si="19"/>
        <v>0</v>
      </c>
      <c r="J33" s="470">
        <f t="shared" si="19"/>
        <v>405.4860661952485</v>
      </c>
      <c r="K33" s="470">
        <f t="shared" si="19"/>
        <v>0</v>
      </c>
      <c r="L33" s="470">
        <f t="shared" ca="1" si="19"/>
        <v>0</v>
      </c>
      <c r="M33" s="470">
        <f t="shared" si="19"/>
        <v>0</v>
      </c>
      <c r="N33" s="470">
        <f t="shared" ca="1" si="19"/>
        <v>0</v>
      </c>
      <c r="O33" s="470">
        <f t="shared" si="19"/>
        <v>0</v>
      </c>
      <c r="P33" s="470">
        <f t="shared" si="19"/>
        <v>0</v>
      </c>
      <c r="Q33" s="470">
        <f t="shared" ca="1" si="19"/>
        <v>186691.99566534662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5320.9413067481273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13684.5</v>
      </c>
      <c r="D8" s="1028">
        <f>'SEAP template'!D76</f>
        <v>16099.411764705883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3252.0811764705886</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6661.9413067481273</v>
      </c>
      <c r="C10" s="1032">
        <f>SUM(C4:C9)</f>
        <v>13684.5</v>
      </c>
      <c r="D10" s="1032">
        <f t="shared" ref="D10:H10" si="0">SUM(D8:D9)</f>
        <v>16099.411764705883</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3252.0811764705886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0.21594742585320056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19549.285714285714</v>
      </c>
      <c r="D17" s="1029">
        <f>'SEAP template'!D87</f>
        <v>22999.159663865546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4645.8302521008409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19549.285714285714</v>
      </c>
      <c r="D20" s="1032">
        <f t="shared" ref="D20:H20" si="2">SUM(D17:D19)</f>
        <v>22999.159663865546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4645.8302521008409</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0.21594742585320056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2019-08-12T09:19:37Z</dcterms:modified>
</cp:coreProperties>
</file>