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O18"/>
  <c r="L20"/>
  <c r="O19"/>
  <c r="B10"/>
  <c r="I101"/>
  <c r="H8" s="1"/>
  <c r="H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D14" i="48" s="1"/>
  <c r="Q26" i="14"/>
  <c r="N26"/>
  <c r="I26"/>
  <c r="J22"/>
  <c r="D5" i="17"/>
  <c r="D8" i="55" l="1"/>
  <c r="E90" i="14"/>
  <c r="E18" i="55"/>
  <c r="L78" i="14"/>
  <c r="L8" i="55"/>
  <c r="O78" i="14"/>
  <c r="O9" i="55"/>
  <c r="O10" s="1"/>
  <c r="C77" i="14"/>
  <c r="C9" i="55" s="1"/>
  <c r="F9"/>
  <c r="N78" i="14"/>
  <c r="N9" i="55"/>
  <c r="E101" i="18"/>
  <c r="E8" s="1"/>
  <c r="G20" i="55"/>
  <c r="D101" i="18"/>
  <c r="J8" s="1"/>
  <c r="M87" i="14"/>
  <c r="P32" i="48"/>
  <c r="G101" i="18"/>
  <c r="K22" i="14"/>
  <c r="D22"/>
  <c r="L22"/>
  <c r="L20" i="55"/>
  <c r="P31" i="48"/>
  <c r="C101" i="18"/>
  <c r="N10" i="55"/>
  <c r="P22" i="14"/>
  <c r="M76"/>
  <c r="M8" i="55" s="1"/>
  <c r="M10" s="1"/>
  <c r="O20"/>
  <c r="L10"/>
  <c r="B14" i="48"/>
  <c r="Q14" s="1"/>
  <c r="F101" i="18"/>
  <c r="I8" s="1"/>
  <c r="G78" i="14"/>
  <c r="G9" i="55"/>
  <c r="G10" s="1"/>
  <c r="F90" i="14"/>
  <c r="F18" i="55"/>
  <c r="N90" i="14"/>
  <c r="N18" i="55"/>
  <c r="N20" s="1"/>
  <c r="F20"/>
  <c r="L90" i="14"/>
  <c r="E20" i="55"/>
  <c r="H101" i="18"/>
  <c r="H90" i="14"/>
  <c r="Q22"/>
  <c r="D10" i="55"/>
  <c r="K20"/>
  <c r="R9" i="14"/>
  <c r="H20" i="55"/>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P9" i="55" l="1"/>
  <c r="M90" i="14"/>
  <c r="M17" i="55"/>
  <c r="M20" s="1"/>
  <c r="E10" i="18"/>
  <c r="F76" i="14"/>
  <c r="O17" i="18"/>
  <c r="O20" s="1"/>
  <c r="M78" i="14"/>
  <c r="I10" i="18"/>
  <c r="I76" i="14"/>
  <c r="I8" i="55" s="1"/>
  <c r="I10" s="1"/>
  <c r="J20" i="18"/>
  <c r="J87" i="14"/>
  <c r="I20" i="18"/>
  <c r="I87" i="14"/>
  <c r="I17" i="55" s="1"/>
  <c r="I20" s="1"/>
  <c r="O8" i="18"/>
  <c r="O10" s="1"/>
  <c r="J10"/>
  <c r="J76" i="14"/>
  <c r="Q87"/>
  <c r="D90"/>
  <c r="Q90" l="1"/>
  <c r="B17" i="6" s="1"/>
  <c r="P17" i="55"/>
  <c r="P20" s="1"/>
  <c r="F8"/>
  <c r="F10" s="1"/>
  <c r="F78" i="14"/>
  <c r="Q76"/>
  <c r="J78"/>
  <c r="J8" i="55"/>
  <c r="J10" s="1"/>
  <c r="J90" i="14"/>
  <c r="J17" i="55"/>
  <c r="J20" s="1"/>
  <c r="I78" i="14"/>
  <c r="C76"/>
  <c r="B76"/>
  <c r="I90"/>
  <c r="B87"/>
  <c r="C87"/>
  <c r="H14" i="15"/>
  <c r="H16" s="1"/>
  <c r="G14"/>
  <c r="G16" s="1"/>
  <c r="C90" i="14" l="1"/>
  <c r="C17" i="55"/>
  <c r="C20" s="1"/>
  <c r="H5" i="48"/>
  <c r="I10" i="14"/>
  <c r="I16" s="1"/>
  <c r="G5" i="48"/>
  <c r="H10" i="14"/>
  <c r="H16" s="1"/>
  <c r="C78"/>
  <c r="C8" i="55"/>
  <c r="C10" s="1"/>
  <c r="B78" i="14"/>
  <c r="B4" i="6" s="1"/>
  <c r="B8" i="55"/>
  <c r="B10" s="1"/>
  <c r="P8"/>
  <c r="P10" s="1"/>
  <c r="Q78" i="14"/>
  <c r="B9" i="6"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N32"/>
  <c r="N28"/>
  <c r="N27"/>
  <c r="N29"/>
  <c r="N24"/>
  <c r="N31"/>
  <c r="N30"/>
  <c r="B7"/>
  <c r="C24" i="14"/>
  <c r="C26" s="1"/>
  <c r="E30" i="48"/>
  <c r="E24"/>
  <c r="E32"/>
  <c r="E29"/>
  <c r="E31"/>
  <c r="E28"/>
  <c r="M24"/>
  <c r="M32"/>
  <c r="M26"/>
  <c r="M30"/>
  <c r="M22"/>
  <c r="M29"/>
  <c r="M25"/>
  <c r="K5"/>
  <c r="L10" i="14"/>
  <c r="L16" s="1"/>
  <c r="L27" s="1"/>
  <c r="D24" i="48"/>
  <c r="D30"/>
  <c r="D28"/>
  <c r="D29"/>
  <c r="D31"/>
  <c r="D32"/>
  <c r="L28"/>
  <c r="L32"/>
  <c r="L24"/>
  <c r="L22"/>
  <c r="L30"/>
  <c r="L31"/>
  <c r="L27"/>
  <c r="L29"/>
  <c r="P5"/>
  <c r="P23" s="1"/>
  <c r="Q10" i="14"/>
  <c r="B4" i="48"/>
  <c r="C11" i="14"/>
  <c r="K30" i="48"/>
  <c r="K32"/>
  <c r="K29"/>
  <c r="K26"/>
  <c r="K24"/>
  <c r="K22"/>
  <c r="K27"/>
  <c r="K31"/>
  <c r="K25"/>
  <c r="K28"/>
  <c r="B10"/>
  <c r="C19" i="14"/>
  <c r="J10"/>
  <c r="J16" s="1"/>
  <c r="J27" s="1"/>
  <c r="I5" i="48"/>
  <c r="Q11" i="14"/>
  <c r="P4" i="48"/>
  <c r="O4"/>
  <c r="P11" i="14"/>
  <c r="H12" i="22"/>
  <c r="H13" i="48"/>
  <c r="H31" s="1"/>
  <c r="I18" i="14"/>
  <c r="E11"/>
  <c r="D4" i="48"/>
  <c r="D22" s="1"/>
  <c r="H30"/>
  <c r="H32"/>
  <c r="H28"/>
  <c r="H29"/>
  <c r="H25"/>
  <c r="H22"/>
  <c r="H26"/>
  <c r="H24"/>
  <c r="H23"/>
  <c r="C18" i="16"/>
  <c r="F32" i="48"/>
  <c r="F31"/>
  <c r="F30"/>
  <c r="F24"/>
  <c r="F28"/>
  <c r="F27"/>
  <c r="F29"/>
  <c r="J32"/>
  <c r="J24"/>
  <c r="J30"/>
  <c r="J28"/>
  <c r="J29"/>
  <c r="J27"/>
  <c r="J31"/>
  <c r="I27"/>
  <c r="I28"/>
  <c r="I32"/>
  <c r="I30"/>
  <c r="I24"/>
  <c r="I29"/>
  <c r="I22"/>
  <c r="I25"/>
  <c r="I31"/>
  <c r="I26"/>
  <c r="C4"/>
  <c r="D11" i="14"/>
  <c r="G30" i="48"/>
  <c r="G32"/>
  <c r="G25"/>
  <c r="G24"/>
  <c r="G22"/>
  <c r="G26"/>
  <c r="G29"/>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23" i="48" l="1"/>
  <c r="K33" s="1"/>
  <c r="K15"/>
  <c r="M23"/>
  <c r="P10" i="14"/>
  <c r="O5" i="48"/>
  <c r="O23" s="1"/>
  <c r="N18" i="14"/>
  <c r="M13" i="48"/>
  <c r="M31" s="1"/>
  <c r="I23"/>
  <c r="I33" s="1"/>
  <c r="I15"/>
  <c r="J63" i="14"/>
  <c r="Q16"/>
  <c r="Q27" s="1"/>
  <c r="F4" i="48"/>
  <c r="F22" s="1"/>
  <c r="G11" i="14"/>
  <c r="P22" i="16"/>
  <c r="Q43" i="14" s="1"/>
  <c r="Q13"/>
  <c r="P8" i="48"/>
  <c r="P26" s="1"/>
  <c r="D16" i="15"/>
  <c r="D5" i="48" s="1"/>
  <c r="H9"/>
  <c r="I20" i="14"/>
  <c r="I22" s="1"/>
  <c r="I27" s="1"/>
  <c r="P22" i="48"/>
  <c r="P33" s="1"/>
  <c r="G12" i="22"/>
  <c r="G13" i="48"/>
  <c r="H18" i="14"/>
  <c r="R18" s="1"/>
  <c r="O22" i="48"/>
  <c r="L46" i="14"/>
  <c r="L61" s="1"/>
  <c r="L63" s="1"/>
  <c r="I61"/>
  <c r="I52"/>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D9"/>
  <c r="D27" s="1"/>
  <c r="E20" i="14"/>
  <c r="E22" s="1"/>
  <c r="P13"/>
  <c r="O8" i="48"/>
  <c r="H27"/>
  <c r="H33" s="1"/>
  <c r="H15"/>
  <c r="N4"/>
  <c r="N22" s="1"/>
  <c r="O11" i="14"/>
  <c r="J4" i="48"/>
  <c r="J22" s="1"/>
  <c r="K11" i="14"/>
  <c r="G31" i="48"/>
  <c r="Q13"/>
  <c r="I63" i="14"/>
  <c r="P46"/>
  <c r="P61" s="1"/>
  <c r="P63" s="1"/>
  <c r="Q63"/>
  <c r="E10"/>
  <c r="D20" i="15"/>
  <c r="E40" i="14" s="1"/>
  <c r="G14" i="22"/>
  <c r="M10" i="48"/>
  <c r="M28" s="1"/>
  <c r="N19" i="14"/>
  <c r="E12" i="13"/>
  <c r="F41" i="14" s="1"/>
  <c r="E4" i="48"/>
  <c r="F11" i="14"/>
  <c r="H19"/>
  <c r="G10" i="48"/>
  <c r="P15"/>
  <c r="P16" i="14"/>
  <c r="P27"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G28" i="48" l="1"/>
  <c r="Q10"/>
  <c r="C22" i="14"/>
  <c r="G9" i="48"/>
  <c r="H20" i="14"/>
  <c r="H22" s="1"/>
  <c r="H27" s="1"/>
  <c r="H63" s="1"/>
  <c r="H52"/>
  <c r="H61" s="1"/>
  <c r="B15" i="48"/>
  <c r="M18" i="22"/>
  <c r="N50" i="14" s="1"/>
  <c r="N52" s="1"/>
  <c r="N61" s="1"/>
  <c r="N20"/>
  <c r="N22" s="1"/>
  <c r="N27" s="1"/>
  <c r="M9" i="48"/>
  <c r="R11" i="14"/>
  <c r="E22" i="48"/>
  <c r="Q4"/>
  <c r="O26"/>
  <c r="O33" s="1"/>
  <c r="O15"/>
  <c r="R19" i="14"/>
  <c r="J5" i="48"/>
  <c r="K10" i="14"/>
  <c r="E20" i="15"/>
  <c r="F40" i="14" s="1"/>
  <c r="E5" i="48"/>
  <c r="F10" i="14"/>
  <c r="L15" i="48"/>
  <c r="Q7"/>
  <c r="R24" i="14"/>
  <c r="R26" s="1"/>
  <c r="J18" i="16"/>
  <c r="N18"/>
  <c r="E18"/>
  <c r="F18"/>
  <c r="F22" s="1"/>
  <c r="G43" i="14" s="1"/>
  <c r="M27" i="48" l="1"/>
  <c r="M33" s="1"/>
  <c r="M15"/>
  <c r="R22" i="14"/>
  <c r="N63"/>
  <c r="G27" i="48"/>
  <c r="G33" s="1"/>
  <c r="G15"/>
  <c r="R20" i="14"/>
  <c r="Q9" i="48"/>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<sst xmlns="http://schemas.openxmlformats.org/spreadsheetml/2006/main" count="2577" uniqueCount="1003">
  <si>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</si>
  <si>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</si>
  <si>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</si>
  <si>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</si>
  <si>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</si>
  <si>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</si>
  <si>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</si>
  <si>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</si>
  <si>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</si>
  <si>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</si>
  <si>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</si>
  <si>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</si>
  <si>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</si>
  <si>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</si>
  <si>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</si>
  <si>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</si>
  <si>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</si>
  <si>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</si>
  <si>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</si>
  <si>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</si>
  <si>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</si>
  <si>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</si>
  <si>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</si>
  <si>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</si>
  <si>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</si>
  <si>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</si>
  <si>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</si>
  <si>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</si>
  <si>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</si>
  <si>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</si>
  <si>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</si>
  <si>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</si>
  <si>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</si>
  <si>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</si>
  <si>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</si>
  <si>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</si>
  <si>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</si>
  <si>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</si>
  <si>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</si>
  <si>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</si>
  <si>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</si>
  <si>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</si>
  <si>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</si>
  <si>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</si>
  <si>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</si>
  <si>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</si>
  <si>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</si>
  <si>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</si>
  <si>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</si>
  <si>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</si>
  <si>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</si>
  <si>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</si>
  <si>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</si>
  <si>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</si>
  <si>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</si>
  <si>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</si>
  <si>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</si>
  <si>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</si>
  <si>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</si>
  <si>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</si>
  <si>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</si>
  <si>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</si>
  <si>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</si>
  <si>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</si>
  <si>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</si>
  <si>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</si>
  <si>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</si>
  <si>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</si>
  <si>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</si>
  <si>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</si>
  <si>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</si>
  <si>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</si>
  <si>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</si>
  <si>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</si>
  <si>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</si>
  <si>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</si>
  <si>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</si>
  <si>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</si>
  <si>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</si>
  <si>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</si>
  <si>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</si>
  <si>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</si>
  <si>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</si>
  <si>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</si>
  <si>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</si>
  <si>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</si>
  <si>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</si>
  <si>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</si>
  <si>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</si>
  <si>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</si>
  <si>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</si>
  <si>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</si>
  <si>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</si>
  <si>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</si>
  <si>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</si>
  <si>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</si>
  <si>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</si>
  <si>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</si>
  <si>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</si>
  <si>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</si>
  <si>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</si>
  <si>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</si>
  <si>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</si>
  <si>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</si>
  <si>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</si>
  <si>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</si>
  <si>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</si>
  <si>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</si>
  <si>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</si>
  <si>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</si>
  <si>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</si>
  <si>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</si>
  <si>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</si>
  <si>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</si>
  <si>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</si>
  <si>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</si>
  <si>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</si>
  <si>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</si>
  <si>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</si>
  <si>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</si>
  <si>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</si>
  <si>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</si>
  <si>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</si>
  <si>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</si>
  <si>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</si>
  <si>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</si>
  <si>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</si>
  <si>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</si>
  <si>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</si>
  <si>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</si>
  <si>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</si>
  <si>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</si>
  <si>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</si>
  <si>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</si>
  <si>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</si>
  <si>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</si>
  <si>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</si>
  <si>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</si>
  <si>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</si>
  <si>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</si>
  <si>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</si>
  <si>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</si>
  <si>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</si>
  <si>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</si>
  <si>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</si>
  <si>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</si>
  <si>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</si>
  <si>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</si>
  <si>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</si>
  <si>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</si>
  <si>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</si>
  <si>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</si>
  <si>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</si>
  <si>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</si>
  <si>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</si>
  <si>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</si>
  <si>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</si>
  <si>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</si>
  <si>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</si>
  <si>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</si>
  <si>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</si>
  <si>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</si>
  <si>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</si>
  <si>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</si>
  <si>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</si>
  <si>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</si>
  <si>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</si>
  <si>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</si>
  <si>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</si>
  <si>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</si>
  <si>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</si>
  <si>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</si>
  <si>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</si>
  <si>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</si>
  <si>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</si>
  <si>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</si>
  <si>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</si>
  <si>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</si>
  <si>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</si>
  <si>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</si>
  <si>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</si>
  <si>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</si>
  <si>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</si>
  <si>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</si>
  <si>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</si>
  <si>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</si>
  <si>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</si>
  <si>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</si>
  <si>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</si>
  <si>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</si>
  <si>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</si>
  <si>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</si>
  <si>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</si>
  <si>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</si>
  <si>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</si>
  <si>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</si>
  <si>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</si>
  <si>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</si>
  <si>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</si>
  <si>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</si>
  <si>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</si>
  <si>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</si>
  <si>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</si>
  <si>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</si>
  <si>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</si>
  <si>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</si>
  <si>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</si>
  <si>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</si>
  <si>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</si>
  <si>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</si>
  <si>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</si>
  <si>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</si>
  <si>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</si>
  <si>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</si>
  <si>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</si>
  <si>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</si>
  <si>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</si>
  <si>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</si>
  <si>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</si>
  <si>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</si>
  <si>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</si>
  <si>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</si>
  <si>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</si>
  <si>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</si>
  <si>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</si>
  <si>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</si>
  <si>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</si>
  <si>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</si>
  <si>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</si>
  <si>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</si>
  <si>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</si>
  <si>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</si>
  <si>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</si>
  <si>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</si>
  <si>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</si>
  <si>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</si>
  <si>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</si>
  <si>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</si>
  <si>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</si>
  <si>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</si>
  <si>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</si>
  <si>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</si>
  <si>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</si>
  <si>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</si>
  <si>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</si>
  <si>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</si>
  <si>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</si>
  <si>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</si>
  <si>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</si>
  <si>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</si>
  <si>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</si>
  <si>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</si>
  <si>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</si>
  <si>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</si>
  <si>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</si>
  <si>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</si>
  <si>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</si>
  <si>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</si>
  <si>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</si>
  <si>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</si>
  <si>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</si>
  <si>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</si>
  <si>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</si>
  <si>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</si>
  <si>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</si>
  <si>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</si>
  <si>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</si>
  <si>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</si>
  <si>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</si>
  <si>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</si>
  <si>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</si>
  <si>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</si>
  <si>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</si>
  <si>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</si>
  <si>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</si>
  <si>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</si>
  <si>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</si>
  <si>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</si>
  <si>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</si>
  <si>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</si>
  <si>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</si>
  <si>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</si>
  <si>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</si>
  <si>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</si>
  <si>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</si>
  <si>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</si>
  <si>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</si>
  <si>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</si>
  <si>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</si>
  <si>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</si>
  <si>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</si>
  <si>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</si>
  <si>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</si>
  <si>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</si>
  <si>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</si>
  <si>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</si>
  <si>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</si>
  <si>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</si>
  <si>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</si>
  <si>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</si>
  <si>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</si>
  <si>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</si>
  <si>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</si>
  <si>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</si>
  <si>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</si>
  <si>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</si>
  <si>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</si>
  <si>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</si>
  <si>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</si>
  <si>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</si>
  <si>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</si>
  <si>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</si>
  <si>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</si>
  <si>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</si>
  <si>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</si>
  <si>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</si>
  <si>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</si>
  <si>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</si>
  <si>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</si>
  <si>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</si>
  <si>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</si>
  <si>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</si>
  <si>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</si>
  <si>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</si>
  <si>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</si>
  <si>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</si>
  <si>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</si>
  <si>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</si>
  <si>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</si>
  <si>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</si>
  <si>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</si>
  <si>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</si>
  <si>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</si>
  <si>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</si>
  <si>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</si>
  <si>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</si>
  <si>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</si>
  <si>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</si>
  <si>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</si>
  <si>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</si>
  <si>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</si>
  <si>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</si>
  <si>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</si>
  <si>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</si>
  <si>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</si>
  <si>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</si>
  <si>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</si>
  <si>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</si>
  <si>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</si>
  <si>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</si>
  <si>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</si>
  <si>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</si>
  <si>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</si>
  <si>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</si>
  <si>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</si>
  <si>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</si>
  <si>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</si>
  <si>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</si>
  <si>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</si>
  <si>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</si>
  <si>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</si>
  <si>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</si>
  <si>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</si>
  <si>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</si>
  <si>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</si>
  <si>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</si>
  <si>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</si>
  <si>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</si>
  <si>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</si>
  <si>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</si>
  <si>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</si>
  <si>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</si>
  <si>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</si>
  <si>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</si>
  <si>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</si>
  <si>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</si>
  <si>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</si>
  <si>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</si>
  <si>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</si>
  <si>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</si>
  <si>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</si>
  <si>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</si>
  <si>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</si>
  <si>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</si>
  <si>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</si>
  <si>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</si>
  <si>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</si>
  <si>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</si>
  <si>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</si>
  <si>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</si>
  <si>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</si>
  <si>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</si>
  <si>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</si>
  <si>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</si>
  <si>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</si>
  <si>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</si>
  <si>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</si>
  <si>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</si>
  <si>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</si>
  <si>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</si>
  <si>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</si>
  <si>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</si>
  <si>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</si>
  <si>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</si>
  <si>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</si>
  <si>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</si>
  <si>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</si>
  <si>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</si>
  <si>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</si>
  <si>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</si>
  <si>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</si>
  <si>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</si>
  <si>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</si>
  <si>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</si>
  <si>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</si>
  <si>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</si>
  <si>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</si>
  <si>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</si>
  <si>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</si>
  <si>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</si>
  <si>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</si>
  <si>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</si>
  <si>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</si>
  <si>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</si>
  <si>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</si>
  <si>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</si>
  <si>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</si>
  <si>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</si>
  <si>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</si>
  <si>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</si>
  <si>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</si>
  <si>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</si>
  <si>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</si>
  <si>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</si>
  <si>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</si>
  <si>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</si>
  <si>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</si>
  <si>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</si>
  <si>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</si>
  <si>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</si>
  <si>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</si>
  <si>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</si>
  <si>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</si>
  <si>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</si>
  <si>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</si>
  <si>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</si>
  <si>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</si>
  <si>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</si>
  <si>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</si>
  <si>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</si>
  <si>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</si>
  <si>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</si>
  <si>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</si>
  <si>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</si>
  <si>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</si>
  <si>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</si>
  <si>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</si>
  <si>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</si>
  <si>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</si>
  <si>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</si>
  <si>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</si>
  <si>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</si>
  <si>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</si>
  <si>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</si>
  <si>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</si>
  <si>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</si>
  <si>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</si>
  <si>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</si>
  <si>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</si>
  <si>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</si>
  <si>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</si>
  <si>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</si>
  <si>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</si>
  <si>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</si>
  <si>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</si>
  <si>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</si>
  <si>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</si>
  <si>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</si>
  <si>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</si>
  <si>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</si>
  <si>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</si>
  <si>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</si>
  <si>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</si>
  <si>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</si>
  <si>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</si>
  <si>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</si>
  <si>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</si>
  <si>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</si>
  <si>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</si>
  <si>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</si>
  <si>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</si>
  <si>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</si>
  <si>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</si>
  <si>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</si>
  <si>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</si>
  <si>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</si>
  <si>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</si>
  <si>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</si>
  <si>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</si>
  <si>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</si>
  <si>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</si>
  <si>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</si>
  <si>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</si>
  <si>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</si>
  <si>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</si>
  <si>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</si>
  <si>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</si>
  <si>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</si>
  <si>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</si>
  <si>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</si>
  <si>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</si>
  <si>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</si>
  <si>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</si>
  <si>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</si>
  <si>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</si>
  <si>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</si>
  <si>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</si>
  <si>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</si>
  <si>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</si>
  <si>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</si>
  <si>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</si>
  <si>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</si>
  <si>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</si>
  <si>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</si>
  <si>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</si>
  <si>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</si>
  <si>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</si>
  <si>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</si>
  <si>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</si>
  <si>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</si>
  <si>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</si>
  <si>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</si>
  <si>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</si>
  <si>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</si>
  <si>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</si>
  <si>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</si>
  <si>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</si>
  <si>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</si>
  <si>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</si>
  <si>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</si>
  <si>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</si>
  <si>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</si>
  <si>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</si>
  <si>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</si>
  <si>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</si>
  <si>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</si>
  <si>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</si>
  <si>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</si>
  <si>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</si>
  <si>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</si>
  <si>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</si>
  <si>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</si>
  <si>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</si>
  <si>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</si>
  <si>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</si>
  <si>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</si>
  <si>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</si>
  <si>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</si>
  <si>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</si>
  <si>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</si>
  <si>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</si>
  <si>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</si>
  <si>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</si>
  <si>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</si>
  <si>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</si>
  <si>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</si>
  <si>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</si>
  <si>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</si>
  <si>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</si>
  <si>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</si>
  <si>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</si>
  <si>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</si>
  <si>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</si>
  <si>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</si>
  <si>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</si>
  <si>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</si>
  <si>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</si>
  <si>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</si>
  <si>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</si>
  <si>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</si>
  <si>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</si>
  <si>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</si>
  <si>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</si>
  <si>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</si>
  <si>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</si>
  <si>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</si>
  <si>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</si>
  <si>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</si>
  <si>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</si>
  <si>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</si>
  <si>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</si>
  <si>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</si>
  <si>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</si>
  <si>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</si>
  <si>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</si>
  <si>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</si>
  <si>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</si>
  <si>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</si>
  <si>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</si>
  <si>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</si>
  <si>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</si>
  <si>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</si>
  <si>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</si>
  <si>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</si>
  <si>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</si>
  <si>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</si>
  <si>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</si>
  <si>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</si>
  <si>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</si>
  <si>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</si>
  <si>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</si>
  <si>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</si>
  <si>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</si>
  <si>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</si>
  <si>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</si>
  <si>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</si>
  <si>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</si>
  <si>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</si>
  <si>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</si>
  <si>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</si>
  <si>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</si>
  <si>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</si>
  <si>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</si>
  <si>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</si>
  <si>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</si>
  <si>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</si>
  <si>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</si>
  <si>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</si>
  <si>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</si>
  <si>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</si>
  <si>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</si>
  <si>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</si>
  <si>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</si>
  <si>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</si>
  <si>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</si>
  <si>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</si>
  <si>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</si>
  <si>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</si>
  <si>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</si>
  <si>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</si>
  <si>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</si>
  <si>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</si>
  <si>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</si>
  <si>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</si>
  <si>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</si>
  <si>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</si>
  <si>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</si>
  <si>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</si>
  <si>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</si>
  <si>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</si>
  <si>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</si>
  <si>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</si>
  <si>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</si>
  <si>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</si>
  <si>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</si>
  <si>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</si>
  <si>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</si>
  <si>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</si>
  <si>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</si>
  <si>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</si>
  <si>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</si>
  <si>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</si>
  <si>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</si>
  <si>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</si>
  <si>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</si>
  <si>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</si>
  <si>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</si>
  <si>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</si>
  <si>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</si>
  <si>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</si>
  <si>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</si>
  <si>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</si>
  <si>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</si>
  <si>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</si>
  <si>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</si>
  <si>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</si>
  <si>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</si>
  <si>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</si>
  <si>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</si>
  <si>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</si>
  <si>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</si>
  <si>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</si>
  <si>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</si>
  <si>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</si>
  <si>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</si>
  <si>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</si>
  <si>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</si>
  <si>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</si>
  <si>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</si>
  <si>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</si>
  <si>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</si>
  <si>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</si>
  <si>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</si>
  <si>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</si>
  <si>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</si>
  <si>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</si>
  <si>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</si>
  <si>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</si>
  <si>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</si>
  <si>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</si>
  <si>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</si>
  <si>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</si>
  <si>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</si>
  <si>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</si>
  <si>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</si>
  <si>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</si>
  <si>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</si>
  <si>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</si>
  <si>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</si>
  <si>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</si>
  <si>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</si>
  <si>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</si>
  <si>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</si>
  <si>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</si>
  <si>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</si>
  <si>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</si>
  <si>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</si>
  <si>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</si>
  <si>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</si>
  <si>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</si>
  <si>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</si>
  <si>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</si>
  <si>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</si>
  <si>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</si>
  <si>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</si>
  <si>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</si>
  <si>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</si>
  <si>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</si>
  <si>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</si>
  <si>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</si>
  <si>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</si>
  <si>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</si>
  <si>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</si>
  <si>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</si>
  <si>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</si>
  <si>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</si>
  <si>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</si>
  <si>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</si>
  <si>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</si>
  <si>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</si>
  <si>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</si>
  <si>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</si>
  <si>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</si>
  <si>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</si>
  <si>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</si>
  <si>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</si>
  <si>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</si>
  <si>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</si>
  <si>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</si>
  <si>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</si>
  <si>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</si>
  <si>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</si>
  <si>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</si>
  <si>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</si>
  <si>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</si>
  <si>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</si>
  <si>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</si>
  <si>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</si>
  <si>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</si>
  <si>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</si>
  <si>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</si>
  <si>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</si>
  <si>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</si>
  <si>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</si>
  <si>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</si>
  <si>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</si>
  <si>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</si>
  <si>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</si>
  <si>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</si>
  <si>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</si>
  <si>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</si>
  <si>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</si>
  <si>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</si>
  <si>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</si>
  <si>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</si>
  <si>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</si>
  <si>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</si>
  <si>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</si>
  <si>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</si>
  <si>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</si>
  <si>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</si>
  <si>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</si>
  <si>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</si>
  <si>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</si>
  <si>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</si>
  <si>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</si>
  <si>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</si>
  <si>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</si>
  <si>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</si>
  <si>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</si>
  <si>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</si>
  <si>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</si>
  <si>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</si>
  <si>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</si>
  <si>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</si>
  <si>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</si>
  <si>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</si>
  <si>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</si>
  <si>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</si>
  <si>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</si>
  <si>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</si>
  <si>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</si>
  <si>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</si>
  <si>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</si>
  <si>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</si>
  <si>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</si>
  <si>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</si>
  <si>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</si>
  <si>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</si>
  <si>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</si>
  <si>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</si>
  <si>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</si>
  <si>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</si>
  <si>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</si>
  <si>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</si>
  <si>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</si>
  <si>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</si>
  <si>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</si>
  <si>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</si>
  <si>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</si>
  <si>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</si>
  <si>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</si>
  <si>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</si>
  <si>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</si>
  <si>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</si>
  <si>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</si>
  <si>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</si>
  <si>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</si>
  <si>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</si>
  <si>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</si>
  <si>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</si>
  <si>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</si>
  <si>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</si>
  <si>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</si>
  <si>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</si>
  <si>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</si>
  <si>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</si>
  <si>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</si>
  <si>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</si>
  <si>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</si>
  <si>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</si>
  <si>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</si>
  <si>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</si>
  <si>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</si>
  <si>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</si>
  <si>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</si>
  <si>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</si>
  <si>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</si>
  <si>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</si>
  <si>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</si>
  <si>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</si>
  <si>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</si>
  <si>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</si>
  <si>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</si>
  <si>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</si>
  <si>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</si>
  <si>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</si>
  <si>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</si>
  <si>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</si>
  <si>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</si>
  <si>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</si>
  <si>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</si>
  <si>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</si>
  <si>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</si>
  <si>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</si>
  <si>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</si>
  <si>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</si>
  <si>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</si>
  <si>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</si>
  <si>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</si>
  <si>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</si>
  <si>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</si>
  <si>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</si>
  <si>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</si>
  <si>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</si>
  <si>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</si>
  <si>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</si>
  <si>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</si>
  <si>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</si>
  <si>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</si>
  <si>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</si>
  <si>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</si>
  <si>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</si>
  <si>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</si>
  <si>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</si>
  <si>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</si>
  <si>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</si>
  <si>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</si>
  <si>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</si>
  <si>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</si>
  <si>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</si>
  <si>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</si>
  <si>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</si>
  <si>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</si>
  <si>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</si>
  <si>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</si>
  <si>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</si>
  <si>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</si>
  <si>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</si>
  <si>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</si>
  <si>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</si>
  <si>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</si>
  <si>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</si>
  <si>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</si>
  <si>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</si>
  <si>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</si>
  <si>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</si>
  <si>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</si>
  <si>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</si>
  <si>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</si>
  <si>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</si>
  <si>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</si>
  <si>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</si>
  <si>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</si>
  <si>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</si>
  <si>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</si>
  <si>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</si>
  <si>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</si>
  <si>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</si>
  <si>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</si>
  <si>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</si>
  <si>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</si>
  <si>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</si>
  <si>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</si>
  <si>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</si>
  <si>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</si>
  <si>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</si>
  <si>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</si>
  <si>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</si>
  <si>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</si>
  <si>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</si>
  <si>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</si>
  <si>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</si>
  <si>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</si>
  <si>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</si>
  <si>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</si>
  <si>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</si>
  <si>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</si>
  <si>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</si>
  <si>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</si>
  <si>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</si>
  <si>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</si>
  <si>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</si>
  <si>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</si>
  <si>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</si>
  <si>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</si>
  <si>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</si>
  <si>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</si>
  <si>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</si>
  <si>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</si>
  <si>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</si>
  <si>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</si>
  <si>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</si>
  <si>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</si>
  <si>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</si>
  <si>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</si>
  <si>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12021</t>
  </si>
  <si>
    <t>LIER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</si>
  <si>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</si>
  <si>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</si>
  <si>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</si>
  <si>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</si>
  <si>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</si>
  <si>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</si>
  <si>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</si>
  <si>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Vanlommel-Vanreusel</t>
  </si>
  <si>
    <t>Heistraat 31 A , 2500 Lier</t>
  </si>
  <si>
    <t>WKK-0193 Vanlommel-Vanreusel</t>
  </si>
  <si>
    <t>interne verbrandingsmotor</t>
  </si>
  <si>
    <t>WKK interne verbrandinsgmotor (gas)</t>
  </si>
  <si>
    <t>Heirstraat 31 b1 , 2500 Lier</t>
  </si>
  <si>
    <t>IVEKA</t>
  </si>
  <si>
    <t>Costermans Marc</t>
  </si>
  <si>
    <t>Beekstraat 104, 2500 Koningshooikt</t>
  </si>
  <si>
    <t>WKK-0100 Costermans Marc</t>
  </si>
  <si>
    <t>Anne Mortelmans</t>
  </si>
  <si>
    <t>Maaikeneveld 47 , 2500 Lier</t>
  </si>
  <si>
    <t>WKK-0351 Anne Mortelmans</t>
  </si>
  <si>
    <t>Fikoplant en Konaplant</t>
  </si>
  <si>
    <t>Tallaart 58 , 2500 Koningshooikt</t>
  </si>
  <si>
    <t>WKK-0201 Fikoplant en Konaplant</t>
  </si>
  <si>
    <t>Tallaart 46 , 2500 Koningshooikt</t>
  </si>
  <si>
    <t>De Becker Elektrogroep</t>
  </si>
  <si>
    <t>Z.4 Broekooi 300, 1730 Asse</t>
  </si>
  <si>
    <t>WKK-0157 Alex Baelus</t>
  </si>
  <si>
    <t>WKK interne verbrandinsgmotor (vloeibaar)</t>
  </si>
  <si>
    <t>Bremstraat 35, 2500 Lier</t>
  </si>
  <si>
    <t>Groeikracht Hooikt NV</t>
  </si>
  <si>
    <t>Haagstraat 5a , 2500 Koningshooikt</t>
  </si>
  <si>
    <t>WKK-0204 Groeikracht Hooikt</t>
  </si>
  <si>
    <t>Danny Dens</t>
  </si>
  <si>
    <t>Beekstraat 114 , 2500 Koningshooikt</t>
  </si>
  <si>
    <t>WKK-0199 Danny Dens</t>
  </si>
  <si>
    <t>Marc Pittoors</t>
  </si>
  <si>
    <t>Donderheide 35, 2500 Koningshooikt</t>
  </si>
  <si>
    <t>WKK-0055 Marc Pittoors</t>
  </si>
  <si>
    <t>IVAREM</t>
  </si>
  <si>
    <t>Schoutestraat 2, 2800 Mechelen</t>
  </si>
  <si>
    <t>BGS-0009 IVAREM</t>
  </si>
  <si>
    <t>biogas - stortgas</t>
  </si>
  <si>
    <t>niet WKK interne verbrandingsmotor (gas)</t>
  </si>
  <si>
    <t>Maaikeneveld 47, 2500 Lier</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</si>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</sst>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12021</v>
      </c>
      <c r="B6" s="396"/>
      <c r="C6" s="397"/>
    </row>
    <row r="7" spans="1:7" s="394" customFormat="1" ht="15.75" customHeight="1">
      <c r="A7" s="398" t="str">
        <f>txtMunicipality</f>
        <v>LIER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0.19232812465765503</v>
      </c>
      <c r="C17" s="509">
        <f ca="1">'EF ele_warmte'!B22</f>
        <v>0.184730679696442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0.19232812465765503</v>
      </c>
      <c r="C29" s="510">
        <f ca="1">'EF ele_warmte'!B22</f>
        <v>0.184730679696442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12021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14965</v>
      </c>
      <c r="C9" s="336">
        <v>15752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1954</v>
      </c>
    </row>
    <row r="15" spans="1:6">
      <c r="A15" s="1277" t="s">
        <v>184</v>
      </c>
      <c r="B15" s="333">
        <v>574</v>
      </c>
    </row>
    <row r="16" spans="1:6">
      <c r="A16" s="1277" t="s">
        <v>6</v>
      </c>
      <c r="B16" s="333">
        <v>637</v>
      </c>
    </row>
    <row r="17" spans="1:6">
      <c r="A17" s="1277" t="s">
        <v>7</v>
      </c>
      <c r="B17" s="333">
        <v>413</v>
      </c>
    </row>
    <row r="18" spans="1:6">
      <c r="A18" s="1277" t="s">
        <v>8</v>
      </c>
      <c r="B18" s="333">
        <v>764</v>
      </c>
    </row>
    <row r="19" spans="1:6">
      <c r="A19" s="1277" t="s">
        <v>9</v>
      </c>
      <c r="B19" s="333">
        <v>1159</v>
      </c>
    </row>
    <row r="20" spans="1:6">
      <c r="A20" s="1277" t="s">
        <v>10</v>
      </c>
      <c r="B20" s="333">
        <v>485</v>
      </c>
    </row>
    <row r="21" spans="1:6">
      <c r="A21" s="1277" t="s">
        <v>11</v>
      </c>
      <c r="B21" s="333">
        <v>99</v>
      </c>
    </row>
    <row r="22" spans="1:6">
      <c r="A22" s="1277" t="s">
        <v>12</v>
      </c>
      <c r="B22" s="333">
        <v>351</v>
      </c>
    </row>
    <row r="23" spans="1:6">
      <c r="A23" s="1277" t="s">
        <v>13</v>
      </c>
      <c r="B23" s="333">
        <v>0</v>
      </c>
    </row>
    <row r="24" spans="1:6">
      <c r="A24" s="1277" t="s">
        <v>14</v>
      </c>
      <c r="B24" s="333">
        <v>1</v>
      </c>
    </row>
    <row r="25" spans="1:6">
      <c r="A25" s="1277" t="s">
        <v>15</v>
      </c>
      <c r="B25" s="333">
        <v>51</v>
      </c>
    </row>
    <row r="26" spans="1:6">
      <c r="A26" s="1277" t="s">
        <v>16</v>
      </c>
      <c r="B26" s="333">
        <v>377</v>
      </c>
    </row>
    <row r="27" spans="1:6">
      <c r="A27" s="1277" t="s">
        <v>17</v>
      </c>
      <c r="B27" s="333">
        <v>21</v>
      </c>
    </row>
    <row r="28" spans="1:6">
      <c r="A28" s="1277" t="s">
        <v>18</v>
      </c>
      <c r="B28" s="333">
        <v>116</v>
      </c>
    </row>
    <row r="29" spans="1:6">
      <c r="A29" s="1277" t="s">
        <v>959</v>
      </c>
      <c r="B29" s="333">
        <v>341</v>
      </c>
    </row>
    <row r="30" spans="1:6">
      <c r="A30" s="1273" t="s">
        <v>960</v>
      </c>
      <c r="B30" s="1273">
        <v>93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7</v>
      </c>
      <c r="F36" s="333">
        <v>40183</v>
      </c>
    </row>
    <row r="37" spans="1:6">
      <c r="A37" s="1277" t="s">
        <v>25</v>
      </c>
      <c r="B37" s="1277" t="s">
        <v>28</v>
      </c>
      <c r="C37" s="333">
        <v>0</v>
      </c>
      <c r="D37" s="333">
        <v>0</v>
      </c>
      <c r="E37" s="333">
        <v>0</v>
      </c>
      <c r="F37" s="333">
        <v>0</v>
      </c>
    </row>
    <row r="38" spans="1:6">
      <c r="A38" s="1277" t="s">
        <v>25</v>
      </c>
      <c r="B38" s="1277" t="s">
        <v>29</v>
      </c>
      <c r="C38" s="333">
        <v>2</v>
      </c>
      <c r="D38" s="333">
        <v>35465801.947512798</v>
      </c>
      <c r="E38" s="333">
        <v>5</v>
      </c>
      <c r="F38" s="333">
        <v>131367.02143175399</v>
      </c>
    </row>
    <row r="39" spans="1:6">
      <c r="A39" s="1277" t="s">
        <v>30</v>
      </c>
      <c r="B39" s="1277" t="s">
        <v>31</v>
      </c>
      <c r="C39" s="333">
        <v>11753</v>
      </c>
      <c r="D39" s="333">
        <v>181271225.28691</v>
      </c>
      <c r="E39" s="333">
        <v>15070</v>
      </c>
      <c r="F39" s="333">
        <v>60563320.581494398</v>
      </c>
    </row>
    <row r="40" spans="1:6">
      <c r="A40" s="1277" t="s">
        <v>30</v>
      </c>
      <c r="B40" s="1277" t="s">
        <v>29</v>
      </c>
      <c r="C40" s="333">
        <v>0</v>
      </c>
      <c r="D40" s="333">
        <v>0</v>
      </c>
      <c r="E40" s="333">
        <v>0</v>
      </c>
      <c r="F40" s="333">
        <v>0</v>
      </c>
    </row>
    <row r="41" spans="1:6">
      <c r="A41" s="1277" t="s">
        <v>32</v>
      </c>
      <c r="B41" s="1277" t="s">
        <v>33</v>
      </c>
      <c r="C41" s="333">
        <v>74</v>
      </c>
      <c r="D41" s="333">
        <v>2000985.1465010501</v>
      </c>
      <c r="E41" s="333">
        <v>176</v>
      </c>
      <c r="F41" s="333">
        <v>2181513.7701541898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9</v>
      </c>
      <c r="D44" s="333">
        <v>543090.38121816202</v>
      </c>
      <c r="E44" s="333">
        <v>25</v>
      </c>
      <c r="F44" s="333">
        <v>25404402.057752699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150265.598983731</v>
      </c>
      <c r="E47" s="333">
        <v>14</v>
      </c>
      <c r="F47" s="333">
        <v>6651000.7907551397</v>
      </c>
    </row>
    <row r="48" spans="1:6">
      <c r="A48" s="1277" t="s">
        <v>32</v>
      </c>
      <c r="B48" s="1277" t="s">
        <v>29</v>
      </c>
      <c r="C48" s="333">
        <v>33</v>
      </c>
      <c r="D48" s="333">
        <v>41269293.714464702</v>
      </c>
      <c r="E48" s="333">
        <v>40</v>
      </c>
      <c r="F48" s="333">
        <v>21220160.742583901</v>
      </c>
    </row>
    <row r="49" spans="1:6">
      <c r="A49" s="1277" t="s">
        <v>32</v>
      </c>
      <c r="B49" s="1277" t="s">
        <v>40</v>
      </c>
      <c r="C49" s="333">
        <v>0</v>
      </c>
      <c r="D49" s="333">
        <v>0</v>
      </c>
      <c r="E49" s="333">
        <v>0</v>
      </c>
      <c r="F49" s="333">
        <v>0</v>
      </c>
    </row>
    <row r="50" spans="1:6">
      <c r="A50" s="1277" t="s">
        <v>32</v>
      </c>
      <c r="B50" s="1277" t="s">
        <v>41</v>
      </c>
      <c r="C50" s="333">
        <v>21</v>
      </c>
      <c r="D50" s="333">
        <v>1465732.5682630001</v>
      </c>
      <c r="E50" s="333">
        <v>28</v>
      </c>
      <c r="F50" s="333">
        <v>969555.29928880394</v>
      </c>
    </row>
    <row r="51" spans="1:6">
      <c r="A51" s="1277" t="s">
        <v>42</v>
      </c>
      <c r="B51" s="1277" t="s">
        <v>43</v>
      </c>
      <c r="C51" s="333">
        <v>26</v>
      </c>
      <c r="D51" s="333">
        <v>171951982.590554</v>
      </c>
      <c r="E51" s="333">
        <v>112</v>
      </c>
      <c r="F51" s="333">
        <v>3667970.3415495302</v>
      </c>
    </row>
    <row r="52" spans="1:6">
      <c r="A52" s="1277" t="s">
        <v>42</v>
      </c>
      <c r="B52" s="1277" t="s">
        <v>29</v>
      </c>
      <c r="C52" s="333">
        <v>3</v>
      </c>
      <c r="D52" s="333">
        <v>304086.41967358498</v>
      </c>
      <c r="E52" s="333">
        <v>7</v>
      </c>
      <c r="F52" s="333">
        <v>155483.31412016301</v>
      </c>
    </row>
    <row r="53" spans="1:6">
      <c r="A53" s="1277" t="s">
        <v>44</v>
      </c>
      <c r="B53" s="1277" t="s">
        <v>45</v>
      </c>
      <c r="C53" s="333">
        <v>456</v>
      </c>
      <c r="D53" s="333">
        <v>8126160.72664956</v>
      </c>
      <c r="E53" s="333">
        <v>722</v>
      </c>
      <c r="F53" s="333">
        <v>3477398.0982152298</v>
      </c>
    </row>
    <row r="54" spans="1:6">
      <c r="A54" s="1277" t="s">
        <v>46</v>
      </c>
      <c r="B54" s="1277" t="s">
        <v>47</v>
      </c>
      <c r="C54" s="333">
        <v>0</v>
      </c>
      <c r="D54" s="333">
        <v>0</v>
      </c>
      <c r="E54" s="333">
        <v>2</v>
      </c>
      <c r="F54" s="333">
        <v>2383442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90</v>
      </c>
      <c r="D57" s="333">
        <v>4736524.50737793</v>
      </c>
      <c r="E57" s="333">
        <v>166</v>
      </c>
      <c r="F57" s="333">
        <v>6733452.8694944996</v>
      </c>
    </row>
    <row r="58" spans="1:6">
      <c r="A58" s="1277" t="s">
        <v>49</v>
      </c>
      <c r="B58" s="1277" t="s">
        <v>51</v>
      </c>
      <c r="C58" s="333">
        <v>77</v>
      </c>
      <c r="D58" s="333">
        <v>9472778.8184153792</v>
      </c>
      <c r="E58" s="333">
        <v>96</v>
      </c>
      <c r="F58" s="333">
        <v>2230336.4719127598</v>
      </c>
    </row>
    <row r="59" spans="1:6">
      <c r="A59" s="1277" t="s">
        <v>49</v>
      </c>
      <c r="B59" s="1277" t="s">
        <v>52</v>
      </c>
      <c r="C59" s="333">
        <v>328</v>
      </c>
      <c r="D59" s="333">
        <v>14054232.1357334</v>
      </c>
      <c r="E59" s="333">
        <v>573</v>
      </c>
      <c r="F59" s="333">
        <v>21707836.898504101</v>
      </c>
    </row>
    <row r="60" spans="1:6">
      <c r="A60" s="1277" t="s">
        <v>49</v>
      </c>
      <c r="B60" s="1277" t="s">
        <v>53</v>
      </c>
      <c r="C60" s="333">
        <v>141</v>
      </c>
      <c r="D60" s="333">
        <v>7399321.7257984504</v>
      </c>
      <c r="E60" s="333">
        <v>181</v>
      </c>
      <c r="F60" s="333">
        <v>5900532.7439364204</v>
      </c>
    </row>
    <row r="61" spans="1:6">
      <c r="A61" s="1277" t="s">
        <v>49</v>
      </c>
      <c r="B61" s="1277" t="s">
        <v>54</v>
      </c>
      <c r="C61" s="333">
        <v>363</v>
      </c>
      <c r="D61" s="333">
        <v>18699064.935035799</v>
      </c>
      <c r="E61" s="333">
        <v>849</v>
      </c>
      <c r="F61" s="333">
        <v>11968274.1786204</v>
      </c>
    </row>
    <row r="62" spans="1:6">
      <c r="A62" s="1277" t="s">
        <v>49</v>
      </c>
      <c r="B62" s="1277" t="s">
        <v>55</v>
      </c>
      <c r="C62" s="333">
        <v>38</v>
      </c>
      <c r="D62" s="333">
        <v>9410701.60035933</v>
      </c>
      <c r="E62" s="333">
        <v>32</v>
      </c>
      <c r="F62" s="333">
        <v>2498845.6038023699</v>
      </c>
    </row>
    <row r="63" spans="1:6">
      <c r="A63" s="1277" t="s">
        <v>49</v>
      </c>
      <c r="B63" s="1277" t="s">
        <v>29</v>
      </c>
      <c r="C63" s="333">
        <v>100</v>
      </c>
      <c r="D63" s="333">
        <v>7302499.59257604</v>
      </c>
      <c r="E63" s="333">
        <v>82</v>
      </c>
      <c r="F63" s="333">
        <v>7459341.6738779098</v>
      </c>
    </row>
    <row r="64" spans="1:6">
      <c r="A64" s="1277" t="s">
        <v>56</v>
      </c>
      <c r="B64" s="1277" t="s">
        <v>57</v>
      </c>
      <c r="C64" s="333">
        <v>0</v>
      </c>
      <c r="D64" s="333">
        <v>0</v>
      </c>
      <c r="E64" s="333">
        <v>0</v>
      </c>
      <c r="F64" s="333">
        <v>0</v>
      </c>
    </row>
    <row r="65" spans="1:6">
      <c r="A65" s="1277" t="s">
        <v>56</v>
      </c>
      <c r="B65" s="1277" t="s">
        <v>29</v>
      </c>
      <c r="C65" s="333">
        <v>5</v>
      </c>
      <c r="D65" s="333">
        <v>254221.73442828201</v>
      </c>
      <c r="E65" s="333">
        <v>5</v>
      </c>
      <c r="F65" s="333">
        <v>44167.819340957401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13</v>
      </c>
      <c r="D68" s="333">
        <v>471771.24896843301</v>
      </c>
      <c r="E68" s="333">
        <v>30</v>
      </c>
      <c r="F68" s="333">
        <v>671161.07844913402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175766695</v>
      </c>
      <c r="E73" s="333">
        <v>153540986.88066113</v>
      </c>
      <c r="F73" s="333">
        <v>170949682</v>
      </c>
    </row>
    <row r="74" spans="1:6">
      <c r="A74" s="1277" t="s">
        <v>64</v>
      </c>
      <c r="B74" s="1277" t="s">
        <v>774</v>
      </c>
      <c r="C74" s="1288" t="s">
        <v>775</v>
      </c>
      <c r="D74" s="333">
        <v>20062607.28129036</v>
      </c>
      <c r="E74" s="333">
        <v>18663673.341885686</v>
      </c>
      <c r="F74" s="333">
        <v>20383169.873725556</v>
      </c>
    </row>
    <row r="75" spans="1:6">
      <c r="A75" s="1277" t="s">
        <v>65</v>
      </c>
      <c r="B75" s="1277" t="s">
        <v>772</v>
      </c>
      <c r="C75" s="1288" t="s">
        <v>776</v>
      </c>
      <c r="D75" s="333">
        <v>17115381</v>
      </c>
      <c r="E75" s="333">
        <v>13585865.585800745</v>
      </c>
      <c r="F75" s="333">
        <v>16105972</v>
      </c>
    </row>
    <row r="76" spans="1:6">
      <c r="A76" s="1277" t="s">
        <v>65</v>
      </c>
      <c r="B76" s="1277" t="s">
        <v>774</v>
      </c>
      <c r="C76" s="1288" t="s">
        <v>777</v>
      </c>
      <c r="D76" s="333">
        <v>481929.28129035991</v>
      </c>
      <c r="E76" s="333">
        <v>398520.38017615129</v>
      </c>
      <c r="F76" s="333">
        <v>518778.87372555526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1384089.4374192802</v>
      </c>
      <c r="C83" s="333">
        <v>1275898.550334669</v>
      </c>
      <c r="D83" s="333">
        <v>1290520.2525488895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1589.2474365603132</v>
      </c>
    </row>
    <row r="92" spans="1:6">
      <c r="A92" s="1273" t="s">
        <v>69</v>
      </c>
      <c r="B92" s="336">
        <v>3203.8144939151348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8975</v>
      </c>
    </row>
    <row r="98" spans="1:6">
      <c r="A98" s="1277" t="s">
        <v>72</v>
      </c>
      <c r="B98" s="333">
        <v>10</v>
      </c>
    </row>
    <row r="99" spans="1:6">
      <c r="A99" s="1277" t="s">
        <v>73</v>
      </c>
      <c r="B99" s="333">
        <v>93</v>
      </c>
    </row>
    <row r="100" spans="1:6">
      <c r="A100" s="1277" t="s">
        <v>74</v>
      </c>
      <c r="B100" s="333">
        <v>1324</v>
      </c>
    </row>
    <row r="101" spans="1:6">
      <c r="A101" s="1277" t="s">
        <v>75</v>
      </c>
      <c r="B101" s="333">
        <v>71</v>
      </c>
    </row>
    <row r="102" spans="1:6">
      <c r="A102" s="1277" t="s">
        <v>76</v>
      </c>
      <c r="B102" s="333">
        <v>164</v>
      </c>
    </row>
    <row r="103" spans="1:6">
      <c r="A103" s="1277" t="s">
        <v>77</v>
      </c>
      <c r="B103" s="333">
        <v>319</v>
      </c>
    </row>
    <row r="104" spans="1:6">
      <c r="A104" s="1277" t="s">
        <v>78</v>
      </c>
      <c r="B104" s="333">
        <v>2496</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21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44</v>
      </c>
    </row>
    <row r="130" spans="1:6">
      <c r="A130" s="1277" t="s">
        <v>295</v>
      </c>
      <c r="B130" s="333">
        <v>1</v>
      </c>
    </row>
    <row r="131" spans="1:6">
      <c r="A131" s="1277" t="s">
        <v>296</v>
      </c>
      <c r="B131" s="333">
        <v>5</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196708.65484857943</v>
      </c>
      <c r="C3" s="43" t="s">
        <v>170</v>
      </c>
      <c r="D3" s="43"/>
      <c r="E3" s="156"/>
      <c r="F3" s="43"/>
      <c r="G3" s="43"/>
      <c r="H3" s="43"/>
      <c r="I3" s="43"/>
      <c r="J3" s="43"/>
      <c r="K3" s="96"/>
    </row>
    <row r="4" spans="1:11">
      <c r="A4" s="364" t="s">
        <v>171</v>
      </c>
      <c r="B4" s="49">
        <f>IF(ISERROR('SEAP template'!B78+'SEAP template'!C78),0,'SEAP template'!B78+'SEAP template'!C78)</f>
        <v>80438.061930475451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12136.80565605624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0.19232812465765503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16214.303272515192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87772.66071428571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0.184730679696442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2383.442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2383.442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0.19232812465765503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458.40293009029062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60563.320581494401</v>
      </c>
      <c r="C5" s="17">
        <f>IF(ISERROR('Eigen informatie GS &amp; warmtenet'!B57),0,'Eigen informatie GS &amp; warmtenet'!B57)</f>
        <v>0</v>
      </c>
      <c r="D5" s="30">
        <f>(SUM(HH_hh_gas_kWh,HH_rest_gas_kWh)/1000)*0.902</f>
        <v>163506.64520879282</v>
      </c>
      <c r="E5" s="17">
        <f>B46*B57</f>
        <v>4059.6837631933304</v>
      </c>
      <c r="F5" s="17">
        <f>B51*B62</f>
        <v>0</v>
      </c>
      <c r="G5" s="18"/>
      <c r="H5" s="17"/>
      <c r="I5" s="17"/>
      <c r="J5" s="17">
        <f>B50*B61+C50*C61</f>
        <v>1181.865192330557</v>
      </c>
      <c r="K5" s="17"/>
      <c r="L5" s="17"/>
      <c r="M5" s="17"/>
      <c r="N5" s="17">
        <f>B48*B59+C48*C59</f>
        <v>8967.4198933677417</v>
      </c>
      <c r="O5" s="17">
        <f>B69*B70*B71</f>
        <v>101.61666666666667</v>
      </c>
      <c r="P5" s="17">
        <f>B77*B78*B79/1000-B77*B78*B79/1000/B80</f>
        <v>247.86666666666667</v>
      </c>
    </row>
    <row r="6" spans="1:16">
      <c r="A6" s="16" t="s">
        <v>632</v>
      </c>
      <c r="B6" s="779">
        <f>kWh_PV_kleiner_dan_10kW</f>
        <v>1589.2474365603132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62152.568018054713</v>
      </c>
      <c r="C8" s="21">
        <f>C5</f>
        <v>0</v>
      </c>
      <c r="D8" s="21">
        <f>D5</f>
        <v>163506.64520879282</v>
      </c>
      <c r="E8" s="21">
        <f>E5</f>
        <v>4059.6837631933304</v>
      </c>
      <c r="F8" s="21">
        <f>F5</f>
        <v>0</v>
      </c>
      <c r="G8" s="21"/>
      <c r="H8" s="21"/>
      <c r="I8" s="21"/>
      <c r="J8" s="21">
        <f>J5</f>
        <v>1181.865192330557</v>
      </c>
      <c r="K8" s="21"/>
      <c r="L8" s="21">
        <f>L5</f>
        <v>0</v>
      </c>
      <c r="M8" s="21">
        <f>M5</f>
        <v>0</v>
      </c>
      <c r="N8" s="21">
        <f>N5</f>
        <v>8967.4198933677417</v>
      </c>
      <c r="O8" s="21">
        <f>O5</f>
        <v>101.61666666666667</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0.19232812465765503</v>
      </c>
      <c r="C10" s="25">
        <f ca="1">'EF ele_warmte'!B22</f>
        <v>0.184730679696442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11953.686849569811</v>
      </c>
      <c r="C12" s="23">
        <f ca="1">C10*C8</f>
        <v>0</v>
      </c>
      <c r="D12" s="23">
        <f>D8*D10</f>
        <v>33028.342332176151</v>
      </c>
      <c r="E12" s="23">
        <f>E10*E8</f>
        <v>921.54821424488603</v>
      </c>
      <c r="F12" s="23">
        <f>F10*F8</f>
        <v>0</v>
      </c>
      <c r="G12" s="23"/>
      <c r="H12" s="23"/>
      <c r="I12" s="23"/>
      <c r="J12" s="23">
        <f>J10*J8</f>
        <v>418.38027808501715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8975</v>
      </c>
      <c r="C18" s="167" t="s">
        <v>111</v>
      </c>
      <c r="D18" s="229"/>
      <c r="E18" s="15"/>
    </row>
    <row r="19" spans="1:7">
      <c r="A19" s="172" t="s">
        <v>72</v>
      </c>
      <c r="B19" s="37">
        <f>aantalw2001_ander</f>
        <v>10</v>
      </c>
      <c r="C19" s="167" t="s">
        <v>111</v>
      </c>
      <c r="D19" s="230"/>
      <c r="E19" s="15"/>
    </row>
    <row r="20" spans="1:7">
      <c r="A20" s="172" t="s">
        <v>73</v>
      </c>
      <c r="B20" s="37">
        <f>aantalw2001_propaan</f>
        <v>93</v>
      </c>
      <c r="C20" s="168">
        <f>IF(ISERROR(B20/SUM($B$20,$B$21,$B$22)*100),0,B20/SUM($B$20,$B$21,$B$22)*100)</f>
        <v>6.25</v>
      </c>
      <c r="D20" s="230"/>
      <c r="E20" s="15"/>
    </row>
    <row r="21" spans="1:7">
      <c r="A21" s="172" t="s">
        <v>74</v>
      </c>
      <c r="B21" s="37">
        <f>aantalw2001_elektriciteit</f>
        <v>1324</v>
      </c>
      <c r="C21" s="168">
        <f>IF(ISERROR(B21/SUM($B$20,$B$21,$B$22)*100),0,B21/SUM($B$20,$B$21,$B$22)*100)</f>
        <v>88.978494623655919</v>
      </c>
      <c r="D21" s="230"/>
      <c r="E21" s="15"/>
    </row>
    <row r="22" spans="1:7">
      <c r="A22" s="172" t="s">
        <v>75</v>
      </c>
      <c r="B22" s="37">
        <f>aantalw2001_hout</f>
        <v>71</v>
      </c>
      <c r="C22" s="168">
        <f>IF(ISERROR(B22/SUM($B$20,$B$21,$B$22)*100),0,B22/SUM($B$20,$B$21,$B$22)*100)</f>
        <v>4.771505376344086</v>
      </c>
      <c r="D22" s="230"/>
      <c r="E22" s="15"/>
    </row>
    <row r="23" spans="1:7">
      <c r="A23" s="172" t="s">
        <v>76</v>
      </c>
      <c r="B23" s="37">
        <f>aantalw2001_niet_gespec</f>
        <v>164</v>
      </c>
      <c r="C23" s="167" t="s">
        <v>111</v>
      </c>
      <c r="D23" s="229"/>
      <c r="E23" s="15"/>
    </row>
    <row r="24" spans="1:7">
      <c r="A24" s="172" t="s">
        <v>77</v>
      </c>
      <c r="B24" s="37">
        <f>aantalw2001_steenkool</f>
        <v>319</v>
      </c>
      <c r="C24" s="167" t="s">
        <v>111</v>
      </c>
      <c r="D24" s="230"/>
      <c r="E24" s="15"/>
    </row>
    <row r="25" spans="1:7">
      <c r="A25" s="172" t="s">
        <v>78</v>
      </c>
      <c r="B25" s="37">
        <f>aantalw2001_stookolie</f>
        <v>2496</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14965</v>
      </c>
      <c r="C28" s="36"/>
      <c r="D28" s="229"/>
    </row>
    <row r="29" spans="1:7" s="15" customFormat="1">
      <c r="A29" s="231" t="s">
        <v>713</v>
      </c>
      <c r="B29" s="37">
        <f>SUM(HH_hh_gas_aantal,HH_rest_gas_aantal)</f>
        <v>11753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11753</v>
      </c>
      <c r="C32" s="168">
        <f>IF(ISERROR(B32/SUM($B$32,$B$34,$B$35,$B$36,$B$38,$B$39)*100),0,B32/SUM($B$32,$B$34,$B$35,$B$36,$B$38,$B$39)*100)</f>
        <v>78.604868913857672</v>
      </c>
      <c r="D32" s="234"/>
      <c r="G32" s="15"/>
    </row>
    <row r="33" spans="1:7">
      <c r="A33" s="172" t="s">
        <v>72</v>
      </c>
      <c r="B33" s="34" t="s">
        <v>111</v>
      </c>
      <c r="C33" s="168"/>
      <c r="D33" s="234"/>
      <c r="G33" s="15"/>
    </row>
    <row r="34" spans="1:7">
      <c r="A34" s="172" t="s">
        <v>73</v>
      </c>
      <c r="B34" s="33">
        <f>IF((($B$28-$B$32-$B$39-$B$77-$B$38)*C20/100)&lt;0,0,($B$28-$B$32-$B$39-$B$77-$B$38)*C20/100)</f>
        <v>197.36250000000001</v>
      </c>
      <c r="C34" s="168">
        <f>IF(ISERROR(B34/SUM($B$32,$B$34,$B$35,$B$36,$B$38,$B$39)*100),0,B34/SUM($B$32,$B$34,$B$35,$B$36,$B$38,$B$39)*100)</f>
        <v>1.3199739165329054</v>
      </c>
      <c r="D34" s="234"/>
      <c r="G34" s="15"/>
    </row>
    <row r="35" spans="1:7">
      <c r="A35" s="172" t="s">
        <v>74</v>
      </c>
      <c r="B35" s="33">
        <f>IF((($B$28-$B$32-$B$39-$B$77-$B$38)*C21/100)&lt;0,0,($B$28-$B$32-$B$39-$B$77-$B$38)*C21/100)</f>
        <v>2809.7629032258064</v>
      </c>
      <c r="C35" s="168">
        <f>IF(ISERROR(B35/SUM($B$32,$B$34,$B$35,$B$36,$B$38,$B$39)*100),0,B35/SUM($B$32,$B$34,$B$35,$B$36,$B$38,$B$39)*100)</f>
        <v>18.791886725694265</v>
      </c>
      <c r="D35" s="234"/>
      <c r="G35" s="15"/>
    </row>
    <row r="36" spans="1:7">
      <c r="A36" s="172" t="s">
        <v>75</v>
      </c>
      <c r="B36" s="33">
        <f>IF((($B$28-$B$32-$B$39-$B$77-$B$38)*C22/100)&lt;0,0,($B$28-$B$32-$B$39-$B$77-$B$38)*C22/100)</f>
        <v>150.67459677419356</v>
      </c>
      <c r="C36" s="168">
        <f>IF(ISERROR(B36/SUM($B$32,$B$34,$B$35,$B$36,$B$38,$B$39)*100),0,B36/SUM($B$32,$B$34,$B$35,$B$36,$B$38,$B$39)*100)</f>
        <v>1.0077220222993151</v>
      </c>
      <c r="D36" s="234"/>
      <c r="G36" s="15"/>
    </row>
    <row r="37" spans="1:7">
      <c r="A37" s="172" t="s">
        <v>76</v>
      </c>
      <c r="B37" s="34" t="s">
        <v>111</v>
      </c>
      <c r="C37" s="168"/>
      <c r="D37" s="174"/>
      <c r="G37" s="15"/>
    </row>
    <row r="38" spans="1:7">
      <c r="A38" s="172" t="s">
        <v>77</v>
      </c>
      <c r="B38" s="33">
        <f>IF((B24-(B29-B18)*0.1)&lt;0,0,B24-(B29-B18)*0.1)</f>
        <v>41.199999999999989</v>
      </c>
      <c r="C38" s="168">
        <f>IF(ISERROR(B38/SUM($B$32,$B$34,$B$35,$B$36,$B$38,$B$39)*100),0,B38/SUM($B$32,$B$34,$B$35,$B$36,$B$38,$B$39)*100)</f>
        <v>0.27554842161583726</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11753</v>
      </c>
      <c r="C44" s="34" t="s">
        <v>111</v>
      </c>
      <c r="D44" s="175"/>
    </row>
    <row r="45" spans="1:7">
      <c r="A45" s="172" t="s">
        <v>72</v>
      </c>
      <c r="B45" s="33" t="str">
        <f t="shared" si="0"/>
        <v>-</v>
      </c>
      <c r="C45" s="34" t="s">
        <v>111</v>
      </c>
      <c r="D45" s="175"/>
    </row>
    <row r="46" spans="1:7">
      <c r="A46" s="172" t="s">
        <v>73</v>
      </c>
      <c r="B46" s="33">
        <f t="shared" si="0"/>
        <v>197.36250000000001</v>
      </c>
      <c r="C46" s="34" t="s">
        <v>111</v>
      </c>
      <c r="D46" s="175"/>
    </row>
    <row r="47" spans="1:7">
      <c r="A47" s="172" t="s">
        <v>74</v>
      </c>
      <c r="B47" s="33">
        <f t="shared" si="0"/>
        <v>2809.7629032258064</v>
      </c>
      <c r="C47" s="34" t="s">
        <v>111</v>
      </c>
      <c r="D47" s="175"/>
    </row>
    <row r="48" spans="1:7">
      <c r="A48" s="172" t="s">
        <v>75</v>
      </c>
      <c r="B48" s="33">
        <f t="shared" si="0"/>
        <v>150.67459677419356</v>
      </c>
      <c r="C48" s="33">
        <f>B48*10</f>
        <v>1506.7459677419356</v>
      </c>
      <c r="D48" s="235"/>
    </row>
    <row r="49" spans="1:6">
      <c r="A49" s="172" t="s">
        <v>76</v>
      </c>
      <c r="B49" s="33" t="str">
        <f t="shared" si="0"/>
        <v>-</v>
      </c>
      <c r="C49" s="34" t="s">
        <v>111</v>
      </c>
      <c r="D49" s="235"/>
    </row>
    <row r="50" spans="1:6">
      <c r="A50" s="172" t="s">
        <v>77</v>
      </c>
      <c r="B50" s="33">
        <f t="shared" si="0"/>
        <v>41.199999999999989</v>
      </c>
      <c r="C50" s="33">
        <f>B50*2</f>
        <v>82.399999999999977</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58498.620440148457</v>
      </c>
      <c r="C5" s="17">
        <f>IF(ISERROR('Eigen informatie GS &amp; warmtenet'!B58),0,'Eigen informatie GS &amp; warmtenet'!B58)</f>
        <v>0</v>
      </c>
      <c r="D5" s="30">
        <f>SUM(D6:D12)</f>
        <v>64109.761230397293</v>
      </c>
      <c r="E5" s="17">
        <f>SUM(E6:E12)</f>
        <v>1067.1079154688189</v>
      </c>
      <c r="F5" s="17">
        <f>SUM(F6:F12)</f>
        <v>11804.158457525111</v>
      </c>
      <c r="G5" s="18"/>
      <c r="H5" s="17"/>
      <c r="I5" s="17"/>
      <c r="J5" s="17">
        <f>SUM(J6:J12)</f>
        <v>0</v>
      </c>
      <c r="K5" s="17"/>
      <c r="L5" s="17"/>
      <c r="M5" s="17"/>
      <c r="N5" s="17">
        <f>SUM(N6:N12)</f>
        <v>1892.7869965851455</v>
      </c>
      <c r="O5" s="17">
        <f>B38*B39*B40</f>
        <v>1.5633333333333335</v>
      </c>
      <c r="P5" s="17">
        <f>B46*B47*B48/1000-B46*B47*B48/1000/B49</f>
        <v>95.333333333333343</v>
      </c>
      <c r="R5" s="32"/>
    </row>
    <row r="6" spans="1:18">
      <c r="A6" s="32" t="s">
        <v>54</v>
      </c>
      <c r="B6" s="37">
        <f>B26</f>
        <v>11968.274178620401</v>
      </c>
      <c r="C6" s="33"/>
      <c r="D6" s="37">
        <f>IF(ISERROR(TER_kantoor_gas_kWh/1000),0,TER_kantoor_gas_kWh/1000)*0.902</f>
        <v>16866.556571402292</v>
      </c>
      <c r="E6" s="33">
        <f>$C$26*'E Balans VL '!I12/100/3.6*1000000</f>
        <v>418.93667640999388</v>
      </c>
      <c r="F6" s="33">
        <f>$C$26*('E Balans VL '!L12+'E Balans VL '!N12)/100/3.6*1000000</f>
        <v>1814.6473218075266</v>
      </c>
      <c r="G6" s="34"/>
      <c r="H6" s="33"/>
      <c r="I6" s="33"/>
      <c r="J6" s="33">
        <f>$C$26*('E Balans VL '!D12+'E Balans VL '!E12)/100/3.6*1000000</f>
        <v>0</v>
      </c>
      <c r="K6" s="33"/>
      <c r="L6" s="33"/>
      <c r="M6" s="33"/>
      <c r="N6" s="33">
        <f>$C$26*'E Balans VL '!Y12/100/3.6*1000000</f>
        <v>92.511013434011431</v>
      </c>
      <c r="O6" s="33"/>
      <c r="P6" s="33"/>
      <c r="R6" s="32"/>
    </row>
    <row r="7" spans="1:18">
      <c r="A7" s="32" t="s">
        <v>53</v>
      </c>
      <c r="B7" s="37">
        <f t="shared" ref="B7:B12" si="0">B27</f>
        <v>5900.53274393642</v>
      </c>
      <c r="C7" s="33"/>
      <c r="D7" s="37">
        <f>IF(ISERROR(TER_horeca_gas_kWh/1000),0,TER_horeca_gas_kWh/1000)*0.902</f>
        <v>6674.1881966702031</v>
      </c>
      <c r="E7" s="33">
        <f>$C$27*'E Balans VL '!I9/100/3.6*1000000</f>
        <v>332.86850473575316</v>
      </c>
      <c r="F7" s="33">
        <f>$C$27*('E Balans VL '!L9+'E Balans VL '!N9)/100/3.6*1000000</f>
        <v>1027.9054579611866</v>
      </c>
      <c r="G7" s="34"/>
      <c r="H7" s="33"/>
      <c r="I7" s="33"/>
      <c r="J7" s="33">
        <f>$C$27*('E Balans VL '!D9+'E Balans VL '!E9)/100/3.6*1000000</f>
        <v>0</v>
      </c>
      <c r="K7" s="33"/>
      <c r="L7" s="33"/>
      <c r="M7" s="33"/>
      <c r="N7" s="33">
        <f>$C$27*'E Balans VL '!Y9/100/3.6*1000000</f>
        <v>0</v>
      </c>
      <c r="O7" s="33"/>
      <c r="P7" s="33"/>
      <c r="R7" s="32"/>
    </row>
    <row r="8" spans="1:18">
      <c r="A8" s="6" t="s">
        <v>52</v>
      </c>
      <c r="B8" s="37">
        <f t="shared" si="0"/>
        <v>21707.836898504102</v>
      </c>
      <c r="C8" s="33"/>
      <c r="D8" s="37">
        <f>IF(ISERROR(TER_handel_gas_kWh/1000),0,TER_handel_gas_kWh/1000)*0.902</f>
        <v>12676.917386431527</v>
      </c>
      <c r="E8" s="33">
        <f>$C$28*'E Balans VL '!I13/100/3.6*1000000</f>
        <v>111.4458291526781</v>
      </c>
      <c r="F8" s="33">
        <f>$C$28*('E Balans VL '!L13+'E Balans VL '!N13)/100/3.6*1000000</f>
        <v>3347.0130292368308</v>
      </c>
      <c r="G8" s="34"/>
      <c r="H8" s="33"/>
      <c r="I8" s="33"/>
      <c r="J8" s="33">
        <f>$C$28*('E Balans VL '!D13+'E Balans VL '!E13)/100/3.6*1000000</f>
        <v>0</v>
      </c>
      <c r="K8" s="33"/>
      <c r="L8" s="33"/>
      <c r="M8" s="33"/>
      <c r="N8" s="33">
        <f>$C$28*'E Balans VL '!Y13/100/3.6*1000000</f>
        <v>10.153020297246991</v>
      </c>
      <c r="O8" s="33"/>
      <c r="P8" s="33"/>
      <c r="R8" s="32"/>
    </row>
    <row r="9" spans="1:18">
      <c r="A9" s="32" t="s">
        <v>51</v>
      </c>
      <c r="B9" s="37">
        <f t="shared" si="0"/>
        <v>2230.3364719127599</v>
      </c>
      <c r="C9" s="33"/>
      <c r="D9" s="37">
        <f>IF(ISERROR(TER_gezond_gas_kWh/1000),0,TER_gezond_gas_kWh/1000)*0.902</f>
        <v>8544.4464942106733</v>
      </c>
      <c r="E9" s="33">
        <f>$C$29*'E Balans VL '!I10/100/3.6*1000000</f>
        <v>0.92445858372076106</v>
      </c>
      <c r="F9" s="33">
        <f>$C$29*('E Balans VL '!L10+'E Balans VL '!N10)/100/3.6*1000000</f>
        <v>549.29988574023992</v>
      </c>
      <c r="G9" s="34"/>
      <c r="H9" s="33"/>
      <c r="I9" s="33"/>
      <c r="J9" s="33">
        <f>$C$29*('E Balans VL '!D10+'E Balans VL '!E10)/100/3.6*1000000</f>
        <v>0</v>
      </c>
      <c r="K9" s="33"/>
      <c r="L9" s="33"/>
      <c r="M9" s="33"/>
      <c r="N9" s="33">
        <f>$C$29*'E Balans VL '!Y10/100/3.6*1000000</f>
        <v>19.275627479149122</v>
      </c>
      <c r="O9" s="33"/>
      <c r="P9" s="33"/>
      <c r="R9" s="32"/>
    </row>
    <row r="10" spans="1:18">
      <c r="A10" s="32" t="s">
        <v>50</v>
      </c>
      <c r="B10" s="37">
        <f t="shared" si="0"/>
        <v>6733.4528694944993</v>
      </c>
      <c r="C10" s="33"/>
      <c r="D10" s="37">
        <f>IF(ISERROR(TER_ander_gas_kWh/1000),0,TER_ander_gas_kWh/1000)*0.902</f>
        <v>4272.3451056548929</v>
      </c>
      <c r="E10" s="33">
        <f>$C$30*'E Balans VL '!I14/100/3.6*1000000</f>
        <v>41.04729482488392</v>
      </c>
      <c r="F10" s="33">
        <f>$C$30*('E Balans VL '!L14+'E Balans VL '!N14)/100/3.6*1000000</f>
        <v>1785.1305935443111</v>
      </c>
      <c r="G10" s="34"/>
      <c r="H10" s="33"/>
      <c r="I10" s="33"/>
      <c r="J10" s="33">
        <f>$C$30*('E Balans VL '!D14+'E Balans VL '!E14)/100/3.6*1000000</f>
        <v>0</v>
      </c>
      <c r="K10" s="33"/>
      <c r="L10" s="33"/>
      <c r="M10" s="33"/>
      <c r="N10" s="33">
        <f>$C$30*'E Balans VL '!Y14/100/3.6*1000000</f>
        <v>1551.9153872113277</v>
      </c>
      <c r="O10" s="33"/>
      <c r="P10" s="33"/>
      <c r="R10" s="32"/>
    </row>
    <row r="11" spans="1:18">
      <c r="A11" s="32" t="s">
        <v>55</v>
      </c>
      <c r="B11" s="37">
        <f t="shared" si="0"/>
        <v>2498.8456038023701</v>
      </c>
      <c r="C11" s="33"/>
      <c r="D11" s="37">
        <f>IF(ISERROR(TER_onderwijs_gas_kWh/1000),0,TER_onderwijs_gas_kWh/1000)*0.902</f>
        <v>8488.4528435241173</v>
      </c>
      <c r="E11" s="33">
        <f>$C$31*'E Balans VL '!I11/100/3.6*1000000</f>
        <v>1.9042504663625874</v>
      </c>
      <c r="F11" s="33">
        <f>$C$31*('E Balans VL '!L11+'E Balans VL '!N11)/100/3.6*1000000</f>
        <v>1808.3016213483602</v>
      </c>
      <c r="G11" s="34"/>
      <c r="H11" s="33"/>
      <c r="I11" s="33"/>
      <c r="J11" s="33">
        <f>$C$31*('E Balans VL '!D11+'E Balans VL '!E11)/100/3.6*1000000</f>
        <v>0</v>
      </c>
      <c r="K11" s="33"/>
      <c r="L11" s="33"/>
      <c r="M11" s="33"/>
      <c r="N11" s="33">
        <f>$C$31*'E Balans VL '!Y11/100/3.6*1000000</f>
        <v>7.3646952076224927</v>
      </c>
      <c r="O11" s="33"/>
      <c r="P11" s="33"/>
      <c r="R11" s="32"/>
    </row>
    <row r="12" spans="1:18">
      <c r="A12" s="32" t="s">
        <v>260</v>
      </c>
      <c r="B12" s="37">
        <f t="shared" si="0"/>
        <v>7459.3416738779097</v>
      </c>
      <c r="C12" s="33"/>
      <c r="D12" s="37">
        <f>IF(ISERROR(TER_rest_gas_kWh/1000),0,TER_rest_gas_kWh/1000)*0.902</f>
        <v>6586.8546325035877</v>
      </c>
      <c r="E12" s="33">
        <f>$C$32*'E Balans VL '!I8/100/3.6*1000000</f>
        <v>159.98090129542643</v>
      </c>
      <c r="F12" s="33">
        <f>$C$32*('E Balans VL '!L8+'E Balans VL '!N8)/100/3.6*1000000</f>
        <v>1471.8605478866552</v>
      </c>
      <c r="G12" s="34"/>
      <c r="H12" s="33"/>
      <c r="I12" s="33"/>
      <c r="J12" s="33">
        <f>$C$32*('E Balans VL '!D8+'E Balans VL '!E8)/100/3.6*1000000</f>
        <v>0</v>
      </c>
      <c r="K12" s="33"/>
      <c r="L12" s="33"/>
      <c r="M12" s="33"/>
      <c r="N12" s="33">
        <f>$C$32*'E Balans VL '!Y8/100/3.6*1000000</f>
        <v>211.56725295578786</v>
      </c>
      <c r="O12" s="33"/>
      <c r="P12" s="33"/>
      <c r="R12" s="32"/>
    </row>
    <row r="13" spans="1:18">
      <c r="A13" s="16" t="s">
        <v>496</v>
      </c>
      <c r="B13" s="248">
        <f ca="1">'lokale energieproductie'!N91+'lokale energieproductie'!N60</f>
        <v>9945</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-28414.285714285717</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68443.620440148457</v>
      </c>
      <c r="C16" s="21">
        <f ca="1">C5+C13+C14</f>
        <v>0</v>
      </c>
      <c r="D16" s="21">
        <f t="shared" ref="D16:N16" ca="1" si="1">MAX((D5+D13+D14),0)</f>
        <v>64109.761230397293</v>
      </c>
      <c r="E16" s="21">
        <f t="shared" si="1"/>
        <v>1067.1079154688189</v>
      </c>
      <c r="F16" s="21">
        <f t="shared" ca="1" si="1"/>
        <v>11804.158457525111</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0.19232812465765503</v>
      </c>
      <c r="C18" s="25">
        <f ca="1">'EF ele_warmte'!B22</f>
        <v>0.184730679696442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13163.633164034098</v>
      </c>
      <c r="C20" s="23">
        <f t="shared" ref="C20:P20" ca="1" si="2">C16*C18</f>
        <v>0</v>
      </c>
      <c r="D20" s="23">
        <f t="shared" ca="1" si="2"/>
        <v>12950.171768540255</v>
      </c>
      <c r="E20" s="23">
        <f t="shared" si="2"/>
        <v>242.2334968114219</v>
      </c>
      <c r="F20" s="23">
        <f t="shared" ca="1" si="2"/>
        <v>3151.7103081592049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11968.274178620401</v>
      </c>
      <c r="C26" s="39">
        <f>IF(ISERROR(B26*3.6/1000000/'E Balans VL '!Z12*100),0,B26*3.6/1000000/'E Balans VL '!Z12*100)</f>
        <v>0.25185248220033962</v>
      </c>
      <c r="D26" s="238" t="s">
        <v>719</v>
      </c>
      <c r="F26" s="6"/>
    </row>
    <row r="27" spans="1:18">
      <c r="A27" s="232" t="s">
        <v>53</v>
      </c>
      <c r="B27" s="33">
        <f>IF(ISERROR(TER_horeca_ele_kWh/1000),0,TER_horeca_ele_kWh/1000)</f>
        <v>5900.53274393642</v>
      </c>
      <c r="C27" s="39">
        <f>IF(ISERROR(B27*3.6/1000000/'E Balans VL '!Z9*100),0,B27*3.6/1000000/'E Balans VL '!Z9*100)</f>
        <v>0.49958152708563058</v>
      </c>
      <c r="D27" s="238" t="s">
        <v>719</v>
      </c>
      <c r="F27" s="6"/>
    </row>
    <row r="28" spans="1:18">
      <c r="A28" s="172" t="s">
        <v>52</v>
      </c>
      <c r="B28" s="33">
        <f>IF(ISERROR(TER_handel_ele_kWh/1000),0,TER_handel_ele_kWh/1000)</f>
        <v>21707.836898504102</v>
      </c>
      <c r="C28" s="39">
        <f>IF(ISERROR(B28*3.6/1000000/'E Balans VL '!Z13*100),0,B28*3.6/1000000/'E Balans VL '!Z13*100)</f>
        <v>0.60097846279611522</v>
      </c>
      <c r="D28" s="238" t="s">
        <v>719</v>
      </c>
      <c r="F28" s="6"/>
    </row>
    <row r="29" spans="1:18">
      <c r="A29" s="232" t="s">
        <v>51</v>
      </c>
      <c r="B29" s="33">
        <f>IF(ISERROR(TER_gezond_ele_kWh/1000),0,TER_gezond_ele_kWh/1000)</f>
        <v>2230.3364719127599</v>
      </c>
      <c r="C29" s="39">
        <f>IF(ISERROR(B29*3.6/1000000/'E Balans VL '!Z10*100),0,B29*3.6/1000000/'E Balans VL '!Z10*100)</f>
        <v>0.28991901518605123</v>
      </c>
      <c r="D29" s="238" t="s">
        <v>719</v>
      </c>
      <c r="F29" s="6"/>
    </row>
    <row r="30" spans="1:18">
      <c r="A30" s="232" t="s">
        <v>50</v>
      </c>
      <c r="B30" s="33">
        <f>IF(ISERROR(TER_ander_ele_kWh/1000),0,TER_ander_ele_kWh/1000)</f>
        <v>6733.4528694944993</v>
      </c>
      <c r="C30" s="39">
        <f>IF(ISERROR(B30*3.6/1000000/'E Balans VL '!Z14*100),0,B30*3.6/1000000/'E Balans VL '!Z14*100)</f>
        <v>0.52190434786581907</v>
      </c>
      <c r="D30" s="238" t="s">
        <v>719</v>
      </c>
      <c r="F30" s="6"/>
    </row>
    <row r="31" spans="1:18">
      <c r="A31" s="232" t="s">
        <v>55</v>
      </c>
      <c r="B31" s="33">
        <f>IF(ISERROR(TER_onderwijs_ele_kWh/1000),0,TER_onderwijs_ele_kWh/1000)</f>
        <v>2498.8456038023701</v>
      </c>
      <c r="C31" s="39">
        <f>IF(ISERROR(B31*3.6/1000000/'E Balans VL '!Z11*100),0,B31*3.6/1000000/'E Balans VL '!Z11*100)</f>
        <v>0.47807174343541015</v>
      </c>
      <c r="D31" s="238" t="s">
        <v>719</v>
      </c>
    </row>
    <row r="32" spans="1:18">
      <c r="A32" s="232" t="s">
        <v>260</v>
      </c>
      <c r="B32" s="33">
        <f>IF(ISERROR(TER_rest_ele_kWh/1000),0,TER_rest_ele_kWh/1000)</f>
        <v>7459.3416738779097</v>
      </c>
      <c r="C32" s="39">
        <f>IF(ISERROR(B32*3.6/1000000/'E Balans VL '!Z8*100),0,B32*3.6/1000000/'E Balans VL '!Z8*100)</f>
        <v>6.1508000245686291E-2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5</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56426.632660534728</v>
      </c>
      <c r="C5" s="17">
        <f>IF(ISERROR('Eigen informatie GS &amp; warmtenet'!B59),0,'Eigen informatie GS &amp; warmtenet'!B59)</f>
        <v>0</v>
      </c>
      <c r="D5" s="30">
        <f>SUM(D6:D15)</f>
        <v>40977.289403306444</v>
      </c>
      <c r="E5" s="17">
        <f>SUM(E6:E15)</f>
        <v>620.13901283931568</v>
      </c>
      <c r="F5" s="17">
        <f>SUM(F6:F15)</f>
        <v>10305.377960788901</v>
      </c>
      <c r="G5" s="18"/>
      <c r="H5" s="17"/>
      <c r="I5" s="17"/>
      <c r="J5" s="17">
        <f>SUM(J6:J15)</f>
        <v>671.22040507560996</v>
      </c>
      <c r="K5" s="17"/>
      <c r="L5" s="17"/>
      <c r="M5" s="17"/>
      <c r="N5" s="17">
        <f>SUM(N6:N15)</f>
        <v>652.96150439686403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25404.402057752697</v>
      </c>
      <c r="C8" s="33"/>
      <c r="D8" s="37">
        <f>IF( ISERROR(IND_metaal_Gas_kWH/1000),0,IND_metaal_Gas_kWH/1000)*0.902</f>
        <v>489.86752385878219</v>
      </c>
      <c r="E8" s="33">
        <f>C30*'E Balans VL '!I18/100/3.6*1000000</f>
        <v>178.51112803276874</v>
      </c>
      <c r="F8" s="33">
        <f>C30*'E Balans VL '!L18/100/3.6*1000000+C30*'E Balans VL '!N18/100/3.6*1000000</f>
        <v>2789.2547155597372</v>
      </c>
      <c r="G8" s="34"/>
      <c r="H8" s="33"/>
      <c r="I8" s="33"/>
      <c r="J8" s="40">
        <f>C30*'E Balans VL '!D18/100/3.6*1000000+C30*'E Balans VL '!E18/100/3.6*1000000</f>
        <v>524.14757089061629</v>
      </c>
      <c r="K8" s="33"/>
      <c r="L8" s="33"/>
      <c r="M8" s="33"/>
      <c r="N8" s="33">
        <f>C30*'E Balans VL '!Y18/100/3.6*1000000</f>
        <v>95.217528535530818</v>
      </c>
      <c r="O8" s="33"/>
      <c r="P8" s="33"/>
      <c r="R8" s="32"/>
    </row>
    <row r="9" spans="1:18">
      <c r="A9" s="6" t="s">
        <v>33</v>
      </c>
      <c r="B9" s="37">
        <f t="shared" si="0"/>
        <v>2181.5137701541898</v>
      </c>
      <c r="C9" s="33"/>
      <c r="D9" s="37">
        <f>IF( ISERROR(IND_andere_gas_kWh/1000),0,IND_andere_gas_kWh/1000)*0.902</f>
        <v>1804.8886021439473</v>
      </c>
      <c r="E9" s="33">
        <f>C31*'E Balans VL '!I19/100/3.6*1000000</f>
        <v>36.641196209434312</v>
      </c>
      <c r="F9" s="33">
        <f>C31*'E Balans VL '!L19/100/3.6*1000000+C31*'E Balans VL '!N19/100/3.6*1000000</f>
        <v>1705.3832157596248</v>
      </c>
      <c r="G9" s="34"/>
      <c r="H9" s="33"/>
      <c r="I9" s="33"/>
      <c r="J9" s="40">
        <f>C31*'E Balans VL '!D19/100/3.6*1000000+C31*'E Balans VL '!E19/100/3.6*1000000</f>
        <v>0.19675328500616418</v>
      </c>
      <c r="K9" s="33"/>
      <c r="L9" s="33"/>
      <c r="M9" s="33"/>
      <c r="N9" s="33">
        <f>C31*'E Balans VL '!Y19/100/3.6*1000000</f>
        <v>161.68516967562422</v>
      </c>
      <c r="O9" s="33"/>
      <c r="P9" s="33"/>
      <c r="R9" s="32"/>
    </row>
    <row r="10" spans="1:18">
      <c r="A10" s="6" t="s">
        <v>41</v>
      </c>
      <c r="B10" s="37">
        <f t="shared" si="0"/>
        <v>969.55529928880389</v>
      </c>
      <c r="C10" s="33"/>
      <c r="D10" s="37">
        <f>IF( ISERROR(IND_voed_gas_kWh/1000),0,IND_voed_gas_kWh/1000)*0.902</f>
        <v>1322.0907765732261</v>
      </c>
      <c r="E10" s="33">
        <f>C32*'E Balans VL '!I20/100/3.6*1000000</f>
        <v>8.8458196520257957</v>
      </c>
      <c r="F10" s="33">
        <f>C32*'E Balans VL '!L20/100/3.6*1000000+C32*'E Balans VL '!N20/100/3.6*1000000</f>
        <v>156.4195956903115</v>
      </c>
      <c r="G10" s="34"/>
      <c r="H10" s="33"/>
      <c r="I10" s="33"/>
      <c r="J10" s="40">
        <f>C32*'E Balans VL '!D20/100/3.6*1000000+C32*'E Balans VL '!E20/100/3.6*1000000</f>
        <v>3.9932643936952248</v>
      </c>
      <c r="K10" s="33"/>
      <c r="L10" s="33"/>
      <c r="M10" s="33"/>
      <c r="N10" s="33">
        <f>C32*'E Balans VL '!Y20/100/3.6*1000000</f>
        <v>14.183829512784756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6651.0007907551399</v>
      </c>
      <c r="C13" s="33"/>
      <c r="D13" s="37">
        <f>IF( ISERROR(IND_papier_gas_kWh/1000),0,IND_papier_gas_kWh/1000)*0.902</f>
        <v>135.53957028332536</v>
      </c>
      <c r="E13" s="33">
        <f>C35*'E Balans VL '!I23/100/3.6*1000000</f>
        <v>204.63393676538004</v>
      </c>
      <c r="F13" s="33">
        <f>C35*'E Balans VL '!L23/100/3.6*1000000+C35*'E Balans VL '!N23/100/3.6*1000000</f>
        <v>1412.2399066219168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21220.160742583899</v>
      </c>
      <c r="C15" s="33"/>
      <c r="D15" s="37">
        <f>IF( ISERROR(IND_rest_gas_kWh/1000),0,IND_rest_gas_kWh/1000)*0.902</f>
        <v>37224.902930447162</v>
      </c>
      <c r="E15" s="33">
        <f>C37*'E Balans VL '!I15/100/3.6*1000000</f>
        <v>191.50693217970675</v>
      </c>
      <c r="F15" s="33">
        <f>C37*'E Balans VL '!L15/100/3.6*1000000+C37*'E Balans VL '!N15/100/3.6*1000000</f>
        <v>4242.0805271573099</v>
      </c>
      <c r="G15" s="34"/>
      <c r="H15" s="33"/>
      <c r="I15" s="33"/>
      <c r="J15" s="40">
        <f>C37*'E Balans VL '!D15/100/3.6*1000000+C37*'E Balans VL '!E15/100/3.6*1000000</f>
        <v>142.88281650629227</v>
      </c>
      <c r="K15" s="33"/>
      <c r="L15" s="33"/>
      <c r="M15" s="33"/>
      <c r="N15" s="33">
        <f>C37*'E Balans VL '!Y15/100/3.6*1000000</f>
        <v>381.87497667292422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56426.632660534728</v>
      </c>
      <c r="C18" s="21">
        <f>C5+C16</f>
        <v>0</v>
      </c>
      <c r="D18" s="21">
        <f>MAX((D5+D16),0)</f>
        <v>40977.289403306444</v>
      </c>
      <c r="E18" s="21">
        <f>MAX((E5+E16),0)</f>
        <v>620.13901283931568</v>
      </c>
      <c r="F18" s="21">
        <f>MAX((F5+F16),0)</f>
        <v>10305.377960788901</v>
      </c>
      <c r="G18" s="21"/>
      <c r="H18" s="21"/>
      <c r="I18" s="21"/>
      <c r="J18" s="21">
        <f>MAX((J5+J16),0)</f>
        <v>671.22040507560996</v>
      </c>
      <c r="K18" s="21"/>
      <c r="L18" s="21">
        <f>MAX((L5+L16),0)</f>
        <v>0</v>
      </c>
      <c r="M18" s="21"/>
      <c r="N18" s="21">
        <f>MAX((N5+N16),0)</f>
        <v>652.96150439686403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0.19232812465765503</v>
      </c>
      <c r="C20" s="25">
        <f ca="1">'EF ele_warmte'!B22</f>
        <v>0.184730679696442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10852.428440347032</v>
      </c>
      <c r="C22" s="23">
        <f ca="1">C18*C20</f>
        <v>0</v>
      </c>
      <c r="D22" s="23">
        <f>D18*D20</f>
        <v>8277.4124594679015</v>
      </c>
      <c r="E22" s="23">
        <f>E18*E20</f>
        <v>140.77155591452467</v>
      </c>
      <c r="F22" s="23">
        <f>F18*F20</f>
        <v>2751.5359155306369</v>
      </c>
      <c r="G22" s="23"/>
      <c r="H22" s="23"/>
      <c r="I22" s="23"/>
      <c r="J22" s="23">
        <f>J18*J20</f>
        <v>237.61202339676592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25404.402057752697</v>
      </c>
      <c r="C30" s="39">
        <f>IF(ISERROR(B30*3.6/1000000/'E Balans VL '!Z18*100),0,B30*3.6/1000000/'E Balans VL '!Z18*100)</f>
        <v>1.6911865582124745</v>
      </c>
      <c r="D30" s="238" t="s">
        <v>719</v>
      </c>
    </row>
    <row r="31" spans="1:18">
      <c r="A31" s="6" t="s">
        <v>33</v>
      </c>
      <c r="B31" s="37">
        <f>IF( ISERROR(IND_ander_ele_kWh/1000),0,IND_ander_ele_kWh/1000)</f>
        <v>2181.5137701541898</v>
      </c>
      <c r="C31" s="39">
        <f>IF(ISERROR(B31*3.6/1000000/'E Balans VL '!Z19*100),0,B31*3.6/1000000/'E Balans VL '!Z19*100)</f>
        <v>9.669786020780767E-2</v>
      </c>
      <c r="D31" s="238" t="s">
        <v>719</v>
      </c>
    </row>
    <row r="32" spans="1:18">
      <c r="A32" s="172" t="s">
        <v>41</v>
      </c>
      <c r="B32" s="37">
        <f>IF( ISERROR(IND_voed_ele_kWh/1000),0,IND_voed_ele_kWh/1000)</f>
        <v>969.55529928880389</v>
      </c>
      <c r="C32" s="39">
        <f>IF(ISERROR(B32*3.6/1000000/'E Balans VL '!Z20*100),0,B32*3.6/1000000/'E Balans VL '!Z20*100)</f>
        <v>3.238592829042989E-2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6651.0007907551399</v>
      </c>
      <c r="C35" s="39">
        <f>IF(ISERROR(B35*3.6/1000000/'E Balans VL '!Z22*100),0,B35*3.6/1000000/'E Balans VL '!Z22*100)</f>
        <v>1.2935465967110042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21220.160742583899</v>
      </c>
      <c r="C37" s="39">
        <f>IF(ISERROR(B37*3.6/1000000/'E Balans VL '!Z15*100),0,B37*3.6/1000000/'E Balans VL '!Z15*100)</f>
        <v>0.15784342532583162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3823.4536556696935</v>
      </c>
      <c r="C5" s="17">
        <f>'Eigen informatie GS &amp; warmtenet'!B60</f>
        <v>0</v>
      </c>
      <c r="D5" s="30">
        <f>IF(ISERROR(SUM(LB_lb_gas_kWh,LB_rest_gas_kWh)/1000),0,SUM(LB_lb_gas_kWh,LB_rest_gas_kWh)/1000)*0.902</f>
        <v>155374.9742472253</v>
      </c>
      <c r="E5" s="17">
        <f>B17*'E Balans VL '!I25/3.6*1000000/100</f>
        <v>40.040034426134277</v>
      </c>
      <c r="F5" s="17">
        <f>B17*('E Balans VL '!L25/3.6*1000000+'E Balans VL '!N25/3.6*1000000)/100</f>
        <v>16367.286854038592</v>
      </c>
      <c r="G5" s="18"/>
      <c r="H5" s="17"/>
      <c r="I5" s="17"/>
      <c r="J5" s="17">
        <f>('E Balans VL '!D25+'E Balans VL '!E25)/3.6*1000000*landbouw!B17/100</f>
        <v>341.46868165105735</v>
      </c>
      <c r="K5" s="17"/>
      <c r="L5" s="17">
        <f>L6*(-1)</f>
        <v>42615</v>
      </c>
      <c r="M5" s="17"/>
      <c r="N5" s="17">
        <f>N6*(-1)</f>
        <v>0</v>
      </c>
      <c r="O5" s="17"/>
      <c r="P5" s="17"/>
      <c r="R5" s="32"/>
    </row>
    <row r="6" spans="1:18">
      <c r="A6" s="16" t="s">
        <v>496</v>
      </c>
      <c r="B6" s="17" t="s">
        <v>211</v>
      </c>
      <c r="C6" s="17">
        <f>'lokale energieproductie'!O92+'lokale energieproductie'!O61</f>
        <v>87772.66071428571</v>
      </c>
      <c r="D6" s="311">
        <f>('lokale energieproductie'!P61+'lokale energieproductie'!P92)*(-1)</f>
        <v>-130448.57142857143</v>
      </c>
      <c r="E6" s="249"/>
      <c r="F6" s="311">
        <f>('lokale energieproductie'!S61+'lokale energieproductie'!S92)*(-1)</f>
        <v>-7492.5</v>
      </c>
      <c r="G6" s="250"/>
      <c r="H6" s="249"/>
      <c r="I6" s="249"/>
      <c r="J6" s="249"/>
      <c r="K6" s="249"/>
      <c r="L6" s="311">
        <f>('lokale energieproductie'!T61+'lokale energieproductie'!U61+'lokale energieproductie'!T92+'lokale energieproductie'!U92)*(-1)</f>
        <v>-42615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3823.4536556696935</v>
      </c>
      <c r="C8" s="21">
        <f>C5+C6</f>
        <v>87772.66071428571</v>
      </c>
      <c r="D8" s="21">
        <f>MAX((D5+D6),0)</f>
        <v>24926.402818653864</v>
      </c>
      <c r="E8" s="21">
        <f>MAX((E5+E6),0)</f>
        <v>40.040034426134277</v>
      </c>
      <c r="F8" s="21">
        <f>MAX((F5+F6),0)</f>
        <v>8874.7868540385916</v>
      </c>
      <c r="G8" s="21"/>
      <c r="H8" s="21"/>
      <c r="I8" s="21"/>
      <c r="J8" s="21">
        <f>MAX((J5+J6),0)</f>
        <v>341.46868165105735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0.19232812465765503</v>
      </c>
      <c r="C10" s="31">
        <f ca="1">'EF ele_warmte'!B22</f>
        <v>0.184730679696442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735.35767131040768</v>
      </c>
      <c r="C12" s="23">
        <f ca="1">C8*C10</f>
        <v>16214.303272515192</v>
      </c>
      <c r="D12" s="23">
        <f>D8*D10</f>
        <v>5035.1333693680808</v>
      </c>
      <c r="E12" s="23">
        <f>E8*E10</f>
        <v>9.0890878147324816</v>
      </c>
      <c r="F12" s="23">
        <f>F8*F10</f>
        <v>2369.5680900283041</v>
      </c>
      <c r="G12" s="23"/>
      <c r="H12" s="23"/>
      <c r="I12" s="23"/>
      <c r="J12" s="23">
        <f>J8*J10</f>
        <v>120.8799133044743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0.58850332390240823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238.58520032315198</v>
      </c>
      <c r="C26" s="248">
        <f>B26*'GWP N2O_CH4'!B5</f>
        <v>5010.2892067861912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43.242282188463534</v>
      </c>
      <c r="C27" s="248">
        <f>B27*'GWP N2O_CH4'!B5</f>
        <v>908.08792595773423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3.6941144933396037</v>
      </c>
      <c r="C28" s="248">
        <f>B28*'GWP N2O_CH4'!B4</f>
        <v>1145.1754929352771</v>
      </c>
      <c r="D28" s="50"/>
    </row>
    <row r="29" spans="1:4">
      <c r="A29" s="41" t="s">
        <v>277</v>
      </c>
      <c r="B29" s="248">
        <f>B34*'ha_N2O bodem landbouw'!B4</f>
        <v>17.580259862790463</v>
      </c>
      <c r="C29" s="248">
        <f>B29*'GWP N2O_CH4'!B4</f>
        <v>5449.8805574650432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2.9053688361276816E-3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5.543913443823865E-6</v>
      </c>
      <c r="C5" s="446" t="s">
        <v>211</v>
      </c>
      <c r="D5" s="431">
        <f>SUM(D6:D11)</f>
        <v>2.5583046972551891E-5</v>
      </c>
      <c r="E5" s="431">
        <f>SUM(E6:E11)</f>
        <v>2.6273501377903244E-3</v>
      </c>
      <c r="F5" s="444" t="s">
        <v>211</v>
      </c>
      <c r="G5" s="431">
        <f>SUM(G6:G11)</f>
        <v>0.51476292285201564</v>
      </c>
      <c r="H5" s="431">
        <f>SUM(H6:H11)</f>
        <v>8.5682410048894542E-2</v>
      </c>
      <c r="I5" s="446" t="s">
        <v>211</v>
      </c>
      <c r="J5" s="446" t="s">
        <v>211</v>
      </c>
      <c r="K5" s="446" t="s">
        <v>211</v>
      </c>
      <c r="L5" s="446" t="s">
        <v>211</v>
      </c>
      <c r="M5" s="431">
        <f>SUM(M6:M11)</f>
        <v>2.6192749132880062E-2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5.0519745722095447E-6</v>
      </c>
      <c r="C6" s="432"/>
      <c r="D6" s="432">
        <f>vkm_2011_GW_PW*SUMIFS(TableVerdeelsleutelVkm[CNG],TableVerdeelsleutelVkm[Voertuigtype],"Lichte voertuigen")*SUMIFS(TableECFTransport[EnergieConsumptieFactor (PJ per km)],TableECFTransport[Index],CONCATENATE($A6,"_CNG_CNG"))</f>
        <v>2.1778475139919445E-5</v>
      </c>
      <c r="E6" s="434">
        <f>vkm_2011_GW_PW*SUMIFS(TableVerdeelsleutelVkm[LPG],TableVerdeelsleutelVkm[Voertuigtype],"Lichte voertuigen")*SUMIFS(TableECFTransport[EnergieConsumptieFactor (PJ per km)],TableECFTransport[Index],CONCATENATE($A6,"_LPG_LPG"))</f>
        <v>2.2659167083898006E-3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0.27871397570524364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7.3379614007877778E-2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1.5430429102585934E-2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0.18761977054499301</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6.4332219351278684E-5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8.1048225490542251E-3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4.9193887161432015E-7</v>
      </c>
      <c r="C8" s="432"/>
      <c r="D8" s="434">
        <f>vkm_2011_NGW_PW*SUMIFS(TableVerdeelsleutelVkm[CNG],TableVerdeelsleutelVkm[Voertuigtype],"Lichte voertuigen")*SUMIFS(TableECFTransport[EnergieConsumptieFactor (PJ per km)],TableECFTransport[Index],CONCATENATE($A8,"_CNG_CNG"))</f>
        <v>3.8045718326324455E-6</v>
      </c>
      <c r="E8" s="434">
        <f>vkm_2011_NGW_PW*SUMIFS(TableVerdeelsleutelVkm[LPG],TableVerdeelsleutelVkm[Voertuigtype],"Lichte voertuigen")*SUMIFS(TableECFTransport[EnergieConsumptieFactor (PJ per km)],TableECFTransport[Index],CONCATENATE($A8,"_LPG_LPG"))</f>
        <v>3.614334294005238E-4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4.2166740619261144E-2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1.2236598406507249E-2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2.3869850221653307E-3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6.2624359825178728E-3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1.865415158242178E-6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2.7051245907457473E-4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1.5399759566177404</v>
      </c>
      <c r="C14" s="21"/>
      <c r="D14" s="21">
        <f t="shared" ref="D14:M14" si="0">((D5)*10^9/3600)+D12</f>
        <v>7.10640193681997</v>
      </c>
      <c r="E14" s="21">
        <f t="shared" si="0"/>
        <v>729.81948271953445</v>
      </c>
      <c r="F14" s="21"/>
      <c r="G14" s="21">
        <f t="shared" si="0"/>
        <v>142989.70079222656</v>
      </c>
      <c r="H14" s="21">
        <f t="shared" si="0"/>
        <v>23800.669458026259</v>
      </c>
      <c r="I14" s="21"/>
      <c r="J14" s="21"/>
      <c r="K14" s="21"/>
      <c r="L14" s="21"/>
      <c r="M14" s="21">
        <f t="shared" si="0"/>
        <v>7275.7636480222391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0.19232812465765503</v>
      </c>
      <c r="C16" s="56">
        <f ca="1">'EF ele_warmte'!B22</f>
        <v>0.184730679696442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0.29618068775416834</v>
      </c>
      <c r="C18" s="23"/>
      <c r="D18" s="23">
        <f t="shared" ref="D18:M18" si="1">D14*D16</f>
        <v>1.4354931912376341</v>
      </c>
      <c r="E18" s="23">
        <f t="shared" si="1"/>
        <v>165.66902257733432</v>
      </c>
      <c r="F18" s="23"/>
      <c r="G18" s="23">
        <f t="shared" si="1"/>
        <v>38178.250111524496</v>
      </c>
      <c r="H18" s="23">
        <f t="shared" si="1"/>
        <v>5926.3666950485385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1.8173626995361292E-2</v>
      </c>
      <c r="H50" s="322">
        <f t="shared" si="2"/>
        <v>0</v>
      </c>
      <c r="I50" s="322">
        <f t="shared" si="2"/>
        <v>0</v>
      </c>
      <c r="J50" s="322">
        <f t="shared" si="2"/>
        <v>0</v>
      </c>
      <c r="K50" s="322">
        <f t="shared" si="2"/>
        <v>0</v>
      </c>
      <c r="L50" s="322">
        <f t="shared" si="2"/>
        <v>0</v>
      </c>
      <c r="M50" s="322">
        <f t="shared" si="2"/>
        <v>7.7466276391563677E-4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1.8173626995361292E-2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7.7466276391563677E-4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5048.2297209336921</v>
      </c>
      <c r="H54" s="21">
        <f t="shared" si="3"/>
        <v>0</v>
      </c>
      <c r="I54" s="21">
        <f t="shared" si="3"/>
        <v>0</v>
      </c>
      <c r="J54" s="21">
        <f t="shared" si="3"/>
        <v>0</v>
      </c>
      <c r="K54" s="21">
        <f t="shared" si="3"/>
        <v>0</v>
      </c>
      <c r="L54" s="21">
        <f t="shared" si="3"/>
        <v>0</v>
      </c>
      <c r="M54" s="21">
        <f t="shared" si="3"/>
        <v>215.18410108767688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0.19232812465765503</v>
      </c>
      <c r="C56" s="56">
        <f ca="1">'EF ele_warmte'!B22</f>
        <v>0.184730679696442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1347.8773354892958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70827.062440148453</v>
      </c>
      <c r="D10" s="687">
        <f ca="1">tertiair!C16</f>
        <v>0</v>
      </c>
      <c r="E10" s="687">
        <f ca="1">tertiair!D16</f>
        <v>64109.761230397293</v>
      </c>
      <c r="F10" s="687">
        <f>tertiair!E16</f>
        <v>1067.1079154688189</v>
      </c>
      <c r="G10" s="687">
        <f ca="1">tertiair!F16</f>
        <v>11804.158457525111</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95.333333333333343</v>
      </c>
      <c r="R10" s="690">
        <f ca="1">SUM(C10:Q10)</f>
        <v>147904.98671020631</v>
      </c>
      <c r="S10" s="67"/>
    </row>
    <row r="11" spans="1:19" s="456" customFormat="1">
      <c r="A11" s="802" t="s">
        <v>225</v>
      </c>
      <c r="B11" s="807"/>
      <c r="C11" s="687">
        <f>huishoudens!B8</f>
        <v>62152.568018054713</v>
      </c>
      <c r="D11" s="687">
        <f>huishoudens!C8</f>
        <v>0</v>
      </c>
      <c r="E11" s="687">
        <f>huishoudens!D8</f>
        <v>163506.64520879282</v>
      </c>
      <c r="F11" s="687">
        <f>huishoudens!E8</f>
        <v>4059.6837631933304</v>
      </c>
      <c r="G11" s="687">
        <f>huishoudens!F8</f>
        <v>0</v>
      </c>
      <c r="H11" s="687">
        <f>huishoudens!G8</f>
        <v>0</v>
      </c>
      <c r="I11" s="687">
        <f>huishoudens!H8</f>
        <v>0</v>
      </c>
      <c r="J11" s="687">
        <f>huishoudens!I8</f>
        <v>0</v>
      </c>
      <c r="K11" s="687">
        <f>huishoudens!J8</f>
        <v>1181.865192330557</v>
      </c>
      <c r="L11" s="687">
        <f>huishoudens!K8</f>
        <v>0</v>
      </c>
      <c r="M11" s="687">
        <f>huishoudens!L8</f>
        <v>0</v>
      </c>
      <c r="N11" s="687">
        <f>huishoudens!M8</f>
        <v>0</v>
      </c>
      <c r="O11" s="687">
        <f>huishoudens!N8</f>
        <v>8967.4198933677417</v>
      </c>
      <c r="P11" s="687">
        <f>huishoudens!O8</f>
        <v>101.61666666666667</v>
      </c>
      <c r="Q11" s="688">
        <f>huishoudens!P8</f>
        <v>247.86666666666667</v>
      </c>
      <c r="R11" s="690">
        <f>SUM(C11:Q11)</f>
        <v>240217.66540907248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56426.632660534728</v>
      </c>
      <c r="D13" s="687">
        <f>industrie!C18</f>
        <v>0</v>
      </c>
      <c r="E13" s="687">
        <f>industrie!D18</f>
        <v>40977.289403306444</v>
      </c>
      <c r="F13" s="687">
        <f>industrie!E18</f>
        <v>620.13901283931568</v>
      </c>
      <c r="G13" s="687">
        <f>industrie!F18</f>
        <v>10305.377960788901</v>
      </c>
      <c r="H13" s="687">
        <f>industrie!G18</f>
        <v>0</v>
      </c>
      <c r="I13" s="687">
        <f>industrie!H18</f>
        <v>0</v>
      </c>
      <c r="J13" s="687">
        <f>industrie!I18</f>
        <v>0</v>
      </c>
      <c r="K13" s="687">
        <f>industrie!J18</f>
        <v>671.22040507560996</v>
      </c>
      <c r="L13" s="687">
        <f>industrie!K18</f>
        <v>0</v>
      </c>
      <c r="M13" s="687">
        <f>industrie!L18</f>
        <v>0</v>
      </c>
      <c r="N13" s="687">
        <f>industrie!M18</f>
        <v>0</v>
      </c>
      <c r="O13" s="687">
        <f>industrie!N18</f>
        <v>652.96150439686403</v>
      </c>
      <c r="P13" s="687">
        <f>industrie!O18</f>
        <v>0</v>
      </c>
      <c r="Q13" s="688">
        <f>industrie!P18</f>
        <v>0</v>
      </c>
      <c r="R13" s="690">
        <f>SUM(C13:Q13)</f>
        <v>109653.62094694185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189406.2631187379</v>
      </c>
      <c r="D16" s="720">
        <f t="shared" ref="D16:R16" ca="1" si="0">SUM(D9:D15)</f>
        <v>0</v>
      </c>
      <c r="E16" s="720">
        <f t="shared" ca="1" si="0"/>
        <v>268593.69584249659</v>
      </c>
      <c r="F16" s="720">
        <f t="shared" si="0"/>
        <v>5746.9306915014649</v>
      </c>
      <c r="G16" s="720">
        <f t="shared" ca="1" si="0"/>
        <v>22109.536418314012</v>
      </c>
      <c r="H16" s="720">
        <f t="shared" si="0"/>
        <v>0</v>
      </c>
      <c r="I16" s="720">
        <f t="shared" si="0"/>
        <v>0</v>
      </c>
      <c r="J16" s="720">
        <f t="shared" si="0"/>
        <v>0</v>
      </c>
      <c r="K16" s="720">
        <f t="shared" si="0"/>
        <v>1853.0855974061669</v>
      </c>
      <c r="L16" s="720">
        <f t="shared" si="0"/>
        <v>0</v>
      </c>
      <c r="M16" s="720">
        <f t="shared" ca="1" si="0"/>
        <v>0</v>
      </c>
      <c r="N16" s="720">
        <f t="shared" si="0"/>
        <v>0</v>
      </c>
      <c r="O16" s="720">
        <f t="shared" ca="1" si="0"/>
        <v>9620.3813977646059</v>
      </c>
      <c r="P16" s="720">
        <f t="shared" si="0"/>
        <v>103.18</v>
      </c>
      <c r="Q16" s="720">
        <f t="shared" si="0"/>
        <v>343.20000000000005</v>
      </c>
      <c r="R16" s="720">
        <f t="shared" ca="1" si="0"/>
        <v>497776.27306622063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5048.2297209336921</v>
      </c>
      <c r="I19" s="687">
        <f>transport!H54</f>
        <v>0</v>
      </c>
      <c r="J19" s="687">
        <f>transport!I54</f>
        <v>0</v>
      </c>
      <c r="K19" s="687">
        <f>transport!J54</f>
        <v>0</v>
      </c>
      <c r="L19" s="687">
        <f>transport!K54</f>
        <v>0</v>
      </c>
      <c r="M19" s="687">
        <f>transport!L54</f>
        <v>0</v>
      </c>
      <c r="N19" s="687">
        <f>transport!M54</f>
        <v>215.18410108767688</v>
      </c>
      <c r="O19" s="687">
        <f>transport!N54</f>
        <v>0</v>
      </c>
      <c r="P19" s="687">
        <f>transport!O54</f>
        <v>0</v>
      </c>
      <c r="Q19" s="688">
        <f>transport!P54</f>
        <v>0</v>
      </c>
      <c r="R19" s="690">
        <f>SUM(C19:Q19)</f>
        <v>5263.413822021369</v>
      </c>
      <c r="S19" s="67"/>
    </row>
    <row r="20" spans="1:19" s="456" customFormat="1">
      <c r="A20" s="802" t="s">
        <v>307</v>
      </c>
      <c r="B20" s="807"/>
      <c r="C20" s="687">
        <f>transport!B14</f>
        <v>1.5399759566177404</v>
      </c>
      <c r="D20" s="687">
        <f>transport!C14</f>
        <v>0</v>
      </c>
      <c r="E20" s="687">
        <f>transport!D14</f>
        <v>7.10640193681997</v>
      </c>
      <c r="F20" s="687">
        <f>transport!E14</f>
        <v>729.81948271953445</v>
      </c>
      <c r="G20" s="687">
        <f>transport!F14</f>
        <v>0</v>
      </c>
      <c r="H20" s="687">
        <f>transport!G14</f>
        <v>142989.70079222656</v>
      </c>
      <c r="I20" s="687">
        <f>transport!H14</f>
        <v>23800.669458026259</v>
      </c>
      <c r="J20" s="687">
        <f>transport!I14</f>
        <v>0</v>
      </c>
      <c r="K20" s="687">
        <f>transport!J14</f>
        <v>0</v>
      </c>
      <c r="L20" s="687">
        <f>transport!K14</f>
        <v>0</v>
      </c>
      <c r="M20" s="687">
        <f>transport!L14</f>
        <v>0</v>
      </c>
      <c r="N20" s="687">
        <f>transport!M14</f>
        <v>7275.7636480222391</v>
      </c>
      <c r="O20" s="687">
        <f>transport!N14</f>
        <v>0</v>
      </c>
      <c r="P20" s="687">
        <f>transport!O14</f>
        <v>0</v>
      </c>
      <c r="Q20" s="688">
        <f>transport!P14</f>
        <v>0</v>
      </c>
      <c r="R20" s="690">
        <f>SUM(C20:Q20)</f>
        <v>174804.59975888804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1.5399759566177404</v>
      </c>
      <c r="D22" s="805">
        <f t="shared" ref="D22:R22" si="1">SUM(D18:D21)</f>
        <v>0</v>
      </c>
      <c r="E22" s="805">
        <f t="shared" si="1"/>
        <v>7.10640193681997</v>
      </c>
      <c r="F22" s="805">
        <f t="shared" si="1"/>
        <v>729.81948271953445</v>
      </c>
      <c r="G22" s="805">
        <f t="shared" si="1"/>
        <v>0</v>
      </c>
      <c r="H22" s="805">
        <f t="shared" si="1"/>
        <v>148037.93051316025</v>
      </c>
      <c r="I22" s="805">
        <f t="shared" si="1"/>
        <v>23800.669458026259</v>
      </c>
      <c r="J22" s="805">
        <f t="shared" si="1"/>
        <v>0</v>
      </c>
      <c r="K22" s="805">
        <f t="shared" si="1"/>
        <v>0</v>
      </c>
      <c r="L22" s="805">
        <f t="shared" si="1"/>
        <v>0</v>
      </c>
      <c r="M22" s="805">
        <f t="shared" si="1"/>
        <v>0</v>
      </c>
      <c r="N22" s="805">
        <f t="shared" si="1"/>
        <v>7490.947749109916</v>
      </c>
      <c r="O22" s="805">
        <f t="shared" si="1"/>
        <v>0</v>
      </c>
      <c r="P22" s="805">
        <f t="shared" si="1"/>
        <v>0</v>
      </c>
      <c r="Q22" s="805">
        <f t="shared" si="1"/>
        <v>0</v>
      </c>
      <c r="R22" s="805">
        <f t="shared" si="1"/>
        <v>180068.01358090941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3823.4536556696935</v>
      </c>
      <c r="D24" s="687">
        <f>+landbouw!C8</f>
        <v>87772.66071428571</v>
      </c>
      <c r="E24" s="687">
        <f>+landbouw!D8</f>
        <v>24926.402818653864</v>
      </c>
      <c r="F24" s="687">
        <f>+landbouw!E8</f>
        <v>40.040034426134277</v>
      </c>
      <c r="G24" s="687">
        <f>+landbouw!F8</f>
        <v>8874.7868540385916</v>
      </c>
      <c r="H24" s="687">
        <f>+landbouw!G8</f>
        <v>0</v>
      </c>
      <c r="I24" s="687">
        <f>+landbouw!H8</f>
        <v>0</v>
      </c>
      <c r="J24" s="687">
        <f>+landbouw!I8</f>
        <v>0</v>
      </c>
      <c r="K24" s="687">
        <f>+landbouw!J8</f>
        <v>341.46868165105735</v>
      </c>
      <c r="L24" s="687">
        <f>+landbouw!K8</f>
        <v>0</v>
      </c>
      <c r="M24" s="687">
        <f>+landbouw!L8</f>
        <v>0</v>
      </c>
      <c r="N24" s="687">
        <f>+landbouw!M8</f>
        <v>0</v>
      </c>
      <c r="O24" s="687">
        <f>+landbouw!N8</f>
        <v>0</v>
      </c>
      <c r="P24" s="687">
        <f>+landbouw!O8</f>
        <v>0</v>
      </c>
      <c r="Q24" s="688">
        <f>+landbouw!P8</f>
        <v>0</v>
      </c>
      <c r="R24" s="690">
        <f>SUM(C24:Q24)</f>
        <v>125778.81275872505</v>
      </c>
      <c r="S24" s="67"/>
    </row>
    <row r="25" spans="1:19" s="456" customFormat="1" ht="15" thickBot="1">
      <c r="A25" s="824" t="s">
        <v>925</v>
      </c>
      <c r="B25" s="988"/>
      <c r="C25" s="989">
        <f>IF(Onbekend_ele_kWh="---",0,Onbekend_ele_kWh)/1000+IF(REST_rest_ele_kWh="---",0,REST_rest_ele_kWh)/1000</f>
        <v>3477.3980982152298</v>
      </c>
      <c r="D25" s="989"/>
      <c r="E25" s="989">
        <f>IF(onbekend_gas_kWh="---",0,onbekend_gas_kWh)/1000+IF(REST_rest_gas_kWh="---",0,REST_rest_gas_kWh)/1000</f>
        <v>8126.1607266495603</v>
      </c>
      <c r="F25" s="989"/>
      <c r="G25" s="989"/>
      <c r="H25" s="989"/>
      <c r="I25" s="989"/>
      <c r="J25" s="989"/>
      <c r="K25" s="989"/>
      <c r="L25" s="989"/>
      <c r="M25" s="989"/>
      <c r="N25" s="989"/>
      <c r="O25" s="989"/>
      <c r="P25" s="989"/>
      <c r="Q25" s="990"/>
      <c r="R25" s="690">
        <f>SUM(C25:Q25)</f>
        <v>11603.558824864791</v>
      </c>
      <c r="S25" s="67"/>
    </row>
    <row r="26" spans="1:19" s="456" customFormat="1" ht="15.75" thickBot="1">
      <c r="A26" s="693" t="s">
        <v>926</v>
      </c>
      <c r="B26" s="810"/>
      <c r="C26" s="805">
        <f>SUM(C24:C25)</f>
        <v>7300.8517538849228</v>
      </c>
      <c r="D26" s="805">
        <f t="shared" ref="D26:R26" si="2">SUM(D24:D25)</f>
        <v>87772.66071428571</v>
      </c>
      <c r="E26" s="805">
        <f t="shared" si="2"/>
        <v>33052.563545303427</v>
      </c>
      <c r="F26" s="805">
        <f t="shared" si="2"/>
        <v>40.040034426134277</v>
      </c>
      <c r="G26" s="805">
        <f t="shared" si="2"/>
        <v>8874.7868540385916</v>
      </c>
      <c r="H26" s="805">
        <f t="shared" si="2"/>
        <v>0</v>
      </c>
      <c r="I26" s="805">
        <f t="shared" si="2"/>
        <v>0</v>
      </c>
      <c r="J26" s="805">
        <f t="shared" si="2"/>
        <v>0</v>
      </c>
      <c r="K26" s="805">
        <f t="shared" si="2"/>
        <v>341.46868165105735</v>
      </c>
      <c r="L26" s="805">
        <f t="shared" si="2"/>
        <v>0</v>
      </c>
      <c r="M26" s="805">
        <f t="shared" si="2"/>
        <v>0</v>
      </c>
      <c r="N26" s="805">
        <f t="shared" si="2"/>
        <v>0</v>
      </c>
      <c r="O26" s="805">
        <f t="shared" si="2"/>
        <v>0</v>
      </c>
      <c r="P26" s="805">
        <f t="shared" si="2"/>
        <v>0</v>
      </c>
      <c r="Q26" s="805">
        <f t="shared" si="2"/>
        <v>0</v>
      </c>
      <c r="R26" s="805">
        <f t="shared" si="2"/>
        <v>137382.37158358985</v>
      </c>
      <c r="S26" s="67"/>
    </row>
    <row r="27" spans="1:19" s="456" customFormat="1" ht="17.25" thickTop="1" thickBot="1">
      <c r="A27" s="694" t="s">
        <v>116</v>
      </c>
      <c r="B27" s="797"/>
      <c r="C27" s="695">
        <f ca="1">C22+C16+C26</f>
        <v>196708.65484857943</v>
      </c>
      <c r="D27" s="695">
        <f t="shared" ref="D27:R27" ca="1" si="3">D22+D16+D26</f>
        <v>87772.66071428571</v>
      </c>
      <c r="E27" s="695">
        <f t="shared" ca="1" si="3"/>
        <v>301653.3657897368</v>
      </c>
      <c r="F27" s="695">
        <f t="shared" si="3"/>
        <v>6516.790208647134</v>
      </c>
      <c r="G27" s="695">
        <f t="shared" ca="1" si="3"/>
        <v>30984.323272352602</v>
      </c>
      <c r="H27" s="695">
        <f t="shared" si="3"/>
        <v>148037.93051316025</v>
      </c>
      <c r="I27" s="695">
        <f t="shared" si="3"/>
        <v>23800.669458026259</v>
      </c>
      <c r="J27" s="695">
        <f t="shared" si="3"/>
        <v>0</v>
      </c>
      <c r="K27" s="695">
        <f t="shared" si="3"/>
        <v>2194.5542790572244</v>
      </c>
      <c r="L27" s="695">
        <f t="shared" si="3"/>
        <v>0</v>
      </c>
      <c r="M27" s="695">
        <f t="shared" ca="1" si="3"/>
        <v>0</v>
      </c>
      <c r="N27" s="695">
        <f t="shared" si="3"/>
        <v>7490.947749109916</v>
      </c>
      <c r="O27" s="695">
        <f t="shared" ca="1" si="3"/>
        <v>9620.3813977646059</v>
      </c>
      <c r="P27" s="695">
        <f t="shared" si="3"/>
        <v>103.18</v>
      </c>
      <c r="Q27" s="695">
        <f t="shared" si="3"/>
        <v>343.20000000000005</v>
      </c>
      <c r="R27" s="695">
        <f t="shared" ca="1" si="3"/>
        <v>815226.65823071986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13622.036094124389</v>
      </c>
      <c r="D40" s="687">
        <f ca="1">tertiair!C20</f>
        <v>0</v>
      </c>
      <c r="E40" s="687">
        <f ca="1">tertiair!D20</f>
        <v>12950.171768540255</v>
      </c>
      <c r="F40" s="687">
        <f>tertiair!E20</f>
        <v>242.2334968114219</v>
      </c>
      <c r="G40" s="687">
        <f ca="1">tertiair!F20</f>
        <v>3151.7103081592049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29966.151667635269</v>
      </c>
    </row>
    <row r="41" spans="1:18">
      <c r="A41" s="815" t="s">
        <v>225</v>
      </c>
      <c r="B41" s="822"/>
      <c r="C41" s="687">
        <f ca="1">huishoudens!B12</f>
        <v>11953.686849569811</v>
      </c>
      <c r="D41" s="687">
        <f ca="1">huishoudens!C12</f>
        <v>0</v>
      </c>
      <c r="E41" s="687">
        <f>huishoudens!D12</f>
        <v>33028.342332176151</v>
      </c>
      <c r="F41" s="687">
        <f>huishoudens!E12</f>
        <v>921.54821424488603</v>
      </c>
      <c r="G41" s="687">
        <f>huishoudens!F12</f>
        <v>0</v>
      </c>
      <c r="H41" s="687">
        <f>huishoudens!G12</f>
        <v>0</v>
      </c>
      <c r="I41" s="687">
        <f>huishoudens!H12</f>
        <v>0</v>
      </c>
      <c r="J41" s="687">
        <f>huishoudens!I12</f>
        <v>0</v>
      </c>
      <c r="K41" s="687">
        <f>huishoudens!J12</f>
        <v>418.38027808501715</v>
      </c>
      <c r="L41" s="687">
        <f>huishoudens!K12</f>
        <v>0</v>
      </c>
      <c r="M41" s="687">
        <f>huishoudens!L12</f>
        <v>0</v>
      </c>
      <c r="N41" s="687">
        <f>huishoudens!M12</f>
        <v>0</v>
      </c>
      <c r="O41" s="687">
        <f>huishoudens!N12</f>
        <v>0</v>
      </c>
      <c r="P41" s="687">
        <f>huishoudens!O12</f>
        <v>0</v>
      </c>
      <c r="Q41" s="762">
        <f>huishoudens!P12</f>
        <v>0</v>
      </c>
      <c r="R41" s="843">
        <f t="shared" ca="1" si="4"/>
        <v>46321.957674075871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10852.428440347032</v>
      </c>
      <c r="D43" s="687">
        <f ca="1">industrie!C22</f>
        <v>0</v>
      </c>
      <c r="E43" s="687">
        <f>industrie!D22</f>
        <v>8277.4124594679015</v>
      </c>
      <c r="F43" s="687">
        <f>industrie!E22</f>
        <v>140.77155591452467</v>
      </c>
      <c r="G43" s="687">
        <f>industrie!F22</f>
        <v>2751.5359155306369</v>
      </c>
      <c r="H43" s="687">
        <f>industrie!G22</f>
        <v>0</v>
      </c>
      <c r="I43" s="687">
        <f>industrie!H22</f>
        <v>0</v>
      </c>
      <c r="J43" s="687">
        <f>industrie!I22</f>
        <v>0</v>
      </c>
      <c r="K43" s="687">
        <f>industrie!J22</f>
        <v>237.61202339676592</v>
      </c>
      <c r="L43" s="687">
        <f>industrie!K22</f>
        <v>0</v>
      </c>
      <c r="M43" s="687">
        <f>industrie!L22</f>
        <v>0</v>
      </c>
      <c r="N43" s="687">
        <f>industrie!M22</f>
        <v>0</v>
      </c>
      <c r="O43" s="687">
        <f>industrie!N22</f>
        <v>0</v>
      </c>
      <c r="P43" s="687">
        <f>industrie!O22</f>
        <v>0</v>
      </c>
      <c r="Q43" s="762">
        <f>industrie!P22</f>
        <v>0</v>
      </c>
      <c r="R43" s="842">
        <f t="shared" ca="1" si="4"/>
        <v>22259.76039465686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36428.15138404123</v>
      </c>
      <c r="D46" s="720">
        <f t="shared" ref="D46:Q46" ca="1" si="5">SUM(D39:D45)</f>
        <v>0</v>
      </c>
      <c r="E46" s="720">
        <f t="shared" ca="1" si="5"/>
        <v>54255.926560184307</v>
      </c>
      <c r="F46" s="720">
        <f t="shared" si="5"/>
        <v>1304.5532669708325</v>
      </c>
      <c r="G46" s="720">
        <f t="shared" ca="1" si="5"/>
        <v>5903.2462236898418</v>
      </c>
      <c r="H46" s="720">
        <f t="shared" si="5"/>
        <v>0</v>
      </c>
      <c r="I46" s="720">
        <f t="shared" si="5"/>
        <v>0</v>
      </c>
      <c r="J46" s="720">
        <f t="shared" si="5"/>
        <v>0</v>
      </c>
      <c r="K46" s="720">
        <f t="shared" si="5"/>
        <v>655.9923014817831</v>
      </c>
      <c r="L46" s="720">
        <f t="shared" si="5"/>
        <v>0</v>
      </c>
      <c r="M46" s="720">
        <f t="shared" ca="1" si="5"/>
        <v>0</v>
      </c>
      <c r="N46" s="720">
        <f t="shared" si="5"/>
        <v>0</v>
      </c>
      <c r="O46" s="720">
        <f t="shared" ca="1" si="5"/>
        <v>0</v>
      </c>
      <c r="P46" s="720">
        <f t="shared" si="5"/>
        <v>0</v>
      </c>
      <c r="Q46" s="720">
        <f t="shared" si="5"/>
        <v>0</v>
      </c>
      <c r="R46" s="720">
        <f ca="1">SUM(R39:R45)</f>
        <v>98547.869736367997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1347.8773354892958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1347.8773354892958</v>
      </c>
    </row>
    <row r="50" spans="1:18">
      <c r="A50" s="818" t="s">
        <v>307</v>
      </c>
      <c r="B50" s="828"/>
      <c r="C50" s="995">
        <f ca="1">transport!B18</f>
        <v>0.29618068775416834</v>
      </c>
      <c r="D50" s="995">
        <f>transport!C18</f>
        <v>0</v>
      </c>
      <c r="E50" s="995">
        <f>transport!D18</f>
        <v>1.4354931912376341</v>
      </c>
      <c r="F50" s="995">
        <f>transport!E18</f>
        <v>165.66902257733432</v>
      </c>
      <c r="G50" s="995">
        <f>transport!F18</f>
        <v>0</v>
      </c>
      <c r="H50" s="995">
        <f>transport!G18</f>
        <v>38178.250111524496</v>
      </c>
      <c r="I50" s="995">
        <f>transport!H18</f>
        <v>5926.3666950485385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44272.017503029361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0.29618068775416834</v>
      </c>
      <c r="D52" s="720">
        <f t="shared" ref="D52:Q52" ca="1" si="6">SUM(D48:D51)</f>
        <v>0</v>
      </c>
      <c r="E52" s="720">
        <f t="shared" si="6"/>
        <v>1.4354931912376341</v>
      </c>
      <c r="F52" s="720">
        <f t="shared" si="6"/>
        <v>165.66902257733432</v>
      </c>
      <c r="G52" s="720">
        <f t="shared" si="6"/>
        <v>0</v>
      </c>
      <c r="H52" s="720">
        <f t="shared" si="6"/>
        <v>39526.127447013794</v>
      </c>
      <c r="I52" s="720">
        <f t="shared" si="6"/>
        <v>5926.3666950485385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45619.89483851866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735.35767131040768</v>
      </c>
      <c r="D54" s="995">
        <f ca="1">+landbouw!C12</f>
        <v>16214.303272515192</v>
      </c>
      <c r="E54" s="995">
        <f>+landbouw!D12</f>
        <v>5035.1333693680808</v>
      </c>
      <c r="F54" s="995">
        <f>+landbouw!E12</f>
        <v>9.0890878147324816</v>
      </c>
      <c r="G54" s="995">
        <f>+landbouw!F12</f>
        <v>2369.5680900283041</v>
      </c>
      <c r="H54" s="995">
        <f>+landbouw!G12</f>
        <v>0</v>
      </c>
      <c r="I54" s="995">
        <f>+landbouw!H12</f>
        <v>0</v>
      </c>
      <c r="J54" s="995">
        <f>+landbouw!I12</f>
        <v>0</v>
      </c>
      <c r="K54" s="995">
        <f>+landbouw!J12</f>
        <v>120.8799133044743</v>
      </c>
      <c r="L54" s="995">
        <f>+landbouw!K12</f>
        <v>0</v>
      </c>
      <c r="M54" s="995">
        <f>+landbouw!L12</f>
        <v>0</v>
      </c>
      <c r="N54" s="995">
        <f>+landbouw!M12</f>
        <v>0</v>
      </c>
      <c r="O54" s="995">
        <f>+landbouw!N12</f>
        <v>0</v>
      </c>
      <c r="P54" s="995">
        <f>+landbouw!O12</f>
        <v>0</v>
      </c>
      <c r="Q54" s="996">
        <f>+landbouw!P12</f>
        <v>0</v>
      </c>
      <c r="R54" s="719">
        <f ca="1">SUM(C54:Q54)</f>
        <v>24484.331404341188</v>
      </c>
    </row>
    <row r="55" spans="1:18" ht="15" thickBot="1">
      <c r="A55" s="818" t="s">
        <v>925</v>
      </c>
      <c r="B55" s="828"/>
      <c r="C55" s="995">
        <f ca="1">C25*'EF ele_warmte'!B12</f>
        <v>668.80145491783128</v>
      </c>
      <c r="D55" s="995"/>
      <c r="E55" s="995">
        <f>E25*EF_CO2_aardgas</f>
        <v>1641.4844667832112</v>
      </c>
      <c r="F55" s="995"/>
      <c r="G55" s="995"/>
      <c r="H55" s="995"/>
      <c r="I55" s="995"/>
      <c r="J55" s="995"/>
      <c r="K55" s="995"/>
      <c r="L55" s="995"/>
      <c r="M55" s="995"/>
      <c r="N55" s="995"/>
      <c r="O55" s="995"/>
      <c r="P55" s="995"/>
      <c r="Q55" s="996"/>
      <c r="R55" s="719">
        <f ca="1">SUM(C55:Q55)</f>
        <v>2310.2859217010428</v>
      </c>
    </row>
    <row r="56" spans="1:18" ht="15.75" thickBot="1">
      <c r="A56" s="816" t="s">
        <v>926</v>
      </c>
      <c r="B56" s="829"/>
      <c r="C56" s="720">
        <f ca="1">SUM(C54:C55)</f>
        <v>1404.1591262282391</v>
      </c>
      <c r="D56" s="720">
        <f t="shared" ref="D56:Q56" ca="1" si="7">SUM(D54:D55)</f>
        <v>16214.303272515192</v>
      </c>
      <c r="E56" s="720">
        <f t="shared" si="7"/>
        <v>6676.6178361512921</v>
      </c>
      <c r="F56" s="720">
        <f t="shared" si="7"/>
        <v>9.0890878147324816</v>
      </c>
      <c r="G56" s="720">
        <f t="shared" si="7"/>
        <v>2369.5680900283041</v>
      </c>
      <c r="H56" s="720">
        <f t="shared" si="7"/>
        <v>0</v>
      </c>
      <c r="I56" s="720">
        <f t="shared" si="7"/>
        <v>0</v>
      </c>
      <c r="J56" s="720">
        <f t="shared" si="7"/>
        <v>0</v>
      </c>
      <c r="K56" s="720">
        <f t="shared" si="7"/>
        <v>120.8799133044743</v>
      </c>
      <c r="L56" s="720">
        <f t="shared" si="7"/>
        <v>0</v>
      </c>
      <c r="M56" s="720">
        <f t="shared" si="7"/>
        <v>0</v>
      </c>
      <c r="N56" s="720">
        <f t="shared" si="7"/>
        <v>0</v>
      </c>
      <c r="O56" s="720">
        <f t="shared" si="7"/>
        <v>0</v>
      </c>
      <c r="P56" s="720">
        <f t="shared" si="7"/>
        <v>0</v>
      </c>
      <c r="Q56" s="721">
        <f t="shared" si="7"/>
        <v>0</v>
      </c>
      <c r="R56" s="722">
        <f ca="1">SUM(R54:R55)</f>
        <v>26794.617326042229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37832.606690957226</v>
      </c>
      <c r="D61" s="728">
        <f t="shared" ref="D61:Q61" ca="1" si="8">D46+D52+D56</f>
        <v>16214.303272515192</v>
      </c>
      <c r="E61" s="728">
        <f t="shared" ca="1" si="8"/>
        <v>60933.97988952684</v>
      </c>
      <c r="F61" s="728">
        <f t="shared" si="8"/>
        <v>1479.3113773628993</v>
      </c>
      <c r="G61" s="728">
        <f t="shared" ca="1" si="8"/>
        <v>8272.8143137181469</v>
      </c>
      <c r="H61" s="728">
        <f t="shared" si="8"/>
        <v>39526.127447013794</v>
      </c>
      <c r="I61" s="728">
        <f t="shared" si="8"/>
        <v>5926.3666950485385</v>
      </c>
      <c r="J61" s="728">
        <f t="shared" si="8"/>
        <v>0</v>
      </c>
      <c r="K61" s="728">
        <f t="shared" si="8"/>
        <v>776.87221478625736</v>
      </c>
      <c r="L61" s="728">
        <f t="shared" si="8"/>
        <v>0</v>
      </c>
      <c r="M61" s="728">
        <f t="shared" ca="1" si="8"/>
        <v>0</v>
      </c>
      <c r="N61" s="728">
        <f t="shared" si="8"/>
        <v>0</v>
      </c>
      <c r="O61" s="728">
        <f t="shared" ca="1" si="8"/>
        <v>0</v>
      </c>
      <c r="P61" s="728">
        <f t="shared" si="8"/>
        <v>0</v>
      </c>
      <c r="Q61" s="728">
        <f t="shared" si="8"/>
        <v>0</v>
      </c>
      <c r="R61" s="728">
        <f ca="1">R46+R52+R56</f>
        <v>170962.38190092889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0.19232812465765503</v>
      </c>
      <c r="D63" s="772">
        <f t="shared" ca="1" si="9"/>
        <v>0.184730679696442</v>
      </c>
      <c r="E63" s="997">
        <f t="shared" ca="1" si="9"/>
        <v>0.20200000000000001</v>
      </c>
      <c r="F63" s="772">
        <f t="shared" si="9"/>
        <v>0.22699999999999998</v>
      </c>
      <c r="G63" s="772">
        <f t="shared" ca="1" si="9"/>
        <v>0.26700000000000007</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4793.0619304754482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15506.570772435158</v>
      </c>
      <c r="C76" s="738">
        <f>'lokale energieproductie'!B8*IFERROR(SUM(D76:H76)/SUM(D76:O76),0)</f>
        <v>50193.429227564848</v>
      </c>
      <c r="D76" s="1007">
        <f>'lokale energieproductie'!C8</f>
        <v>55843.634318769437</v>
      </c>
      <c r="E76" s="1008">
        <f>'lokale energieproductie'!D8</f>
        <v>0</v>
      </c>
      <c r="F76" s="1008">
        <f>'lokale energieproductie'!E8</f>
        <v>3207.458890130385</v>
      </c>
      <c r="G76" s="1008">
        <f>'lokale energieproductie'!F8</f>
        <v>0</v>
      </c>
      <c r="H76" s="1008">
        <f>'lokale energieproductie'!G8</f>
        <v>0</v>
      </c>
      <c r="I76" s="1008">
        <f>'lokale energieproductie'!I8</f>
        <v>18243.024438159009</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12136.80565605624</v>
      </c>
      <c r="R76" s="845">
        <v>0</v>
      </c>
    </row>
    <row r="77" spans="1:18" ht="30.75" thickBot="1">
      <c r="A77" s="741" t="s">
        <v>353</v>
      </c>
      <c r="B77" s="738">
        <f>'lokale energieproductie'!B9*IFERROR(SUM(I77:O77)/SUM(D77:O77),0)</f>
        <v>9945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28414.285714285717</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30244.632702910607</v>
      </c>
      <c r="C78" s="743">
        <f>SUM(C72:C77)</f>
        <v>50193.429227564848</v>
      </c>
      <c r="D78" s="744">
        <f t="shared" ref="D78:H78" si="10">SUM(D76:D77)</f>
        <v>55843.634318769437</v>
      </c>
      <c r="E78" s="744">
        <f t="shared" si="10"/>
        <v>0</v>
      </c>
      <c r="F78" s="744">
        <f t="shared" si="10"/>
        <v>3207.458890130385</v>
      </c>
      <c r="G78" s="744">
        <f t="shared" si="10"/>
        <v>0</v>
      </c>
      <c r="H78" s="744">
        <f t="shared" si="10"/>
        <v>0</v>
      </c>
      <c r="I78" s="744">
        <f>SUM(I76:I77)</f>
        <v>18243.024438159009</v>
      </c>
      <c r="J78" s="744">
        <f>SUM(J76:J77)</f>
        <v>28414.285714285717</v>
      </c>
      <c r="K78" s="744">
        <f t="shared" ref="K78:L78" si="11">SUM(K76:K77)</f>
        <v>0</v>
      </c>
      <c r="L78" s="744">
        <f t="shared" si="11"/>
        <v>0</v>
      </c>
      <c r="M78" s="744">
        <f>SUM(M76:M77)</f>
        <v>0</v>
      </c>
      <c r="N78" s="744">
        <f>SUM(N76:N77)</f>
        <v>0</v>
      </c>
      <c r="O78" s="853">
        <f>SUM(O76:O77)</f>
        <v>0</v>
      </c>
      <c r="P78" s="745">
        <v>0</v>
      </c>
      <c r="Q78" s="745">
        <f>SUM(Q76:Q77)</f>
        <v>12136.80565605624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20716.179227564844</v>
      </c>
      <c r="C87" s="754">
        <f>'lokale energieproductie'!B17*IFERROR(SUM(D87:H87)/SUM(D87:O87),0)</f>
        <v>67056.481486720877</v>
      </c>
      <c r="D87" s="765">
        <f>'lokale energieproductie'!C17</f>
        <v>74604.937109801991</v>
      </c>
      <c r="E87" s="765">
        <f>'lokale energieproductie'!D17</f>
        <v>0</v>
      </c>
      <c r="F87" s="765">
        <f>'lokale energieproductie'!E17</f>
        <v>4285.041109869615</v>
      </c>
      <c r="G87" s="765">
        <f>'lokale energieproductie'!F17</f>
        <v>0</v>
      </c>
      <c r="H87" s="765">
        <f>'lokale energieproductie'!G17</f>
        <v>0</v>
      </c>
      <c r="I87" s="765">
        <f>'lokale energieproductie'!I17</f>
        <v>24371.975561840991</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16214.303272515192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20716.179227564844</v>
      </c>
      <c r="C90" s="743">
        <f>SUM(C87:C89)</f>
        <v>67056.481486720877</v>
      </c>
      <c r="D90" s="743">
        <f t="shared" ref="D90:H90" si="12">SUM(D87:D89)</f>
        <v>74604.937109801991</v>
      </c>
      <c r="E90" s="743">
        <f t="shared" si="12"/>
        <v>0</v>
      </c>
      <c r="F90" s="743">
        <f t="shared" si="12"/>
        <v>4285.041109869615</v>
      </c>
      <c r="G90" s="743">
        <f t="shared" si="12"/>
        <v>0</v>
      </c>
      <c r="H90" s="743">
        <f t="shared" si="12"/>
        <v>0</v>
      </c>
      <c r="I90" s="743">
        <f>SUM(I87:I89)</f>
        <v>24371.975561840991</v>
      </c>
      <c r="J90" s="743">
        <f>SUM(J87:J89)</f>
        <v>0</v>
      </c>
      <c r="K90" s="743">
        <f t="shared" ref="K90:L90" si="13">SUM(K87:K89)</f>
        <v>0</v>
      </c>
      <c r="L90" s="743">
        <f t="shared" si="13"/>
        <v>0</v>
      </c>
      <c r="M90" s="743">
        <f>SUM(M87:M89)</f>
        <v>0</v>
      </c>
      <c r="N90" s="743">
        <f>SUM(N87:N89)</f>
        <v>0</v>
      </c>
      <c r="O90" s="743">
        <f>SUM(O87:O89)</f>
        <v>0</v>
      </c>
      <c r="P90" s="743">
        <v>0</v>
      </c>
      <c r="Q90" s="743">
        <f>SUM(Q87:Q89)</f>
        <v>16214.303272515192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4793.0619304754482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65700</v>
      </c>
      <c r="C8" s="557">
        <f>B101</f>
        <v>55843.634318769437</v>
      </c>
      <c r="D8" s="985"/>
      <c r="E8" s="985">
        <f>E101</f>
        <v>3207.458890130385</v>
      </c>
      <c r="F8" s="986"/>
      <c r="G8" s="558"/>
      <c r="H8" s="985">
        <f>I101</f>
        <v>0</v>
      </c>
      <c r="I8" s="985">
        <f>G101+F101</f>
        <v>18243.024438159009</v>
      </c>
      <c r="J8" s="985">
        <f>H101+D101+C101</f>
        <v>0</v>
      </c>
      <c r="K8" s="985"/>
      <c r="L8" s="985"/>
      <c r="M8" s="985"/>
      <c r="N8" s="559"/>
      <c r="O8" s="560">
        <f>C8*$C$12+D8*$D$12+E8*$E$12+F8*$F$12+G8*$G$12+H8*$H$12+I8*$I$12+J8*$J$12</f>
        <v>12136.80565605624</v>
      </c>
      <c r="P8" s="1252"/>
      <c r="Q8" s="1253"/>
      <c r="S8" s="1018"/>
      <c r="T8" s="1249"/>
      <c r="U8" s="1249"/>
    </row>
    <row r="9" spans="1:21" s="545" customFormat="1" ht="17.45" customHeight="1" thickBot="1">
      <c r="A9" s="561" t="s">
        <v>248</v>
      </c>
      <c r="B9" s="1022">
        <f>N89+'Eigen informatie GS &amp; warmtenet'!B12</f>
        <v>9945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80438.061930475451</v>
      </c>
      <c r="C10" s="569">
        <f t="shared" ref="C10:L10" si="0">SUM(C8:C9)</f>
        <v>55843.634318769437</v>
      </c>
      <c r="D10" s="569">
        <f t="shared" si="0"/>
        <v>0</v>
      </c>
      <c r="E10" s="569">
        <f t="shared" si="0"/>
        <v>3207.458890130385</v>
      </c>
      <c r="F10" s="569">
        <f t="shared" si="0"/>
        <v>0</v>
      </c>
      <c r="G10" s="569">
        <f t="shared" si="0"/>
        <v>0</v>
      </c>
      <c r="H10" s="569">
        <f t="shared" si="0"/>
        <v>0</v>
      </c>
      <c r="I10" s="569">
        <f t="shared" si="0"/>
        <v>18243.024438159009</v>
      </c>
      <c r="J10" s="569">
        <f t="shared" si="0"/>
        <v>28414.285714285717</v>
      </c>
      <c r="K10" s="569">
        <f t="shared" si="0"/>
        <v>0</v>
      </c>
      <c r="L10" s="569">
        <f t="shared" si="0"/>
        <v>0</v>
      </c>
      <c r="M10" s="980"/>
      <c r="N10" s="980"/>
      <c r="O10" s="570">
        <f>SUM(O4:O9)</f>
        <v>12136.80565605624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87772.66071428571</v>
      </c>
      <c r="C17" s="581">
        <f>B102</f>
        <v>74604.937109801991</v>
      </c>
      <c r="D17" s="582"/>
      <c r="E17" s="582">
        <f>E102</f>
        <v>4285.041109869615</v>
      </c>
      <c r="F17" s="583"/>
      <c r="G17" s="584"/>
      <c r="H17" s="581">
        <f>I102</f>
        <v>0</v>
      </c>
      <c r="I17" s="582">
        <f>G102+F102</f>
        <v>24371.975561840991</v>
      </c>
      <c r="J17" s="582">
        <f>H102+D102+C102</f>
        <v>0</v>
      </c>
      <c r="K17" s="582"/>
      <c r="L17" s="582"/>
      <c r="M17" s="582"/>
      <c r="N17" s="981"/>
      <c r="O17" s="585">
        <f>C17*$C$22+E17*$E$22+H17*$H$22+I17*$I$22+J17*$J$22+D17*$D$22+F17*$F$22+G17*$G$22+K17*$K$22+L17*$L$22</f>
        <v>16214.303272515192</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87772.66071428571</v>
      </c>
      <c r="C20" s="568">
        <f>SUM(C17:C19)</f>
        <v>74604.937109801991</v>
      </c>
      <c r="D20" s="568">
        <f t="shared" ref="D20:L20" si="1">SUM(D17:D19)</f>
        <v>0</v>
      </c>
      <c r="E20" s="568">
        <f t="shared" si="1"/>
        <v>4285.041109869615</v>
      </c>
      <c r="F20" s="568">
        <f t="shared" si="1"/>
        <v>0</v>
      </c>
      <c r="G20" s="568">
        <f t="shared" si="1"/>
        <v>0</v>
      </c>
      <c r="H20" s="568">
        <f t="shared" si="1"/>
        <v>0</v>
      </c>
      <c r="I20" s="568">
        <f t="shared" si="1"/>
        <v>24371.975561840991</v>
      </c>
      <c r="J20" s="568">
        <f t="shared" si="1"/>
        <v>0</v>
      </c>
      <c r="K20" s="568">
        <f t="shared" si="1"/>
        <v>0</v>
      </c>
      <c r="L20" s="568">
        <f t="shared" si="1"/>
        <v>0</v>
      </c>
      <c r="M20" s="568"/>
      <c r="N20" s="568"/>
      <c r="O20" s="589">
        <f>SUM(O17:O19)</f>
        <v>16214.303272515192</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12021</v>
      </c>
      <c r="C28" s="788">
        <v>2500</v>
      </c>
      <c r="D28" s="641" t="s">
        <v>965</v>
      </c>
      <c r="E28" s="640" t="s">
        <v>966</v>
      </c>
      <c r="F28" s="640" t="s">
        <v>967</v>
      </c>
      <c r="G28" s="640" t="s">
        <v>968</v>
      </c>
      <c r="H28" s="640" t="s">
        <v>969</v>
      </c>
      <c r="I28" s="640" t="s">
        <v>970</v>
      </c>
      <c r="J28" s="787">
        <v>40016</v>
      </c>
      <c r="K28" s="787">
        <v>40023</v>
      </c>
      <c r="L28" s="640" t="s">
        <v>971</v>
      </c>
      <c r="M28" s="640">
        <v>1008</v>
      </c>
      <c r="N28" s="640">
        <v>4536</v>
      </c>
      <c r="O28" s="640">
        <v>6480</v>
      </c>
      <c r="P28" s="640">
        <v>12960</v>
      </c>
      <c r="Q28" s="640">
        <v>0</v>
      </c>
      <c r="R28" s="640">
        <v>0</v>
      </c>
      <c r="S28" s="640">
        <v>0</v>
      </c>
      <c r="T28" s="640">
        <v>0</v>
      </c>
      <c r="U28" s="640">
        <v>0</v>
      </c>
      <c r="V28" s="640">
        <v>0</v>
      </c>
      <c r="W28" s="640">
        <v>0</v>
      </c>
      <c r="X28" s="640">
        <v>10</v>
      </c>
      <c r="Y28" s="640" t="s">
        <v>112</v>
      </c>
      <c r="Z28" s="642" t="s">
        <v>112</v>
      </c>
    </row>
    <row r="29" spans="1:26" s="594" customFormat="1" ht="25.5">
      <c r="A29" s="593"/>
      <c r="B29" s="788">
        <v>12021</v>
      </c>
      <c r="C29" s="788">
        <v>2500</v>
      </c>
      <c r="D29" s="641" t="s">
        <v>972</v>
      </c>
      <c r="E29" s="640" t="s">
        <v>973</v>
      </c>
      <c r="F29" s="640" t="s">
        <v>974</v>
      </c>
      <c r="G29" s="640" t="s">
        <v>968</v>
      </c>
      <c r="H29" s="640" t="s">
        <v>969</v>
      </c>
      <c r="I29" s="640" t="s">
        <v>973</v>
      </c>
      <c r="J29" s="787">
        <v>39370</v>
      </c>
      <c r="K29" s="787">
        <v>39444</v>
      </c>
      <c r="L29" s="640" t="s">
        <v>971</v>
      </c>
      <c r="M29" s="640">
        <v>1147</v>
      </c>
      <c r="N29" s="640">
        <v>5161.5</v>
      </c>
      <c r="O29" s="640">
        <v>7373.5714285714284</v>
      </c>
      <c r="P29" s="640">
        <v>14747.142857142859</v>
      </c>
      <c r="Q29" s="640">
        <v>0</v>
      </c>
      <c r="R29" s="640">
        <v>0</v>
      </c>
      <c r="S29" s="640">
        <v>0</v>
      </c>
      <c r="T29" s="640">
        <v>0</v>
      </c>
      <c r="U29" s="640">
        <v>0</v>
      </c>
      <c r="V29" s="640">
        <v>0</v>
      </c>
      <c r="W29" s="640">
        <v>0</v>
      </c>
      <c r="X29" s="640">
        <v>10</v>
      </c>
      <c r="Y29" s="640" t="s">
        <v>112</v>
      </c>
      <c r="Z29" s="642" t="s">
        <v>112</v>
      </c>
    </row>
    <row r="30" spans="1:26" s="594" customFormat="1" ht="25.5">
      <c r="A30" s="593"/>
      <c r="B30" s="788">
        <v>12021</v>
      </c>
      <c r="C30" s="788">
        <v>2500</v>
      </c>
      <c r="D30" s="641" t="s">
        <v>975</v>
      </c>
      <c r="E30" s="640" t="s">
        <v>976</v>
      </c>
      <c r="F30" s="640" t="s">
        <v>977</v>
      </c>
      <c r="G30" s="640" t="s">
        <v>968</v>
      </c>
      <c r="H30" s="640" t="s">
        <v>969</v>
      </c>
      <c r="I30" s="640" t="s">
        <v>976</v>
      </c>
      <c r="J30" s="787">
        <v>40619</v>
      </c>
      <c r="K30" s="787">
        <v>40619</v>
      </c>
      <c r="L30" s="640" t="s">
        <v>971</v>
      </c>
      <c r="M30" s="640">
        <v>1184</v>
      </c>
      <c r="N30" s="640">
        <v>3996</v>
      </c>
      <c r="O30" s="640">
        <v>5708.5714285714284</v>
      </c>
      <c r="P30" s="640">
        <v>11417.142857142859</v>
      </c>
      <c r="Q30" s="640">
        <v>0</v>
      </c>
      <c r="R30" s="640">
        <v>0</v>
      </c>
      <c r="S30" s="640">
        <v>0</v>
      </c>
      <c r="T30" s="640">
        <v>0</v>
      </c>
      <c r="U30" s="640">
        <v>0</v>
      </c>
      <c r="V30" s="640">
        <v>0</v>
      </c>
      <c r="W30" s="640">
        <v>0</v>
      </c>
      <c r="X30" s="640">
        <v>10</v>
      </c>
      <c r="Y30" s="640" t="s">
        <v>112</v>
      </c>
      <c r="Z30" s="642" t="s">
        <v>112</v>
      </c>
    </row>
    <row r="31" spans="1:26" s="594" customFormat="1" ht="25.5">
      <c r="A31" s="593"/>
      <c r="B31" s="788">
        <v>12021</v>
      </c>
      <c r="C31" s="788">
        <v>2500</v>
      </c>
      <c r="D31" s="641" t="s">
        <v>978</v>
      </c>
      <c r="E31" s="640" t="s">
        <v>979</v>
      </c>
      <c r="F31" s="640" t="s">
        <v>980</v>
      </c>
      <c r="G31" s="640" t="s">
        <v>968</v>
      </c>
      <c r="H31" s="640" t="s">
        <v>969</v>
      </c>
      <c r="I31" s="640" t="s">
        <v>981</v>
      </c>
      <c r="J31" s="787">
        <v>39998</v>
      </c>
      <c r="K31" s="787">
        <v>40028</v>
      </c>
      <c r="L31" s="640" t="s">
        <v>971</v>
      </c>
      <c r="M31" s="640">
        <v>1562</v>
      </c>
      <c r="N31" s="640">
        <v>7029</v>
      </c>
      <c r="O31" s="640">
        <v>10041.428571428572</v>
      </c>
      <c r="P31" s="640">
        <v>20082.857142857145</v>
      </c>
      <c r="Q31" s="640">
        <v>0</v>
      </c>
      <c r="R31" s="640">
        <v>0</v>
      </c>
      <c r="S31" s="640">
        <v>0</v>
      </c>
      <c r="T31" s="640">
        <v>0</v>
      </c>
      <c r="U31" s="640">
        <v>0</v>
      </c>
      <c r="V31" s="640">
        <v>0</v>
      </c>
      <c r="W31" s="640">
        <v>0</v>
      </c>
      <c r="X31" s="640">
        <v>10</v>
      </c>
      <c r="Y31" s="640" t="s">
        <v>112</v>
      </c>
      <c r="Z31" s="642" t="s">
        <v>112</v>
      </c>
    </row>
    <row r="32" spans="1:26" s="594" customFormat="1" ht="38.25">
      <c r="A32" s="593"/>
      <c r="B32" s="788">
        <v>12021</v>
      </c>
      <c r="C32" s="788">
        <v>2500</v>
      </c>
      <c r="D32" s="641" t="s">
        <v>982</v>
      </c>
      <c r="E32" s="640" t="s">
        <v>983</v>
      </c>
      <c r="F32" s="640" t="s">
        <v>984</v>
      </c>
      <c r="G32" s="640" t="s">
        <v>968</v>
      </c>
      <c r="H32" s="640" t="s">
        <v>985</v>
      </c>
      <c r="I32" s="640" t="s">
        <v>986</v>
      </c>
      <c r="J32" s="787">
        <v>39721</v>
      </c>
      <c r="K32" s="787">
        <v>39721</v>
      </c>
      <c r="L32" s="640" t="s">
        <v>971</v>
      </c>
      <c r="M32" s="640">
        <v>1790</v>
      </c>
      <c r="N32" s="640">
        <v>8055</v>
      </c>
      <c r="O32" s="640">
        <v>9061.875</v>
      </c>
      <c r="P32" s="640">
        <v>0</v>
      </c>
      <c r="Q32" s="640">
        <v>0</v>
      </c>
      <c r="R32" s="640">
        <v>0</v>
      </c>
      <c r="S32" s="640">
        <v>0</v>
      </c>
      <c r="T32" s="640">
        <v>20137.5</v>
      </c>
      <c r="U32" s="640">
        <v>0</v>
      </c>
      <c r="V32" s="640">
        <v>0</v>
      </c>
      <c r="W32" s="640">
        <v>0</v>
      </c>
      <c r="X32" s="640">
        <v>10</v>
      </c>
      <c r="Y32" s="640" t="s">
        <v>112</v>
      </c>
      <c r="Z32" s="642" t="s">
        <v>112</v>
      </c>
    </row>
    <row r="33" spans="1:26" s="594" customFormat="1" ht="25.5">
      <c r="A33" s="593"/>
      <c r="B33" s="788">
        <v>12021</v>
      </c>
      <c r="C33" s="788">
        <v>2500</v>
      </c>
      <c r="D33" s="641" t="s">
        <v>987</v>
      </c>
      <c r="E33" s="640" t="s">
        <v>988</v>
      </c>
      <c r="F33" s="640" t="s">
        <v>989</v>
      </c>
      <c r="G33" s="640" t="s">
        <v>968</v>
      </c>
      <c r="H33" s="640" t="s">
        <v>969</v>
      </c>
      <c r="I33" s="640" t="s">
        <v>988</v>
      </c>
      <c r="J33" s="787">
        <v>40043</v>
      </c>
      <c r="K33" s="787">
        <v>40043</v>
      </c>
      <c r="L33" s="640" t="s">
        <v>971</v>
      </c>
      <c r="M33" s="640">
        <v>2425</v>
      </c>
      <c r="N33" s="640">
        <v>10912.5</v>
      </c>
      <c r="O33" s="640">
        <v>15589.285714285714</v>
      </c>
      <c r="P33" s="640">
        <v>31178.571428571431</v>
      </c>
      <c r="Q33" s="640">
        <v>0</v>
      </c>
      <c r="R33" s="640">
        <v>0</v>
      </c>
      <c r="S33" s="640">
        <v>0</v>
      </c>
      <c r="T33" s="640">
        <v>0</v>
      </c>
      <c r="U33" s="640">
        <v>0</v>
      </c>
      <c r="V33" s="640">
        <v>0</v>
      </c>
      <c r="W33" s="640">
        <v>0</v>
      </c>
      <c r="X33" s="640">
        <v>10</v>
      </c>
      <c r="Y33" s="640" t="s">
        <v>112</v>
      </c>
      <c r="Z33" s="642" t="s">
        <v>112</v>
      </c>
    </row>
    <row r="34" spans="1:26" s="594" customFormat="1" ht="38.25">
      <c r="A34" s="593"/>
      <c r="B34" s="788">
        <v>12021</v>
      </c>
      <c r="C34" s="788">
        <v>2500</v>
      </c>
      <c r="D34" s="641" t="s">
        <v>990</v>
      </c>
      <c r="E34" s="640" t="s">
        <v>991</v>
      </c>
      <c r="F34" s="640" t="s">
        <v>992</v>
      </c>
      <c r="G34" s="640" t="s">
        <v>968</v>
      </c>
      <c r="H34" s="640" t="s">
        <v>985</v>
      </c>
      <c r="I34" s="640" t="s">
        <v>991</v>
      </c>
      <c r="J34" s="787">
        <v>40823</v>
      </c>
      <c r="K34" s="787">
        <v>39630</v>
      </c>
      <c r="L34" s="640" t="s">
        <v>971</v>
      </c>
      <c r="M34" s="640">
        <v>2664</v>
      </c>
      <c r="N34" s="640">
        <v>11988</v>
      </c>
      <c r="O34" s="640">
        <v>13486.5</v>
      </c>
      <c r="P34" s="640">
        <v>0</v>
      </c>
      <c r="Q34" s="640">
        <v>0</v>
      </c>
      <c r="R34" s="640">
        <v>0</v>
      </c>
      <c r="S34" s="640">
        <v>7492.5</v>
      </c>
      <c r="T34" s="640">
        <v>0</v>
      </c>
      <c r="U34" s="640">
        <v>22477.5</v>
      </c>
      <c r="V34" s="640">
        <v>0</v>
      </c>
      <c r="W34" s="640">
        <v>0</v>
      </c>
      <c r="X34" s="640">
        <v>10</v>
      </c>
      <c r="Y34" s="640" t="s">
        <v>112</v>
      </c>
      <c r="Z34" s="642" t="s">
        <v>112</v>
      </c>
    </row>
    <row r="35" spans="1:26" s="594" customFormat="1" ht="25.5">
      <c r="A35" s="593"/>
      <c r="B35" s="788">
        <v>12021</v>
      </c>
      <c r="C35" s="788">
        <v>2500</v>
      </c>
      <c r="D35" s="641" t="s">
        <v>993</v>
      </c>
      <c r="E35" s="640" t="s">
        <v>994</v>
      </c>
      <c r="F35" s="640" t="s">
        <v>995</v>
      </c>
      <c r="G35" s="640" t="s">
        <v>968</v>
      </c>
      <c r="H35" s="640" t="s">
        <v>969</v>
      </c>
      <c r="I35" s="640" t="s">
        <v>994</v>
      </c>
      <c r="J35" s="787">
        <v>39386</v>
      </c>
      <c r="K35" s="787">
        <v>39218</v>
      </c>
      <c r="L35" s="640" t="s">
        <v>971</v>
      </c>
      <c r="M35" s="640">
        <v>3116</v>
      </c>
      <c r="N35" s="640">
        <v>14022</v>
      </c>
      <c r="O35" s="640">
        <v>20031.428571428572</v>
      </c>
      <c r="P35" s="640">
        <v>40062.857142857145</v>
      </c>
      <c r="Q35" s="640">
        <v>0</v>
      </c>
      <c r="R35" s="640">
        <v>0</v>
      </c>
      <c r="S35" s="640">
        <v>0</v>
      </c>
      <c r="T35" s="640">
        <v>0</v>
      </c>
      <c r="U35" s="640">
        <v>0</v>
      </c>
      <c r="V35" s="640">
        <v>0</v>
      </c>
      <c r="W35" s="640">
        <v>0</v>
      </c>
      <c r="X35" s="640">
        <v>10</v>
      </c>
      <c r="Y35" s="640" t="s">
        <v>112</v>
      </c>
      <c r="Z35" s="642" t="s">
        <v>112</v>
      </c>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14896</v>
      </c>
      <c r="N58" s="598">
        <f>SUM(N28:N57)</f>
        <v>65700</v>
      </c>
      <c r="O58" s="598">
        <f t="shared" ref="O58:W58" si="2">SUM(O28:O57)</f>
        <v>87772.66071428571</v>
      </c>
      <c r="P58" s="598">
        <f t="shared" si="2"/>
        <v>130448.57142857143</v>
      </c>
      <c r="Q58" s="598">
        <f t="shared" si="2"/>
        <v>0</v>
      </c>
      <c r="R58" s="598">
        <f t="shared" si="2"/>
        <v>0</v>
      </c>
      <c r="S58" s="598">
        <f t="shared" si="2"/>
        <v>7492.5</v>
      </c>
      <c r="T58" s="598">
        <f t="shared" si="2"/>
        <v>20137.5</v>
      </c>
      <c r="U58" s="598">
        <f t="shared" si="2"/>
        <v>22477.5</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14896</v>
      </c>
      <c r="N61" s="603">
        <f t="shared" si="4"/>
        <v>65700</v>
      </c>
      <c r="O61" s="603">
        <f t="shared" si="4"/>
        <v>87772.66071428571</v>
      </c>
      <c r="P61" s="603">
        <f t="shared" si="4"/>
        <v>130448.57142857143</v>
      </c>
      <c r="Q61" s="603">
        <f t="shared" si="4"/>
        <v>0</v>
      </c>
      <c r="R61" s="603">
        <f t="shared" si="4"/>
        <v>0</v>
      </c>
      <c r="S61" s="603">
        <f t="shared" si="4"/>
        <v>7492.5</v>
      </c>
      <c r="T61" s="603">
        <f t="shared" si="4"/>
        <v>20137.5</v>
      </c>
      <c r="U61" s="603">
        <f t="shared" si="4"/>
        <v>22477.5</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12021</v>
      </c>
      <c r="C64" s="788">
        <v>2500</v>
      </c>
      <c r="D64" s="643" t="s">
        <v>996</v>
      </c>
      <c r="E64" s="643" t="s">
        <v>997</v>
      </c>
      <c r="F64" s="643" t="s">
        <v>998</v>
      </c>
      <c r="G64" s="643" t="s">
        <v>999</v>
      </c>
      <c r="H64" s="643" t="s">
        <v>1000</v>
      </c>
      <c r="I64" s="643" t="s">
        <v>1001</v>
      </c>
      <c r="J64" s="787">
        <v>34973</v>
      </c>
      <c r="K64" s="787">
        <v>37681</v>
      </c>
      <c r="L64" s="643" t="s">
        <v>1002</v>
      </c>
      <c r="M64" s="643">
        <v>2210</v>
      </c>
      <c r="N64" s="643">
        <v>9945</v>
      </c>
      <c r="O64" s="643">
        <v>0</v>
      </c>
      <c r="P64" s="643">
        <v>0</v>
      </c>
      <c r="Q64" s="643">
        <v>0</v>
      </c>
      <c r="R64" s="643">
        <v>28414.285714285717</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2210</v>
      </c>
      <c r="N89" s="598">
        <f t="shared" ref="N89:W89" si="5">SUM(N64:N88)</f>
        <v>9945</v>
      </c>
      <c r="O89" s="598">
        <f t="shared" si="5"/>
        <v>0</v>
      </c>
      <c r="P89" s="598">
        <f t="shared" si="5"/>
        <v>0</v>
      </c>
      <c r="Q89" s="598">
        <f t="shared" si="5"/>
        <v>0</v>
      </c>
      <c r="R89" s="598">
        <f t="shared" si="5"/>
        <v>28414.285714285717</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2210</v>
      </c>
      <c r="N91" s="598">
        <f t="shared" si="7"/>
        <v>9945</v>
      </c>
      <c r="O91" s="598">
        <f t="shared" si="7"/>
        <v>0</v>
      </c>
      <c r="P91" s="598">
        <f t="shared" si="7"/>
        <v>0</v>
      </c>
      <c r="Q91" s="598">
        <f t="shared" si="7"/>
        <v>0</v>
      </c>
      <c r="R91" s="598">
        <f t="shared" si="7"/>
        <v>28414.285714285717</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0.57191072537465659</v>
      </c>
      <c r="C98" s="623">
        <f>IF(ISERROR(N58/(O58+N58)),0,N58/(N58+O58))</f>
        <v>0.42808927462534335</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55843.634318769437</v>
      </c>
      <c r="C101" s="632">
        <f t="shared" si="9"/>
        <v>0</v>
      </c>
      <c r="D101" s="632">
        <f t="shared" si="9"/>
        <v>0</v>
      </c>
      <c r="E101" s="632">
        <f t="shared" si="9"/>
        <v>3207.458890130385</v>
      </c>
      <c r="F101" s="632">
        <f t="shared" si="9"/>
        <v>8620.6477677678522</v>
      </c>
      <c r="G101" s="632">
        <f t="shared" si="9"/>
        <v>9622.3766703911551</v>
      </c>
      <c r="H101" s="632">
        <f t="shared" si="9"/>
        <v>0</v>
      </c>
      <c r="I101" s="633">
        <f t="shared" si="9"/>
        <v>0</v>
      </c>
      <c r="J101" s="590"/>
      <c r="K101" s="590"/>
      <c r="L101" s="628"/>
      <c r="M101" s="628"/>
      <c r="N101" s="628"/>
      <c r="O101" s="615"/>
      <c r="P101" s="615"/>
    </row>
    <row r="102" spans="1:16" ht="15.75" thickBot="1">
      <c r="A102" s="634" t="s">
        <v>286</v>
      </c>
      <c r="B102" s="635">
        <f t="shared" ref="B102:I102" si="10">$B$98*P58</f>
        <v>74604.937109801991</v>
      </c>
      <c r="C102" s="635">
        <f t="shared" si="10"/>
        <v>0</v>
      </c>
      <c r="D102" s="635">
        <f t="shared" si="10"/>
        <v>0</v>
      </c>
      <c r="E102" s="635">
        <f t="shared" si="10"/>
        <v>4285.041109869615</v>
      </c>
      <c r="F102" s="635">
        <f t="shared" si="10"/>
        <v>11516.852232232148</v>
      </c>
      <c r="G102" s="635">
        <f t="shared" si="10"/>
        <v>12855.123329608843</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62152.568018054713</v>
      </c>
      <c r="C4" s="460">
        <f>huishoudens!C8</f>
        <v>0</v>
      </c>
      <c r="D4" s="460">
        <f>huishoudens!D8</f>
        <v>163506.64520879282</v>
      </c>
      <c r="E4" s="460">
        <f>huishoudens!E8</f>
        <v>4059.6837631933304</v>
      </c>
      <c r="F4" s="460">
        <f>huishoudens!F8</f>
        <v>0</v>
      </c>
      <c r="G4" s="460">
        <f>huishoudens!G8</f>
        <v>0</v>
      </c>
      <c r="H4" s="460">
        <f>huishoudens!H8</f>
        <v>0</v>
      </c>
      <c r="I4" s="460">
        <f>huishoudens!I8</f>
        <v>0</v>
      </c>
      <c r="J4" s="460">
        <f>huishoudens!J8</f>
        <v>1181.865192330557</v>
      </c>
      <c r="K4" s="460">
        <f>huishoudens!K8</f>
        <v>0</v>
      </c>
      <c r="L4" s="460">
        <f>huishoudens!L8</f>
        <v>0</v>
      </c>
      <c r="M4" s="460">
        <f>huishoudens!M8</f>
        <v>0</v>
      </c>
      <c r="N4" s="460">
        <f>huishoudens!N8</f>
        <v>8967.4198933677417</v>
      </c>
      <c r="O4" s="460">
        <f>huishoudens!O8</f>
        <v>101.61666666666667</v>
      </c>
      <c r="P4" s="461">
        <f>huishoudens!P8</f>
        <v>247.86666666666667</v>
      </c>
      <c r="Q4" s="462">
        <f>SUM(B4:P4)</f>
        <v>240217.66540907248</v>
      </c>
    </row>
    <row r="5" spans="1:17">
      <c r="A5" s="459" t="s">
        <v>156</v>
      </c>
      <c r="B5" s="460">
        <f ca="1">tertiair!B16</f>
        <v>68443.620440148457</v>
      </c>
      <c r="C5" s="460">
        <f ca="1">tertiair!C16</f>
        <v>0</v>
      </c>
      <c r="D5" s="460">
        <f ca="1">tertiair!D16</f>
        <v>64109.761230397293</v>
      </c>
      <c r="E5" s="460">
        <f>tertiair!E16</f>
        <v>1067.1079154688189</v>
      </c>
      <c r="F5" s="460">
        <f ca="1">tertiair!F16</f>
        <v>11804.158457525111</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95.333333333333343</v>
      </c>
      <c r="Q5" s="459">
        <f t="shared" ref="Q5:Q14" ca="1" si="0">SUM(B5:P5)</f>
        <v>145521.54471020633</v>
      </c>
    </row>
    <row r="6" spans="1:17">
      <c r="A6" s="459" t="s">
        <v>194</v>
      </c>
      <c r="B6" s="460">
        <f>'openbare verlichting'!B8</f>
        <v>2383.442</v>
      </c>
      <c r="C6" s="460"/>
      <c r="D6" s="460"/>
      <c r="E6" s="460"/>
      <c r="F6" s="460"/>
      <c r="G6" s="460"/>
      <c r="H6" s="460"/>
      <c r="I6" s="460"/>
      <c r="J6" s="460"/>
      <c r="K6" s="460"/>
      <c r="L6" s="460"/>
      <c r="M6" s="460"/>
      <c r="N6" s="460"/>
      <c r="O6" s="460"/>
      <c r="P6" s="461"/>
      <c r="Q6" s="459">
        <f t="shared" si="0"/>
        <v>2383.442</v>
      </c>
    </row>
    <row r="7" spans="1:17">
      <c r="A7" s="459" t="s">
        <v>112</v>
      </c>
      <c r="B7" s="460">
        <f>landbouw!B8</f>
        <v>3823.4536556696935</v>
      </c>
      <c r="C7" s="460">
        <f>landbouw!C8</f>
        <v>87772.66071428571</v>
      </c>
      <c r="D7" s="460">
        <f>landbouw!D8</f>
        <v>24926.402818653864</v>
      </c>
      <c r="E7" s="460">
        <f>landbouw!E8</f>
        <v>40.040034426134277</v>
      </c>
      <c r="F7" s="460">
        <f>landbouw!F8</f>
        <v>8874.7868540385916</v>
      </c>
      <c r="G7" s="460">
        <f>landbouw!G8</f>
        <v>0</v>
      </c>
      <c r="H7" s="460">
        <f>landbouw!H8</f>
        <v>0</v>
      </c>
      <c r="I7" s="460">
        <f>landbouw!I8</f>
        <v>0</v>
      </c>
      <c r="J7" s="460">
        <f>landbouw!J8</f>
        <v>341.46868165105735</v>
      </c>
      <c r="K7" s="460">
        <f>landbouw!K8</f>
        <v>0</v>
      </c>
      <c r="L7" s="460">
        <f>landbouw!L8</f>
        <v>0</v>
      </c>
      <c r="M7" s="460">
        <f>landbouw!M8</f>
        <v>0</v>
      </c>
      <c r="N7" s="460">
        <f>landbouw!N8</f>
        <v>0</v>
      </c>
      <c r="O7" s="460">
        <f>landbouw!O8</f>
        <v>0</v>
      </c>
      <c r="P7" s="461">
        <f>landbouw!P8</f>
        <v>0</v>
      </c>
      <c r="Q7" s="459">
        <f t="shared" si="0"/>
        <v>125778.81275872505</v>
      </c>
    </row>
    <row r="8" spans="1:17">
      <c r="A8" s="459" t="s">
        <v>655</v>
      </c>
      <c r="B8" s="460">
        <f>industrie!B18</f>
        <v>56426.632660534728</v>
      </c>
      <c r="C8" s="460">
        <f>industrie!C18</f>
        <v>0</v>
      </c>
      <c r="D8" s="460">
        <f>industrie!D18</f>
        <v>40977.289403306444</v>
      </c>
      <c r="E8" s="460">
        <f>industrie!E18</f>
        <v>620.13901283931568</v>
      </c>
      <c r="F8" s="460">
        <f>industrie!F18</f>
        <v>10305.377960788901</v>
      </c>
      <c r="G8" s="460">
        <f>industrie!G18</f>
        <v>0</v>
      </c>
      <c r="H8" s="460">
        <f>industrie!H18</f>
        <v>0</v>
      </c>
      <c r="I8" s="460">
        <f>industrie!I18</f>
        <v>0</v>
      </c>
      <c r="J8" s="460">
        <f>industrie!J18</f>
        <v>671.22040507560996</v>
      </c>
      <c r="K8" s="460">
        <f>industrie!K18</f>
        <v>0</v>
      </c>
      <c r="L8" s="460">
        <f>industrie!L18</f>
        <v>0</v>
      </c>
      <c r="M8" s="460">
        <f>industrie!M18</f>
        <v>0</v>
      </c>
      <c r="N8" s="460">
        <f>industrie!N18</f>
        <v>652.96150439686403</v>
      </c>
      <c r="O8" s="460">
        <f>industrie!O18</f>
        <v>0</v>
      </c>
      <c r="P8" s="461">
        <f>industrie!P18</f>
        <v>0</v>
      </c>
      <c r="Q8" s="459">
        <f t="shared" si="0"/>
        <v>109653.62094694185</v>
      </c>
    </row>
    <row r="9" spans="1:17" s="465" customFormat="1">
      <c r="A9" s="463" t="s">
        <v>573</v>
      </c>
      <c r="B9" s="464">
        <f>transport!B14</f>
        <v>1.5399759566177404</v>
      </c>
      <c r="C9" s="464">
        <f>transport!C14</f>
        <v>0</v>
      </c>
      <c r="D9" s="464">
        <f>transport!D14</f>
        <v>7.10640193681997</v>
      </c>
      <c r="E9" s="464">
        <f>transport!E14</f>
        <v>729.81948271953445</v>
      </c>
      <c r="F9" s="464">
        <f>transport!F14</f>
        <v>0</v>
      </c>
      <c r="G9" s="464">
        <f>transport!G14</f>
        <v>142989.70079222656</v>
      </c>
      <c r="H9" s="464">
        <f>transport!H14</f>
        <v>23800.669458026259</v>
      </c>
      <c r="I9" s="464">
        <f>transport!I14</f>
        <v>0</v>
      </c>
      <c r="J9" s="464">
        <f>transport!J14</f>
        <v>0</v>
      </c>
      <c r="K9" s="464">
        <f>transport!K14</f>
        <v>0</v>
      </c>
      <c r="L9" s="464">
        <f>transport!L14</f>
        <v>0</v>
      </c>
      <c r="M9" s="464">
        <f>transport!M14</f>
        <v>7275.7636480222391</v>
      </c>
      <c r="N9" s="464">
        <f>transport!N14</f>
        <v>0</v>
      </c>
      <c r="O9" s="464">
        <f>transport!O14</f>
        <v>0</v>
      </c>
      <c r="P9" s="464">
        <f>transport!P14</f>
        <v>0</v>
      </c>
      <c r="Q9" s="463">
        <f>SUM(B9:P9)</f>
        <v>174804.59975888804</v>
      </c>
    </row>
    <row r="10" spans="1:17">
      <c r="A10" s="459" t="s">
        <v>563</v>
      </c>
      <c r="B10" s="460">
        <f>transport!B54</f>
        <v>0</v>
      </c>
      <c r="C10" s="460">
        <f>transport!C54</f>
        <v>0</v>
      </c>
      <c r="D10" s="460">
        <f>transport!D54</f>
        <v>0</v>
      </c>
      <c r="E10" s="460">
        <f>transport!E54</f>
        <v>0</v>
      </c>
      <c r="F10" s="460">
        <f>transport!F54</f>
        <v>0</v>
      </c>
      <c r="G10" s="460">
        <f>transport!G54</f>
        <v>5048.2297209336921</v>
      </c>
      <c r="H10" s="460">
        <f>transport!H54</f>
        <v>0</v>
      </c>
      <c r="I10" s="460">
        <f>transport!I54</f>
        <v>0</v>
      </c>
      <c r="J10" s="460">
        <f>transport!J54</f>
        <v>0</v>
      </c>
      <c r="K10" s="460">
        <f>transport!K54</f>
        <v>0</v>
      </c>
      <c r="L10" s="460">
        <f>transport!L54</f>
        <v>0</v>
      </c>
      <c r="M10" s="460">
        <f>transport!M54</f>
        <v>215.18410108767688</v>
      </c>
      <c r="N10" s="460">
        <f>transport!N54</f>
        <v>0</v>
      </c>
      <c r="O10" s="460">
        <f>transport!O54</f>
        <v>0</v>
      </c>
      <c r="P10" s="461">
        <f>transport!P54</f>
        <v>0</v>
      </c>
      <c r="Q10" s="459">
        <f t="shared" si="0"/>
        <v>5263.413822021369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3477.3980982152298</v>
      </c>
      <c r="C14" s="467"/>
      <c r="D14" s="467">
        <f>'SEAP template'!E25</f>
        <v>8126.1607266495603</v>
      </c>
      <c r="E14" s="467"/>
      <c r="F14" s="467"/>
      <c r="G14" s="467"/>
      <c r="H14" s="467"/>
      <c r="I14" s="467"/>
      <c r="J14" s="467"/>
      <c r="K14" s="467"/>
      <c r="L14" s="467"/>
      <c r="M14" s="467"/>
      <c r="N14" s="467"/>
      <c r="O14" s="467"/>
      <c r="P14" s="468"/>
      <c r="Q14" s="459">
        <f t="shared" si="0"/>
        <v>11603.558824864791</v>
      </c>
    </row>
    <row r="15" spans="1:17" s="472" customFormat="1">
      <c r="A15" s="469" t="s">
        <v>567</v>
      </c>
      <c r="B15" s="470">
        <f ca="1">SUM(B4:B14)</f>
        <v>196708.65484857943</v>
      </c>
      <c r="C15" s="470">
        <f t="shared" ref="C15:Q15" ca="1" si="1">SUM(C4:C14)</f>
        <v>87772.66071428571</v>
      </c>
      <c r="D15" s="470">
        <f t="shared" ca="1" si="1"/>
        <v>301653.3657897368</v>
      </c>
      <c r="E15" s="470">
        <f t="shared" si="1"/>
        <v>6516.790208647134</v>
      </c>
      <c r="F15" s="470">
        <f t="shared" ca="1" si="1"/>
        <v>30984.323272352602</v>
      </c>
      <c r="G15" s="470">
        <f t="shared" si="1"/>
        <v>148037.93051316025</v>
      </c>
      <c r="H15" s="470">
        <f t="shared" si="1"/>
        <v>23800.669458026259</v>
      </c>
      <c r="I15" s="470">
        <f t="shared" si="1"/>
        <v>0</v>
      </c>
      <c r="J15" s="470">
        <f t="shared" si="1"/>
        <v>2194.5542790572244</v>
      </c>
      <c r="K15" s="470">
        <f t="shared" si="1"/>
        <v>0</v>
      </c>
      <c r="L15" s="470">
        <f t="shared" ca="1" si="1"/>
        <v>0</v>
      </c>
      <c r="M15" s="470">
        <f t="shared" si="1"/>
        <v>7490.947749109916</v>
      </c>
      <c r="N15" s="470">
        <f t="shared" ca="1" si="1"/>
        <v>9620.3813977646059</v>
      </c>
      <c r="O15" s="470">
        <f t="shared" si="1"/>
        <v>103.18</v>
      </c>
      <c r="P15" s="470">
        <f t="shared" si="1"/>
        <v>343.20000000000005</v>
      </c>
      <c r="Q15" s="470">
        <f t="shared" ca="1" si="1"/>
        <v>815226.65823071986</v>
      </c>
    </row>
    <row r="17" spans="1:17">
      <c r="A17" s="473" t="s">
        <v>568</v>
      </c>
      <c r="B17" s="777">
        <f ca="1">huishoudens!B10</f>
        <v>0.19232812465765503</v>
      </c>
      <c r="C17" s="777">
        <f ca="1">huishoudens!C10</f>
        <v>0.184730679696442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11953.686849569811</v>
      </c>
      <c r="C22" s="460">
        <f t="shared" ref="C22:C32" ca="1" si="3">C4*$C$17</f>
        <v>0</v>
      </c>
      <c r="D22" s="460">
        <f t="shared" ref="D22:D32" si="4">D4*$D$17</f>
        <v>33028.342332176151</v>
      </c>
      <c r="E22" s="460">
        <f t="shared" ref="E22:E32" si="5">E4*$E$17</f>
        <v>921.54821424488603</v>
      </c>
      <c r="F22" s="460">
        <f t="shared" ref="F22:F32" si="6">F4*$F$17</f>
        <v>0</v>
      </c>
      <c r="G22" s="460">
        <f t="shared" ref="G22:G32" si="7">G4*$G$17</f>
        <v>0</v>
      </c>
      <c r="H22" s="460">
        <f t="shared" ref="H22:H32" si="8">H4*$H$17</f>
        <v>0</v>
      </c>
      <c r="I22" s="460">
        <f t="shared" ref="I22:I32" si="9">I4*$I$17</f>
        <v>0</v>
      </c>
      <c r="J22" s="460">
        <f t="shared" ref="J22:J32" si="10">J4*$J$17</f>
        <v>418.38027808501715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46321.957674075871</v>
      </c>
    </row>
    <row r="23" spans="1:17">
      <c r="A23" s="459" t="s">
        <v>156</v>
      </c>
      <c r="B23" s="460">
        <f t="shared" ca="1" si="2"/>
        <v>13163.633164034098</v>
      </c>
      <c r="C23" s="460">
        <f t="shared" ca="1" si="3"/>
        <v>0</v>
      </c>
      <c r="D23" s="460">
        <f t="shared" ca="1" si="4"/>
        <v>12950.171768540255</v>
      </c>
      <c r="E23" s="460">
        <f t="shared" si="5"/>
        <v>242.2334968114219</v>
      </c>
      <c r="F23" s="460">
        <f t="shared" ca="1" si="6"/>
        <v>3151.7103081592049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29507.748737544978</v>
      </c>
    </row>
    <row r="24" spans="1:17">
      <c r="A24" s="459" t="s">
        <v>194</v>
      </c>
      <c r="B24" s="460">
        <f t="shared" ca="1" si="2"/>
        <v>458.40293009029062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458.40293009029062</v>
      </c>
    </row>
    <row r="25" spans="1:17">
      <c r="A25" s="459" t="s">
        <v>112</v>
      </c>
      <c r="B25" s="460">
        <f t="shared" ca="1" si="2"/>
        <v>735.35767131040768</v>
      </c>
      <c r="C25" s="460">
        <f t="shared" ca="1" si="3"/>
        <v>16214.303272515192</v>
      </c>
      <c r="D25" s="460">
        <f t="shared" si="4"/>
        <v>5035.1333693680808</v>
      </c>
      <c r="E25" s="460">
        <f t="shared" si="5"/>
        <v>9.0890878147324816</v>
      </c>
      <c r="F25" s="460">
        <f t="shared" si="6"/>
        <v>2369.5680900283041</v>
      </c>
      <c r="G25" s="460">
        <f t="shared" si="7"/>
        <v>0</v>
      </c>
      <c r="H25" s="460">
        <f t="shared" si="8"/>
        <v>0</v>
      </c>
      <c r="I25" s="460">
        <f t="shared" si="9"/>
        <v>0</v>
      </c>
      <c r="J25" s="460">
        <f t="shared" si="10"/>
        <v>120.8799133044743</v>
      </c>
      <c r="K25" s="460">
        <f t="shared" si="11"/>
        <v>0</v>
      </c>
      <c r="L25" s="460">
        <f t="shared" si="12"/>
        <v>0</v>
      </c>
      <c r="M25" s="460">
        <f t="shared" si="13"/>
        <v>0</v>
      </c>
      <c r="N25" s="460">
        <f t="shared" si="14"/>
        <v>0</v>
      </c>
      <c r="O25" s="460">
        <f t="shared" si="15"/>
        <v>0</v>
      </c>
      <c r="P25" s="461">
        <f t="shared" si="16"/>
        <v>0</v>
      </c>
      <c r="Q25" s="459">
        <f t="shared" ca="1" si="17"/>
        <v>24484.331404341188</v>
      </c>
    </row>
    <row r="26" spans="1:17">
      <c r="A26" s="459" t="s">
        <v>655</v>
      </c>
      <c r="B26" s="460">
        <f t="shared" ca="1" si="2"/>
        <v>10852.428440347032</v>
      </c>
      <c r="C26" s="460">
        <f t="shared" ca="1" si="3"/>
        <v>0</v>
      </c>
      <c r="D26" s="460">
        <f t="shared" si="4"/>
        <v>8277.4124594679015</v>
      </c>
      <c r="E26" s="460">
        <f t="shared" si="5"/>
        <v>140.77155591452467</v>
      </c>
      <c r="F26" s="460">
        <f t="shared" si="6"/>
        <v>2751.5359155306369</v>
      </c>
      <c r="G26" s="460">
        <f t="shared" si="7"/>
        <v>0</v>
      </c>
      <c r="H26" s="460">
        <f t="shared" si="8"/>
        <v>0</v>
      </c>
      <c r="I26" s="460">
        <f t="shared" si="9"/>
        <v>0</v>
      </c>
      <c r="J26" s="460">
        <f t="shared" si="10"/>
        <v>237.61202339676592</v>
      </c>
      <c r="K26" s="460">
        <f t="shared" si="11"/>
        <v>0</v>
      </c>
      <c r="L26" s="460">
        <f t="shared" si="12"/>
        <v>0</v>
      </c>
      <c r="M26" s="460">
        <f t="shared" si="13"/>
        <v>0</v>
      </c>
      <c r="N26" s="460">
        <f t="shared" si="14"/>
        <v>0</v>
      </c>
      <c r="O26" s="460">
        <f t="shared" si="15"/>
        <v>0</v>
      </c>
      <c r="P26" s="461">
        <f t="shared" si="16"/>
        <v>0</v>
      </c>
      <c r="Q26" s="459">
        <f t="shared" ca="1" si="17"/>
        <v>22259.76039465686</v>
      </c>
    </row>
    <row r="27" spans="1:17" s="465" customFormat="1">
      <c r="A27" s="463" t="s">
        <v>573</v>
      </c>
      <c r="B27" s="771">
        <f t="shared" ca="1" si="2"/>
        <v>0.29618068775416834</v>
      </c>
      <c r="C27" s="464">
        <f t="shared" ca="1" si="3"/>
        <v>0</v>
      </c>
      <c r="D27" s="464">
        <f t="shared" si="4"/>
        <v>1.4354931912376341</v>
      </c>
      <c r="E27" s="464">
        <f t="shared" si="5"/>
        <v>165.66902257733432</v>
      </c>
      <c r="F27" s="464">
        <f t="shared" si="6"/>
        <v>0</v>
      </c>
      <c r="G27" s="464">
        <f t="shared" si="7"/>
        <v>38178.250111524496</v>
      </c>
      <c r="H27" s="464">
        <f t="shared" si="8"/>
        <v>5926.3666950485385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44272.017503029361</v>
      </c>
    </row>
    <row r="28" spans="1:17">
      <c r="A28" s="459" t="s">
        <v>563</v>
      </c>
      <c r="B28" s="460">
        <f t="shared" ca="1" si="2"/>
        <v>0</v>
      </c>
      <c r="C28" s="460">
        <f t="shared" ca="1" si="3"/>
        <v>0</v>
      </c>
      <c r="D28" s="460">
        <f t="shared" si="4"/>
        <v>0</v>
      </c>
      <c r="E28" s="460">
        <f t="shared" si="5"/>
        <v>0</v>
      </c>
      <c r="F28" s="460">
        <f t="shared" si="6"/>
        <v>0</v>
      </c>
      <c r="G28" s="460">
        <f t="shared" si="7"/>
        <v>1347.8773354892958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1347.8773354892958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668.80145491783128</v>
      </c>
      <c r="C32" s="460">
        <f t="shared" ca="1" si="3"/>
        <v>0</v>
      </c>
      <c r="D32" s="460">
        <f t="shared" si="4"/>
        <v>1641.4844667832112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2310.2859217010428</v>
      </c>
    </row>
    <row r="33" spans="1:17" s="472" customFormat="1">
      <c r="A33" s="469" t="s">
        <v>567</v>
      </c>
      <c r="B33" s="470">
        <f ca="1">SUM(B22:B32)</f>
        <v>37832.606690957233</v>
      </c>
      <c r="C33" s="470">
        <f t="shared" ref="C33:Q33" ca="1" si="19">SUM(C22:C32)</f>
        <v>16214.303272515192</v>
      </c>
      <c r="D33" s="470">
        <f t="shared" ca="1" si="19"/>
        <v>60933.979889526832</v>
      </c>
      <c r="E33" s="470">
        <f t="shared" si="19"/>
        <v>1479.3113773628993</v>
      </c>
      <c r="F33" s="470">
        <f t="shared" ca="1" si="19"/>
        <v>8272.8143137181469</v>
      </c>
      <c r="G33" s="470">
        <f t="shared" si="19"/>
        <v>39526.127447013794</v>
      </c>
      <c r="H33" s="470">
        <f t="shared" si="19"/>
        <v>5926.3666950485385</v>
      </c>
      <c r="I33" s="470">
        <f t="shared" si="19"/>
        <v>0</v>
      </c>
      <c r="J33" s="470">
        <f t="shared" si="19"/>
        <v>776.87221478625736</v>
      </c>
      <c r="K33" s="470">
        <f t="shared" si="19"/>
        <v>0</v>
      </c>
      <c r="L33" s="470">
        <f t="shared" ca="1" si="19"/>
        <v>0</v>
      </c>
      <c r="M33" s="470">
        <f t="shared" si="19"/>
        <v>0</v>
      </c>
      <c r="N33" s="470">
        <f t="shared" ca="1" si="19"/>
        <v>0</v>
      </c>
      <c r="O33" s="470">
        <f t="shared" si="19"/>
        <v>0</v>
      </c>
      <c r="P33" s="470">
        <f t="shared" si="19"/>
        <v>0</v>
      </c>
      <c r="Q33" s="470">
        <f t="shared" ca="1" si="19"/>
        <v>170962.38190092889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4793.0619304754482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15506.570772435158</v>
      </c>
      <c r="C8" s="1028">
        <f>'SEAP template'!C76</f>
        <v>50193.429227564848</v>
      </c>
      <c r="D8" s="1028">
        <f>'SEAP template'!D76</f>
        <v>55843.634318769437</v>
      </c>
      <c r="E8" s="1028">
        <f>'SEAP template'!E76</f>
        <v>0</v>
      </c>
      <c r="F8" s="1028">
        <f>'SEAP template'!F76</f>
        <v>3207.458890130385</v>
      </c>
      <c r="G8" s="1028">
        <f>'SEAP template'!G76</f>
        <v>0</v>
      </c>
      <c r="H8" s="1028">
        <f>'SEAP template'!H76</f>
        <v>0</v>
      </c>
      <c r="I8" s="1028">
        <f>'SEAP template'!I76</f>
        <v>18243.024438159009</v>
      </c>
      <c r="J8" s="1028">
        <f>'SEAP template'!J76</f>
        <v>0</v>
      </c>
      <c r="K8" s="1028">
        <f>'SEAP template'!K76</f>
        <v>0</v>
      </c>
      <c r="L8" s="1028">
        <f>'SEAP template'!L76</f>
        <v>0</v>
      </c>
      <c r="M8" s="1028">
        <f>'SEAP template'!M76</f>
        <v>0</v>
      </c>
      <c r="N8" s="1028">
        <f>'SEAP template'!N76</f>
        <v>0</v>
      </c>
      <c r="O8" s="1028">
        <f>'SEAP template'!O76</f>
        <v>0</v>
      </c>
      <c r="P8" s="1029">
        <f>'SEAP template'!Q76</f>
        <v>12136.80565605624</v>
      </c>
    </row>
    <row r="9" spans="1:16">
      <c r="A9" s="1031" t="s">
        <v>938</v>
      </c>
      <c r="B9" s="1028">
        <f>'SEAP template'!B77</f>
        <v>9945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28414.285714285717</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30244.632702910607</v>
      </c>
      <c r="C10" s="1032">
        <f>SUM(C4:C9)</f>
        <v>50193.429227564848</v>
      </c>
      <c r="D10" s="1032">
        <f t="shared" ref="D10:H10" si="0">SUM(D8:D9)</f>
        <v>55843.634318769437</v>
      </c>
      <c r="E10" s="1032">
        <f t="shared" si="0"/>
        <v>0</v>
      </c>
      <c r="F10" s="1032">
        <f t="shared" si="0"/>
        <v>3207.458890130385</v>
      </c>
      <c r="G10" s="1032">
        <f t="shared" si="0"/>
        <v>0</v>
      </c>
      <c r="H10" s="1032">
        <f t="shared" si="0"/>
        <v>0</v>
      </c>
      <c r="I10" s="1032">
        <f>SUM(I8:I9)</f>
        <v>18243.024438159009</v>
      </c>
      <c r="J10" s="1032">
        <f>SUM(J8:J9)</f>
        <v>28414.285714285717</v>
      </c>
      <c r="K10" s="1032">
        <f t="shared" ref="K10:L10" si="1">SUM(K8:K9)</f>
        <v>0</v>
      </c>
      <c r="L10" s="1032">
        <f t="shared" si="1"/>
        <v>0</v>
      </c>
      <c r="M10" s="1032">
        <f>SUM(M8:M9)</f>
        <v>0</v>
      </c>
      <c r="N10" s="1032">
        <f>SUM(N8:N9)</f>
        <v>0</v>
      </c>
      <c r="O10" s="1032">
        <f>SUM(O8:O9)</f>
        <v>0</v>
      </c>
      <c r="P10" s="1032">
        <f>SUM(P8:P9)</f>
        <v>12136.80565605624</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0.19232812465765503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20716.179227564844</v>
      </c>
      <c r="C17" s="1035">
        <f>'SEAP template'!C87</f>
        <v>67056.481486720877</v>
      </c>
      <c r="D17" s="1029">
        <f>'SEAP template'!D87</f>
        <v>74604.937109801991</v>
      </c>
      <c r="E17" s="1029">
        <f>'SEAP template'!E87</f>
        <v>0</v>
      </c>
      <c r="F17" s="1029">
        <f>'SEAP template'!F87</f>
        <v>4285.041109869615</v>
      </c>
      <c r="G17" s="1029">
        <f>'SEAP template'!G87</f>
        <v>0</v>
      </c>
      <c r="H17" s="1029">
        <f>'SEAP template'!H87</f>
        <v>0</v>
      </c>
      <c r="I17" s="1029">
        <f>'SEAP template'!I87</f>
        <v>24371.975561840991</v>
      </c>
      <c r="J17" s="1029">
        <f>'SEAP template'!J87</f>
        <v>0</v>
      </c>
      <c r="K17" s="1029">
        <f>'SEAP template'!K87</f>
        <v>0</v>
      </c>
      <c r="L17" s="1029">
        <f>'SEAP template'!L87</f>
        <v>0</v>
      </c>
      <c r="M17" s="1029">
        <f>'SEAP template'!M87</f>
        <v>0</v>
      </c>
      <c r="N17" s="1029">
        <f>'SEAP template'!N87</f>
        <v>0</v>
      </c>
      <c r="O17" s="1029">
        <f>'SEAP template'!O87</f>
        <v>0</v>
      </c>
      <c r="P17" s="1029">
        <f>'SEAP template'!Q87</f>
        <v>16214.303272515192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20716.179227564844</v>
      </c>
      <c r="C20" s="1032">
        <f>SUM(C17:C19)</f>
        <v>67056.481486720877</v>
      </c>
      <c r="D20" s="1032">
        <f t="shared" ref="D20:H20" si="2">SUM(D17:D19)</f>
        <v>74604.937109801991</v>
      </c>
      <c r="E20" s="1032">
        <f t="shared" si="2"/>
        <v>0</v>
      </c>
      <c r="F20" s="1032">
        <f t="shared" si="2"/>
        <v>4285.041109869615</v>
      </c>
      <c r="G20" s="1032">
        <f t="shared" si="2"/>
        <v>0</v>
      </c>
      <c r="H20" s="1032">
        <f t="shared" si="2"/>
        <v>0</v>
      </c>
      <c r="I20" s="1032">
        <f>SUM(I17:I19)</f>
        <v>24371.975561840991</v>
      </c>
      <c r="J20" s="1032">
        <f>SUM(J17:J19)</f>
        <v>0</v>
      </c>
      <c r="K20" s="1032">
        <f t="shared" ref="K20:L20" si="3">SUM(K17:K19)</f>
        <v>0</v>
      </c>
      <c r="L20" s="1032">
        <f t="shared" si="3"/>
        <v>0</v>
      </c>
      <c r="M20" s="1032">
        <f>SUM(M17:M19)</f>
        <v>0</v>
      </c>
      <c r="N20" s="1032">
        <f>SUM(N17:N19)</f>
        <v>0</v>
      </c>
      <c r="O20" s="1032">
        <f>SUM(O17:O19)</f>
        <v>0</v>
      </c>
      <c r="P20" s="1032">
        <f>SUM(P17:P19)</f>
        <v>16214.303272515192</v>
      </c>
    </row>
    <row r="22" spans="1:16">
      <c r="A22" s="473" t="s">
        <v>946</v>
      </c>
      <c r="B22" s="777" t="s">
        <v>940</v>
      </c>
      <c r="C22" s="777">
        <f ca="1">'EF ele_warmte'!B22</f>
        <v>0.184730679696442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0.19232812465765503</v>
      </c>
      <c r="C17" s="509">
        <f ca="1">'EF ele_warmte'!B22</f>
        <v>0.184730679696442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2019-08-12T09:19:25Z</dcterms:modified>
</cp:coreProperties>
</file>