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L20"/>
  <c r="C98"/>
  <c r="I101" s="1"/>
  <c r="H8" s="1"/>
  <c r="O18"/>
  <c r="O19"/>
  <c r="B10"/>
  <c r="G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P54"/>
  <c r="L54"/>
  <c r="L56" s="1"/>
  <c r="J54"/>
  <c r="I54"/>
  <c r="H54"/>
  <c r="H56" s="1"/>
  <c r="Q24"/>
  <c r="P24"/>
  <c r="N24"/>
  <c r="L24"/>
  <c r="J24"/>
  <c r="J26" s="1"/>
  <c r="I24"/>
  <c r="H24"/>
  <c r="Q50"/>
  <c r="P50"/>
  <c r="O50"/>
  <c r="M50"/>
  <c r="L50"/>
  <c r="K50"/>
  <c r="J50"/>
  <c r="G50"/>
  <c r="D50"/>
  <c r="Q49"/>
  <c r="P49"/>
  <c r="Q20"/>
  <c r="P20"/>
  <c r="O20"/>
  <c r="M20"/>
  <c r="L20"/>
  <c r="K20"/>
  <c r="J20"/>
  <c r="G20"/>
  <c r="D20"/>
  <c r="Q19"/>
  <c r="P19"/>
  <c r="O19"/>
  <c r="M19"/>
  <c r="L19"/>
  <c r="K19"/>
  <c r="K22" s="1"/>
  <c r="J19"/>
  <c r="J22" s="1"/>
  <c r="I19"/>
  <c r="G19"/>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J56"/>
  <c r="Q56"/>
  <c r="P56"/>
  <c r="I56"/>
  <c r="P52"/>
  <c r="R44"/>
  <c r="P26"/>
  <c r="L26"/>
  <c r="H26"/>
  <c r="E25"/>
  <c r="E55" s="1"/>
  <c r="Q26"/>
  <c r="N26"/>
  <c r="I26"/>
  <c r="D5" i="17"/>
  <c r="H10" i="18" l="1"/>
  <c r="M76" i="14"/>
  <c r="M8" i="55" s="1"/>
  <c r="M10" s="1"/>
  <c r="Q14" i="48"/>
  <c r="M90" i="14"/>
  <c r="M17" i="55"/>
  <c r="M20" s="1"/>
  <c r="L78" i="14"/>
  <c r="L8" i="55"/>
  <c r="L10" s="1"/>
  <c r="G78" i="14"/>
  <c r="G9" i="55"/>
  <c r="G10" s="1"/>
  <c r="O78" i="14"/>
  <c r="O9" i="55"/>
  <c r="D22" i="14"/>
  <c r="D14" i="48"/>
  <c r="G22" i="14"/>
  <c r="O22"/>
  <c r="P22"/>
  <c r="E101" i="18"/>
  <c r="E8" s="1"/>
  <c r="L90" i="14"/>
  <c r="H10" i="55"/>
  <c r="E20"/>
  <c r="G20"/>
  <c r="O20"/>
  <c r="H101" i="18"/>
  <c r="H90" i="14"/>
  <c r="Q52"/>
  <c r="K10" i="55"/>
  <c r="O32" i="48"/>
  <c r="D101" i="18"/>
  <c r="C77" i="14"/>
  <c r="C9" i="55" s="1"/>
  <c r="F9"/>
  <c r="F90" i="14"/>
  <c r="F18" i="55"/>
  <c r="F20" s="1"/>
  <c r="N90" i="14"/>
  <c r="N18" i="55"/>
  <c r="N20" s="1"/>
  <c r="P32" i="48"/>
  <c r="L22" i="14"/>
  <c r="C101" i="18"/>
  <c r="F101"/>
  <c r="I8" s="1"/>
  <c r="E10" i="55"/>
  <c r="O10"/>
  <c r="H20"/>
  <c r="P24" i="48"/>
  <c r="B101" i="18"/>
  <c r="C8" s="1"/>
  <c r="D76" i="14" s="1"/>
  <c r="N78"/>
  <c r="N9" i="55"/>
  <c r="N10" s="1"/>
  <c r="E90" i="14"/>
  <c r="E18" i="55"/>
  <c r="P31" i="48"/>
  <c r="K20" i="55"/>
  <c r="R9" i="14"/>
  <c r="M22"/>
  <c r="O28" i="48"/>
  <c r="O2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27" i="48"/>
  <c r="O31"/>
  <c r="P27"/>
  <c r="P28"/>
  <c r="P29"/>
  <c r="Q11"/>
  <c r="Q12"/>
  <c r="O30"/>
  <c r="Q77" i="14"/>
  <c r="D78"/>
  <c r="K90"/>
  <c r="E10" i="18" l="1"/>
  <c r="F76" i="14"/>
  <c r="Q76"/>
  <c r="P8" i="55" s="1"/>
  <c r="D8"/>
  <c r="D10" s="1"/>
  <c r="O17" i="18"/>
  <c r="O20" s="1"/>
  <c r="P9" i="55"/>
  <c r="I10" i="18"/>
  <c r="I76" i="14"/>
  <c r="I8" i="55" s="1"/>
  <c r="I10" s="1"/>
  <c r="J20" i="18"/>
  <c r="J87" i="14"/>
  <c r="I20" i="18"/>
  <c r="I87" i="14"/>
  <c r="I17" i="55" s="1"/>
  <c r="I20" s="1"/>
  <c r="O8" i="18"/>
  <c r="O10" s="1"/>
  <c r="J10"/>
  <c r="J76" i="14"/>
  <c r="Q87"/>
  <c r="D90"/>
  <c r="Q90" l="1"/>
  <c r="B17" i="6" s="1"/>
  <c r="P17" i="55"/>
  <c r="P20" s="1"/>
  <c r="J90" i="14"/>
  <c r="J17" i="55"/>
  <c r="J20" s="1"/>
  <c r="J78" i="14"/>
  <c r="J8" i="55"/>
  <c r="J10" s="1"/>
  <c r="F8"/>
  <c r="F10" s="1"/>
  <c r="F78" i="14"/>
  <c r="Q78"/>
  <c r="B9" i="6" s="1"/>
  <c r="P10" i="55"/>
  <c r="I78" i="14"/>
  <c r="C76"/>
  <c r="B76"/>
  <c r="I90"/>
  <c r="B87"/>
  <c r="C87"/>
  <c r="H14" i="15"/>
  <c r="H16" s="1"/>
  <c r="G14"/>
  <c r="G16" s="1"/>
  <c r="H5" i="48" l="1"/>
  <c r="I10" i="14"/>
  <c r="I16" s="1"/>
  <c r="G5" i="48"/>
  <c r="H10" i="14"/>
  <c r="H16" s="1"/>
  <c r="C78"/>
  <c r="C8" i="55"/>
  <c r="C10" s="1"/>
  <c r="B78" i="14"/>
  <c r="B8" i="55"/>
  <c r="B10" s="1"/>
  <c r="B90" i="14"/>
  <c r="B17" i="55"/>
  <c r="B20" s="1"/>
  <c r="C90" i="14"/>
  <c r="C17" i="55"/>
  <c r="C2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B7" i="48"/>
  <c r="C24" i="14"/>
  <c r="C26" s="1"/>
  <c r="P5" i="48"/>
  <c r="P23" s="1"/>
  <c r="Q10" i="14"/>
  <c r="C19"/>
  <c r="B10" i="48"/>
  <c r="J32"/>
  <c r="J29"/>
  <c r="J27"/>
  <c r="J31"/>
  <c r="J24"/>
  <c r="J30"/>
  <c r="J28"/>
  <c r="P11" i="14"/>
  <c r="O4" i="48"/>
  <c r="N10" i="14"/>
  <c r="N16" s="1"/>
  <c r="M5" i="48"/>
  <c r="F32"/>
  <c r="F27"/>
  <c r="F31"/>
  <c r="F30"/>
  <c r="F28"/>
  <c r="F29"/>
  <c r="F24"/>
  <c r="E30"/>
  <c r="E24"/>
  <c r="E32"/>
  <c r="E28"/>
  <c r="E31"/>
  <c r="E29"/>
  <c r="L10" i="14"/>
  <c r="L16" s="1"/>
  <c r="L27" s="1"/>
  <c r="K5" i="48"/>
  <c r="D22"/>
  <c r="D30"/>
  <c r="D28"/>
  <c r="D24"/>
  <c r="D29"/>
  <c r="D31"/>
  <c r="D32"/>
  <c r="K30"/>
  <c r="K32"/>
  <c r="K31"/>
  <c r="K25"/>
  <c r="K29"/>
  <c r="K28"/>
  <c r="K24"/>
  <c r="K26"/>
  <c r="K22"/>
  <c r="K27"/>
  <c r="I5"/>
  <c r="J10" i="14"/>
  <c r="J16" s="1"/>
  <c r="J27" s="1"/>
  <c r="Q11"/>
  <c r="P4" i="48"/>
  <c r="D4"/>
  <c r="E11" i="14"/>
  <c r="H30" i="48"/>
  <c r="H32"/>
  <c r="H24"/>
  <c r="H26"/>
  <c r="H29"/>
  <c r="H28"/>
  <c r="H25"/>
  <c r="H22"/>
  <c r="H23"/>
  <c r="C18" i="16"/>
  <c r="C8" i="48" s="1"/>
  <c r="N32"/>
  <c r="N24"/>
  <c r="N30"/>
  <c r="N28"/>
  <c r="N27"/>
  <c r="N29"/>
  <c r="N31"/>
  <c r="M30"/>
  <c r="M24"/>
  <c r="M25"/>
  <c r="M32"/>
  <c r="M22"/>
  <c r="M26"/>
  <c r="M29"/>
  <c r="L32"/>
  <c r="L27"/>
  <c r="L30"/>
  <c r="L28"/>
  <c r="L24"/>
  <c r="L22"/>
  <c r="L31"/>
  <c r="L29"/>
  <c r="I32"/>
  <c r="I25"/>
  <c r="I30"/>
  <c r="I26"/>
  <c r="I24"/>
  <c r="I31"/>
  <c r="I28"/>
  <c r="I22"/>
  <c r="I29"/>
  <c r="I27"/>
  <c r="H12" i="22"/>
  <c r="I18" i="14"/>
  <c r="H13" i="48"/>
  <c r="H31" s="1"/>
  <c r="C4"/>
  <c r="D11" i="14"/>
  <c r="G30" i="48"/>
  <c r="G32"/>
  <c r="G29"/>
  <c r="G24"/>
  <c r="G22"/>
  <c r="G26"/>
  <c r="G25"/>
  <c r="G23"/>
  <c r="B8" i="9"/>
  <c r="B6" i="48" s="1"/>
  <c r="Q6"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K15" i="48" l="1"/>
  <c r="K23"/>
  <c r="K33" s="1"/>
  <c r="G12" i="22"/>
  <c r="G13" i="48"/>
  <c r="H18" i="14"/>
  <c r="L46"/>
  <c r="L61" s="1"/>
  <c r="L63" s="1"/>
  <c r="D13"/>
  <c r="I22"/>
  <c r="I27" s="1"/>
  <c r="J63"/>
  <c r="O22" i="48"/>
  <c r="M23"/>
  <c r="P22" i="16"/>
  <c r="Q43" i="14" s="1"/>
  <c r="P8" i="48"/>
  <c r="P26" s="1"/>
  <c r="Q13" i="14"/>
  <c r="Q16" s="1"/>
  <c r="Q27" s="1"/>
  <c r="P15" i="48"/>
  <c r="P22"/>
  <c r="P33" s="1"/>
  <c r="I33"/>
  <c r="P10" i="14"/>
  <c r="O5" i="48"/>
  <c r="O23" s="1"/>
  <c r="M13"/>
  <c r="M31" s="1"/>
  <c r="N18" i="14"/>
  <c r="I20"/>
  <c r="H9" i="48"/>
  <c r="I23"/>
  <c r="I15"/>
  <c r="F4"/>
  <c r="F22" s="1"/>
  <c r="G11" i="14"/>
  <c r="D16" i="15"/>
  <c r="D5" i="48" s="1"/>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N4" i="48"/>
  <c r="N22" s="1"/>
  <c r="O11" i="14"/>
  <c r="K11"/>
  <c r="J4" i="48"/>
  <c r="J22" s="1"/>
  <c r="G9"/>
  <c r="H20" i="14"/>
  <c r="H22" s="1"/>
  <c r="H27" s="1"/>
  <c r="G31" i="48"/>
  <c r="Q13"/>
  <c r="C20" i="14"/>
  <c r="B9" i="48"/>
  <c r="F20" i="14"/>
  <c r="F22" s="1"/>
  <c r="E9" i="48"/>
  <c r="E27" s="1"/>
  <c r="E20" i="14"/>
  <c r="E22" s="1"/>
  <c r="D9" i="48"/>
  <c r="D27" s="1"/>
  <c r="O8"/>
  <c r="P13" i="14"/>
  <c r="P16" s="1"/>
  <c r="P27" s="1"/>
  <c r="H27" i="48"/>
  <c r="H33" s="1"/>
  <c r="H15"/>
  <c r="R18" i="14"/>
  <c r="P46"/>
  <c r="P61" s="1"/>
  <c r="C15" i="48"/>
  <c r="Q46" i="14"/>
  <c r="Q61" s="1"/>
  <c r="Q63" s="1"/>
  <c r="E10"/>
  <c r="M10" i="48"/>
  <c r="M28" s="1"/>
  <c r="N19" i="14"/>
  <c r="E12" i="13"/>
  <c r="F41" i="14" s="1"/>
  <c r="F11"/>
  <c r="R11" s="1"/>
  <c r="E4"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22" l="1"/>
  <c r="N27" s="1"/>
  <c r="N63" s="1"/>
  <c r="R20"/>
  <c r="R22" s="1"/>
  <c r="C22"/>
  <c r="H63"/>
  <c r="Q9" i="48"/>
  <c r="G28"/>
  <c r="Q10"/>
  <c r="P63" i="14"/>
  <c r="E22" i="48"/>
  <c r="Q4"/>
  <c r="O26"/>
  <c r="O33" s="1"/>
  <c r="O15"/>
  <c r="M18" i="22"/>
  <c r="N50" i="14" s="1"/>
  <c r="N52" s="1"/>
  <c r="N61" s="1"/>
  <c r="N20"/>
  <c r="M9" i="48"/>
  <c r="G27"/>
  <c r="G15"/>
  <c r="D15"/>
  <c r="J5"/>
  <c r="K10" i="14"/>
  <c r="E20" i="15"/>
  <c r="F40" i="14" s="1"/>
  <c r="E5" i="48"/>
  <c r="F10" i="14"/>
  <c r="L15" i="48"/>
  <c r="Q7"/>
  <c r="R24" i="14"/>
  <c r="R26" s="1"/>
  <c r="J18" i="16"/>
  <c r="N18"/>
  <c r="E18"/>
  <c r="F18"/>
  <c r="F22" s="1"/>
  <c r="G43" i="14" s="1"/>
  <c r="M27" i="48" l="1"/>
  <c r="M33" s="1"/>
  <c r="M15"/>
  <c r="G33"/>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<sst xmlns="http://schemas.openxmlformats.org/spreadsheetml/2006/main" count="2532" uniqueCount="981">
  <si>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</si>
  <si>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</si>
  <si>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</si>
  <si>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</si>
  <si>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</si>
  <si>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</si>
  <si>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</si>
  <si>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</si>
  <si>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</si>
  <si>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</si>
  <si>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</si>
  <si>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</si>
  <si>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</si>
  <si>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</si>
  <si>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</si>
  <si>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</si>
  <si>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</si>
  <si>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</si>
  <si>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</si>
  <si>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</si>
  <si>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</si>
  <si>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</si>
  <si>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</si>
  <si>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</si>
  <si>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</si>
  <si>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</si>
  <si>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</si>
  <si>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</si>
  <si>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</si>
  <si>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</si>
  <si>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</si>
  <si>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</si>
  <si>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</si>
  <si>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</si>
  <si>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</si>
  <si>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</si>
  <si>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</si>
  <si>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</si>
  <si>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</si>
  <si>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</si>
  <si>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</si>
  <si>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</si>
  <si>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</si>
  <si>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</si>
  <si>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</si>
  <si>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</si>
  <si>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</si>
  <si>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</si>
  <si>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</si>
  <si>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</si>
  <si>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</si>
  <si>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</si>
  <si>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</si>
  <si>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</si>
  <si>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</si>
  <si>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</si>
  <si>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</si>
  <si>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</si>
  <si>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</si>
  <si>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</si>
  <si>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</si>
  <si>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</si>
  <si>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</si>
  <si>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</si>
  <si>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</si>
  <si>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</si>
  <si>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</si>
  <si>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</si>
  <si>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</si>
  <si>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</si>
  <si>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</si>
  <si>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</si>
  <si>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</si>
  <si>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</si>
  <si>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</si>
  <si>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</si>
  <si>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</si>
  <si>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</si>
  <si>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</si>
  <si>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</si>
  <si>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</si>
  <si>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</si>
  <si>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</si>
  <si>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</si>
  <si>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</si>
  <si>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</si>
  <si>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</si>
  <si>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</si>
  <si>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</si>
  <si>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</si>
  <si>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</si>
  <si>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</si>
  <si>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</si>
  <si>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</si>
  <si>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</si>
  <si>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</si>
  <si>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</si>
  <si>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</si>
  <si>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</si>
  <si>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</si>
  <si>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</si>
  <si>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</si>
  <si>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</si>
  <si>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</si>
  <si>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</si>
  <si>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</si>
  <si>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</si>
  <si>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</si>
  <si>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</si>
  <si>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</si>
  <si>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</si>
  <si>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</si>
  <si>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</si>
  <si>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</si>
  <si>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</si>
  <si>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</si>
  <si>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</si>
  <si>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</si>
  <si>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</si>
  <si>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</si>
  <si>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</si>
  <si>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</si>
  <si>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</si>
  <si>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</si>
  <si>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</si>
  <si>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</si>
  <si>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</si>
  <si>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</si>
  <si>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</si>
  <si>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</si>
  <si>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</si>
  <si>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</si>
  <si>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</si>
  <si>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</si>
  <si>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</si>
  <si>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</si>
  <si>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</si>
  <si>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</si>
  <si>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</si>
  <si>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</si>
  <si>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</si>
  <si>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</si>
  <si>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</si>
  <si>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</si>
  <si>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</si>
  <si>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</si>
  <si>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</si>
  <si>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</si>
  <si>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</si>
  <si>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</si>
  <si>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</si>
  <si>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</si>
  <si>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</si>
  <si>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</si>
  <si>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</si>
  <si>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</si>
  <si>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</si>
  <si>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</si>
  <si>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</si>
  <si>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</si>
  <si>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</si>
  <si>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</si>
  <si>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</si>
  <si>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</si>
  <si>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</si>
  <si>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</si>
  <si>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</si>
  <si>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</si>
  <si>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</si>
  <si>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</si>
  <si>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</si>
  <si>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</si>
  <si>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</si>
  <si>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</si>
  <si>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</si>
  <si>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</si>
  <si>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</si>
  <si>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</si>
  <si>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</si>
  <si>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</si>
  <si>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</si>
  <si>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</si>
  <si>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</si>
  <si>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</si>
  <si>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</si>
  <si>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</si>
  <si>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</si>
  <si>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</si>
  <si>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</si>
  <si>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</si>
  <si>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</si>
  <si>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</si>
  <si>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</si>
  <si>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</si>
  <si>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</si>
  <si>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</si>
  <si>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</si>
  <si>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</si>
  <si>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</si>
  <si>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</si>
  <si>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</si>
  <si>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</si>
  <si>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</si>
  <si>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</si>
  <si>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</si>
  <si>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</si>
  <si>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</si>
  <si>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</si>
  <si>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</si>
  <si>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</si>
  <si>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</si>
  <si>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</si>
  <si>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</si>
  <si>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</si>
  <si>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</si>
  <si>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</si>
  <si>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</si>
  <si>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</si>
  <si>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</si>
  <si>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</si>
  <si>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</si>
  <si>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</si>
  <si>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</si>
  <si>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</si>
  <si>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</si>
  <si>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</si>
  <si>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</si>
  <si>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</si>
  <si>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</si>
  <si>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</si>
  <si>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</si>
  <si>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</si>
  <si>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</si>
  <si>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</si>
  <si>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</si>
  <si>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</si>
  <si>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</si>
  <si>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</si>
  <si>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</si>
  <si>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</si>
  <si>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</si>
  <si>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</si>
  <si>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</si>
  <si>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</si>
  <si>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</si>
  <si>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</si>
  <si>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</si>
  <si>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</si>
  <si>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</si>
  <si>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</si>
  <si>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</si>
  <si>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</si>
  <si>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</si>
  <si>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</si>
  <si>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</si>
  <si>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</si>
  <si>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</si>
  <si>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</si>
  <si>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</si>
  <si>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</si>
  <si>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</si>
  <si>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</si>
  <si>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</si>
  <si>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</si>
  <si>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</si>
  <si>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</si>
  <si>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</si>
  <si>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</si>
  <si>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</si>
  <si>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</si>
  <si>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</si>
  <si>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</si>
  <si>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</si>
  <si>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</si>
  <si>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</si>
  <si>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</si>
  <si>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</si>
  <si>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</si>
  <si>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</si>
  <si>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</si>
  <si>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</si>
  <si>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</si>
  <si>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</si>
  <si>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</si>
  <si>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</si>
  <si>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</si>
  <si>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</si>
  <si>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</si>
  <si>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</si>
  <si>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</si>
  <si>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</si>
  <si>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</si>
  <si>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</si>
  <si>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</si>
  <si>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</si>
  <si>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</si>
  <si>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</si>
  <si>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</si>
  <si>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</si>
  <si>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</si>
  <si>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</si>
  <si>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</si>
  <si>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</si>
  <si>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</si>
  <si>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</si>
  <si>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</si>
  <si>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</si>
  <si>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</si>
  <si>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</si>
  <si>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</si>
  <si>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</si>
  <si>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</si>
  <si>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</si>
  <si>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</si>
  <si>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</si>
  <si>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</si>
  <si>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</si>
  <si>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</si>
  <si>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</si>
  <si>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</si>
  <si>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</si>
  <si>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</si>
  <si>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</si>
  <si>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</si>
  <si>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</si>
  <si>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</si>
  <si>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</si>
  <si>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</si>
  <si>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</si>
  <si>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</si>
  <si>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</si>
  <si>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</si>
  <si>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</si>
  <si>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</si>
  <si>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</si>
  <si>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</si>
  <si>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</si>
  <si>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</si>
  <si>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</si>
  <si>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</si>
  <si>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</si>
  <si>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</si>
  <si>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</si>
  <si>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</si>
  <si>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</si>
  <si>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</si>
  <si>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</si>
  <si>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</si>
  <si>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</si>
  <si>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</si>
  <si>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</si>
  <si>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</si>
  <si>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</si>
  <si>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</si>
  <si>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</si>
  <si>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</si>
  <si>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</si>
  <si>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</si>
  <si>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</si>
  <si>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</si>
  <si>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</si>
  <si>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</si>
  <si>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</si>
  <si>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</si>
  <si>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</si>
  <si>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</si>
  <si>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</si>
  <si>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</si>
  <si>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</si>
  <si>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</si>
  <si>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</si>
  <si>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</si>
  <si>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</si>
  <si>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</si>
  <si>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</si>
  <si>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</si>
  <si>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</si>
  <si>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</si>
  <si>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</si>
  <si>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</si>
  <si>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</si>
  <si>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</si>
  <si>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</si>
  <si>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</si>
  <si>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</si>
  <si>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</si>
  <si>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</si>
  <si>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</si>
  <si>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</si>
  <si>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</si>
  <si>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</si>
  <si>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</si>
  <si>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</si>
  <si>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</si>
  <si>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</si>
  <si>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</si>
  <si>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</si>
  <si>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</si>
  <si>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</si>
  <si>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</si>
  <si>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</si>
  <si>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</si>
  <si>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</si>
  <si>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</si>
  <si>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</si>
  <si>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</si>
  <si>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</si>
  <si>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</si>
  <si>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</si>
  <si>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</si>
  <si>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</si>
  <si>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</si>
  <si>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</si>
  <si>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</si>
  <si>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</si>
  <si>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</si>
  <si>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</si>
  <si>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</si>
  <si>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</si>
  <si>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</si>
  <si>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</si>
  <si>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</si>
  <si>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</si>
  <si>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</si>
  <si>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</si>
  <si>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</si>
  <si>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</si>
  <si>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</si>
  <si>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</si>
  <si>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</si>
  <si>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</si>
  <si>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</si>
  <si>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</si>
  <si>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</si>
  <si>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</si>
  <si>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</si>
  <si>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</si>
  <si>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</si>
  <si>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</si>
  <si>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</si>
  <si>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</si>
  <si>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</si>
  <si>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</si>
  <si>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</si>
  <si>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</si>
  <si>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</si>
  <si>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</si>
  <si>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</si>
  <si>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</si>
  <si>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</si>
  <si>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</si>
  <si>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</si>
  <si>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</si>
  <si>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</si>
  <si>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</si>
  <si>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</si>
  <si>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</si>
  <si>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</si>
  <si>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</si>
  <si>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</si>
  <si>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</si>
  <si>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</si>
  <si>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</si>
  <si>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</si>
  <si>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</si>
  <si>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</si>
  <si>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</si>
  <si>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</si>
  <si>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</si>
  <si>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</si>
  <si>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</si>
  <si>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</si>
  <si>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</si>
  <si>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</si>
  <si>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</si>
  <si>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</si>
  <si>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</si>
  <si>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</si>
  <si>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</si>
  <si>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</si>
  <si>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</si>
  <si>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</si>
  <si>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</si>
  <si>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</si>
  <si>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</si>
  <si>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</si>
  <si>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</si>
  <si>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</si>
  <si>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</si>
  <si>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</si>
  <si>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</si>
  <si>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</si>
  <si>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</si>
  <si>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</si>
  <si>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</si>
  <si>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</si>
  <si>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</si>
  <si>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</si>
  <si>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</si>
  <si>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</si>
  <si>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</si>
  <si>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</si>
  <si>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</si>
  <si>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</si>
  <si>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</si>
  <si>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</si>
  <si>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</si>
  <si>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</si>
  <si>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</si>
  <si>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</si>
  <si>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</si>
  <si>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</si>
  <si>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</si>
  <si>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</si>
  <si>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</si>
  <si>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</si>
  <si>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</si>
  <si>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</si>
  <si>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</si>
  <si>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</si>
  <si>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</si>
  <si>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</si>
  <si>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</si>
  <si>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</si>
  <si>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</si>
  <si>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</si>
  <si>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</si>
  <si>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</si>
  <si>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</si>
  <si>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</si>
  <si>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</si>
  <si>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</si>
  <si>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</si>
  <si>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</si>
  <si>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</si>
  <si>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</si>
  <si>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</si>
  <si>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</si>
  <si>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</si>
  <si>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</si>
  <si>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</si>
  <si>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</si>
  <si>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</si>
  <si>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</si>
  <si>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</si>
  <si>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</si>
  <si>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</si>
  <si>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</si>
  <si>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</si>
  <si>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</si>
  <si>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</si>
  <si>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</si>
  <si>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</si>
  <si>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</si>
  <si>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</si>
  <si>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</si>
  <si>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</si>
  <si>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</si>
  <si>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</si>
  <si>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</si>
  <si>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</si>
  <si>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</si>
  <si>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</si>
  <si>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</si>
  <si>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</si>
  <si>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</si>
  <si>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</si>
  <si>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</si>
  <si>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</si>
  <si>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</si>
  <si>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</si>
  <si>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</si>
  <si>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</si>
  <si>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</si>
  <si>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</si>
  <si>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</si>
  <si>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</si>
  <si>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</si>
  <si>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</si>
  <si>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</si>
  <si>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</si>
  <si>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</si>
  <si>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</si>
  <si>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</si>
  <si>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</si>
  <si>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</si>
  <si>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</si>
  <si>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</si>
  <si>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</si>
  <si>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</si>
  <si>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</si>
  <si>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</si>
  <si>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</si>
  <si>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</si>
  <si>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</si>
  <si>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</si>
  <si>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</si>
  <si>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</si>
  <si>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</si>
  <si>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</si>
  <si>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</si>
  <si>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</si>
  <si>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</si>
  <si>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</si>
  <si>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</si>
  <si>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</si>
  <si>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</si>
  <si>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</si>
  <si>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</si>
  <si>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</si>
  <si>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</si>
  <si>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</si>
  <si>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</si>
  <si>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</si>
  <si>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</si>
  <si>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</si>
  <si>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</si>
  <si>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</si>
  <si>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</si>
  <si>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</si>
  <si>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</si>
  <si>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</si>
  <si>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</si>
  <si>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</si>
  <si>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</si>
  <si>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</si>
  <si>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</si>
  <si>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</si>
  <si>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</si>
  <si>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</si>
  <si>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</si>
  <si>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</si>
  <si>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</si>
  <si>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</si>
  <si>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</si>
  <si>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</si>
  <si>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</si>
  <si>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</si>
  <si>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</si>
  <si>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</si>
  <si>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</si>
  <si>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</si>
  <si>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</si>
  <si>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</si>
  <si>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</si>
  <si>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</si>
  <si>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</si>
  <si>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</si>
  <si>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</si>
  <si>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</si>
  <si>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</si>
  <si>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</si>
  <si>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</si>
  <si>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</si>
  <si>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</si>
  <si>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</si>
  <si>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</si>
  <si>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</si>
  <si>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</si>
  <si>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</si>
  <si>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</si>
  <si>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</si>
  <si>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</si>
  <si>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</si>
  <si>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</si>
  <si>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</si>
  <si>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</si>
  <si>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</si>
  <si>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</si>
  <si>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</si>
  <si>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</si>
  <si>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</si>
  <si>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</si>
  <si>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</si>
  <si>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</si>
  <si>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</si>
  <si>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</si>
  <si>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</si>
  <si>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</si>
  <si>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</si>
  <si>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</si>
  <si>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</si>
  <si>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</si>
  <si>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</si>
  <si>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</si>
  <si>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</si>
  <si>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</si>
  <si>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</si>
  <si>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</si>
  <si>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</si>
  <si>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</si>
  <si>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</si>
  <si>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</si>
  <si>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</si>
  <si>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</si>
  <si>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</si>
  <si>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</si>
  <si>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</si>
  <si>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</si>
  <si>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</si>
  <si>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</si>
  <si>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</si>
  <si>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</si>
  <si>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</si>
  <si>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</si>
  <si>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</si>
  <si>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</si>
  <si>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</si>
  <si>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</si>
  <si>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</si>
  <si>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</si>
  <si>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</si>
  <si>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</si>
  <si>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</si>
  <si>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</si>
  <si>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</si>
  <si>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</si>
  <si>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</si>
  <si>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</si>
  <si>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</si>
  <si>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</si>
  <si>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</si>
  <si>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</si>
  <si>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</si>
  <si>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</si>
  <si>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</si>
  <si>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</si>
  <si>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</si>
  <si>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</si>
  <si>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</si>
  <si>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</si>
  <si>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</si>
  <si>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</si>
  <si>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</si>
  <si>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</si>
  <si>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</si>
  <si>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</si>
  <si>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</si>
  <si>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</si>
  <si>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</si>
  <si>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</si>
  <si>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</si>
  <si>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</si>
  <si>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</si>
  <si>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</si>
  <si>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</si>
  <si>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</si>
  <si>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</si>
  <si>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</si>
  <si>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</si>
  <si>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</si>
  <si>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</si>
  <si>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</si>
  <si>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</si>
  <si>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</si>
  <si>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</si>
  <si>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</si>
  <si>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</si>
  <si>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</si>
  <si>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</si>
  <si>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</si>
  <si>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</si>
  <si>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</si>
  <si>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</si>
  <si>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</si>
  <si>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</si>
  <si>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</si>
  <si>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</si>
  <si>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</si>
  <si>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</si>
  <si>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</si>
  <si>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</si>
  <si>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</si>
  <si>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</si>
  <si>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</si>
  <si>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</si>
  <si>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</si>
  <si>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</si>
  <si>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</si>
  <si>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</si>
  <si>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</si>
  <si>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</si>
  <si>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</si>
  <si>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</si>
  <si>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</si>
  <si>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</si>
  <si>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</si>
  <si>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</si>
  <si>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</si>
  <si>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</si>
  <si>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</si>
  <si>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</si>
  <si>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</si>
  <si>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</si>
  <si>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</si>
  <si>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</si>
  <si>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</si>
  <si>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</si>
  <si>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</si>
  <si>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</si>
  <si>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</si>
  <si>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</si>
  <si>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</si>
  <si>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</si>
  <si>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</si>
  <si>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</si>
  <si>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</si>
  <si>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</si>
  <si>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</si>
  <si>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</si>
  <si>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</si>
  <si>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</si>
  <si>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</si>
  <si>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</si>
  <si>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</si>
  <si>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</si>
  <si>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</si>
  <si>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</si>
  <si>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</si>
  <si>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</si>
  <si>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</si>
  <si>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</si>
  <si>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</si>
  <si>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</si>
  <si>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</si>
  <si>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</si>
  <si>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</si>
  <si>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</si>
  <si>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</si>
  <si>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</si>
  <si>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</si>
  <si>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</si>
  <si>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</si>
  <si>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</si>
  <si>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</si>
  <si>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</si>
  <si>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</si>
  <si>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</si>
  <si>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</si>
  <si>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</si>
  <si>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</si>
  <si>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</si>
  <si>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</si>
  <si>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</si>
  <si>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</si>
  <si>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</si>
  <si>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</si>
  <si>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</si>
  <si>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</si>
  <si>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</si>
  <si>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</si>
  <si>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</si>
  <si>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</si>
  <si>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</si>
  <si>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</si>
  <si>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</si>
  <si>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</si>
  <si>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</si>
  <si>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</si>
  <si>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</si>
  <si>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</si>
  <si>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</si>
  <si>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</si>
  <si>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</si>
  <si>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</si>
  <si>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</si>
  <si>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</si>
  <si>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</si>
  <si>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</si>
  <si>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</si>
  <si>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</si>
  <si>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</si>
  <si>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</si>
  <si>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</si>
  <si>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</si>
  <si>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</si>
  <si>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</si>
  <si>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</si>
  <si>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</si>
  <si>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</si>
  <si>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</si>
  <si>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</si>
  <si>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</si>
  <si>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</si>
  <si>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</si>
  <si>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</si>
  <si>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</si>
  <si>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</si>
  <si>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</si>
  <si>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</si>
  <si>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</si>
  <si>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</si>
  <si>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</si>
  <si>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</si>
  <si>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</si>
  <si>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</si>
  <si>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</si>
  <si>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</si>
  <si>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</si>
  <si>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</si>
  <si>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</si>
  <si>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</si>
  <si>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</si>
  <si>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</si>
  <si>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</si>
  <si>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</si>
  <si>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</si>
  <si>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</si>
  <si>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</si>
  <si>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</si>
  <si>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</si>
  <si>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</si>
  <si>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</si>
  <si>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</si>
  <si>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</si>
  <si>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</si>
  <si>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</si>
  <si>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</si>
  <si>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</si>
  <si>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</si>
  <si>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</si>
  <si>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</si>
  <si>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</si>
  <si>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</si>
  <si>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</si>
  <si>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</si>
  <si>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</si>
  <si>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</si>
  <si>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</si>
  <si>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</si>
  <si>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</si>
  <si>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</si>
  <si>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</si>
  <si>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</si>
  <si>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</si>
  <si>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</si>
  <si>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</si>
  <si>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</si>
  <si>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</si>
  <si>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</si>
  <si>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</si>
  <si>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</si>
  <si>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</si>
  <si>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</si>
  <si>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</si>
  <si>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</si>
  <si>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</si>
  <si>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</si>
  <si>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</si>
  <si>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</si>
  <si>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</si>
  <si>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</si>
  <si>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</si>
  <si>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</si>
  <si>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</si>
  <si>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</si>
  <si>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11053</t>
  </si>
  <si>
    <t>WUUSTWEZEL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</si>
  <si>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</si>
  <si>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</si>
  <si>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</si>
  <si>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</si>
  <si>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</si>
  <si>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</si>
  <si>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</si>
  <si>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Vissers Neel</t>
  </si>
  <si>
    <t>Heikenweg 29, 2990 Wuustwezel</t>
  </si>
  <si>
    <t>WKK-0163 Vissers Neel</t>
  </si>
  <si>
    <t>interne verbrandingsmotor</t>
  </si>
  <si>
    <t>WKK interne verbrandinsgmotor (gas)</t>
  </si>
  <si>
    <t>Heikenweg 29, 2990 Loenhout</t>
  </si>
  <si>
    <t>IVEKA</t>
  </si>
  <si>
    <t>De Sprong bvba</t>
  </si>
  <si>
    <t>Heivelden 30, 2990 Wuustwezel</t>
  </si>
  <si>
    <t>WKK-0171 De Sprong</t>
  </si>
  <si>
    <t>Groeikracht de Blackt NV</t>
  </si>
  <si>
    <t>Blaktweg 1, 2990 Loenhout</t>
  </si>
  <si>
    <t>WKK-0066 Groeikracht de Blackt</t>
  </si>
  <si>
    <t>V.W. Tuinderijen bvba</t>
  </si>
  <si>
    <t>Schauwbosweg 10, 2990 Loenhout</t>
  </si>
  <si>
    <t>WKK-0124 V.W. Tuinderijen</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</si>
</sst>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11053</v>
      </c>
      <c r="B6" s="396"/>
      <c r="C6" s="397"/>
    </row>
    <row r="7" spans="1:7" s="394" customFormat="1" ht="15.75" customHeight="1">
      <c r="A7" s="398" t="str">
        <f>txtMunicipality</f>
        <v>WUUSTWEZEL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15718.060764706845</v>
      </c>
      <c r="D10" s="687">
        <f ca="1">tertiair!C16</f>
        <v>0</v>
      </c>
      <c r="E10" s="687">
        <f ca="1">tertiair!D16</f>
        <v>14622.053202904823</v>
      </c>
      <c r="F10" s="687">
        <f>tertiair!E16</f>
        <v>268.95221176628883</v>
      </c>
      <c r="G10" s="687">
        <f ca="1">tertiair!F16</f>
        <v>2708.8200790793981</v>
      </c>
      <c r="H10" s="687">
        <f>tertiair!G16</f>
        <v>0</v>
      </c>
      <c r="I10" s="687">
        <f>tertiair!H16</f>
        <v>0</v>
      </c>
      <c r="J10" s="687">
        <f>tertiair!I16</f>
        <v>0</v>
      </c>
      <c r="K10" s="687">
        <f>tertiair!J16</f>
        <v>0</v>
      </c>
      <c r="L10" s="687">
        <f>tertiair!K16</f>
        <v>0</v>
      </c>
      <c r="M10" s="687">
        <f ca="1">tertiair!L16</f>
        <v>0</v>
      </c>
      <c r="N10" s="687">
        <f>tertiair!M16</f>
        <v>0</v>
      </c>
      <c r="O10" s="687">
        <f ca="1">tertiair!N16</f>
        <v>602.75241230453651</v>
      </c>
      <c r="P10" s="687">
        <f>tertiair!O16</f>
        <v>1.5633333333333335</v>
      </c>
      <c r="Q10" s="688">
        <f>tertiair!P16</f>
        <v>38.133333333333333</v>
      </c>
      <c r="R10" s="690">
        <f ca="1">SUM(C10:Q10)</f>
        <v>33960.335337428551</v>
      </c>
      <c r="S10" s="67"/>
    </row>
    <row r="11" spans="1:19" s="456" customFormat="1">
      <c r="A11" s="802" t="s">
        <v>225</v>
      </c>
      <c r="B11" s="807"/>
      <c r="C11" s="687">
        <f>huishoudens!B8</f>
        <v>40654.37840241404</v>
      </c>
      <c r="D11" s="687">
        <f>huishoudens!C8</f>
        <v>0</v>
      </c>
      <c r="E11" s="687">
        <f>huishoudens!D8</f>
        <v>81319.114011917831</v>
      </c>
      <c r="F11" s="687">
        <f>huishoudens!E8</f>
        <v>9558.3342638799022</v>
      </c>
      <c r="G11" s="687">
        <f>huishoudens!F8</f>
        <v>3734.9849399721516</v>
      </c>
      <c r="H11" s="687">
        <f>huishoudens!G8</f>
        <v>0</v>
      </c>
      <c r="I11" s="687">
        <f>huishoudens!H8</f>
        <v>0</v>
      </c>
      <c r="J11" s="687">
        <f>huishoudens!I8</f>
        <v>0</v>
      </c>
      <c r="K11" s="687">
        <f>huishoudens!J8</f>
        <v>694.20237025241431</v>
      </c>
      <c r="L11" s="687">
        <f>huishoudens!K8</f>
        <v>0</v>
      </c>
      <c r="M11" s="687">
        <f>huishoudens!L8</f>
        <v>0</v>
      </c>
      <c r="N11" s="687">
        <f>huishoudens!M8</f>
        <v>0</v>
      </c>
      <c r="O11" s="687">
        <f>huishoudens!N8</f>
        <v>21858.744188374014</v>
      </c>
      <c r="P11" s="687">
        <f>huishoudens!O8</f>
        <v>79.73</v>
      </c>
      <c r="Q11" s="688">
        <f>huishoudens!P8</f>
        <v>572</v>
      </c>
      <c r="R11" s="690">
        <f>SUM(C11:Q11)</f>
        <v>158471.48817681035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6476.3527163939616</v>
      </c>
      <c r="D13" s="687">
        <f>industrie!C18</f>
        <v>0</v>
      </c>
      <c r="E13" s="687">
        <f>industrie!D18</f>
        <v>6051.566793835118</v>
      </c>
      <c r="F13" s="687">
        <f>industrie!E18</f>
        <v>75.368444184417825</v>
      </c>
      <c r="G13" s="687">
        <f>industrie!F18</f>
        <v>2581.108111025063</v>
      </c>
      <c r="H13" s="687">
        <f>industrie!G18</f>
        <v>0</v>
      </c>
      <c r="I13" s="687">
        <f>industrie!H18</f>
        <v>0</v>
      </c>
      <c r="J13" s="687">
        <f>industrie!I18</f>
        <v>0</v>
      </c>
      <c r="K13" s="687">
        <f>industrie!J18</f>
        <v>35.104194707841998</v>
      </c>
      <c r="L13" s="687">
        <f>industrie!K18</f>
        <v>0</v>
      </c>
      <c r="M13" s="687">
        <f>industrie!L18</f>
        <v>0</v>
      </c>
      <c r="N13" s="687">
        <f>industrie!M18</f>
        <v>0</v>
      </c>
      <c r="O13" s="687">
        <f>industrie!N18</f>
        <v>237.68697696727173</v>
      </c>
      <c r="P13" s="687">
        <f>industrie!O18</f>
        <v>0</v>
      </c>
      <c r="Q13" s="688">
        <f>industrie!P18</f>
        <v>0</v>
      </c>
      <c r="R13" s="690">
        <f>SUM(C13:Q13)</f>
        <v>15457.187237113676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62848.791883514845</v>
      </c>
      <c r="D16" s="720">
        <f t="shared" ref="D16:R16" ca="1" si="0">SUM(D9:D15)</f>
        <v>0</v>
      </c>
      <c r="E16" s="720">
        <f t="shared" ca="1" si="0"/>
        <v>101992.73400865778</v>
      </c>
      <c r="F16" s="720">
        <f t="shared" si="0"/>
        <v>9902.6549198306093</v>
      </c>
      <c r="G16" s="720">
        <f t="shared" ca="1" si="0"/>
        <v>9024.913130076613</v>
      </c>
      <c r="H16" s="720">
        <f t="shared" si="0"/>
        <v>0</v>
      </c>
      <c r="I16" s="720">
        <f t="shared" si="0"/>
        <v>0</v>
      </c>
      <c r="J16" s="720">
        <f t="shared" si="0"/>
        <v>0</v>
      </c>
      <c r="K16" s="720">
        <f t="shared" si="0"/>
        <v>729.30656496025631</v>
      </c>
      <c r="L16" s="720">
        <f t="shared" si="0"/>
        <v>0</v>
      </c>
      <c r="M16" s="720">
        <f t="shared" ca="1" si="0"/>
        <v>0</v>
      </c>
      <c r="N16" s="720">
        <f t="shared" si="0"/>
        <v>0</v>
      </c>
      <c r="O16" s="720">
        <f t="shared" ca="1" si="0"/>
        <v>22699.183577645821</v>
      </c>
      <c r="P16" s="720">
        <f t="shared" si="0"/>
        <v>81.293333333333337</v>
      </c>
      <c r="Q16" s="720">
        <f t="shared" si="0"/>
        <v>610.13333333333333</v>
      </c>
      <c r="R16" s="720">
        <f t="shared" ca="1" si="0"/>
        <v>207889.01075135259</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2136.6861338039694</v>
      </c>
      <c r="I19" s="687">
        <f>transport!H54</f>
        <v>0</v>
      </c>
      <c r="J19" s="687">
        <f>transport!I54</f>
        <v>0</v>
      </c>
      <c r="K19" s="687">
        <f>transport!J54</f>
        <v>0</v>
      </c>
      <c r="L19" s="687">
        <f>transport!K54</f>
        <v>0</v>
      </c>
      <c r="M19" s="687">
        <f>transport!L54</f>
        <v>0</v>
      </c>
      <c r="N19" s="687">
        <f>transport!M54</f>
        <v>91.077647101224315</v>
      </c>
      <c r="O19" s="687">
        <f>transport!N54</f>
        <v>0</v>
      </c>
      <c r="P19" s="687">
        <f>transport!O54</f>
        <v>0</v>
      </c>
      <c r="Q19" s="688">
        <f>transport!P54</f>
        <v>0</v>
      </c>
      <c r="R19" s="690">
        <f>SUM(C19:Q19)</f>
        <v>2227.7637809051935</v>
      </c>
      <c r="S19" s="67"/>
    </row>
    <row r="20" spans="1:19" s="456" customFormat="1">
      <c r="A20" s="802" t="s">
        <v>307</v>
      </c>
      <c r="B20" s="807"/>
      <c r="C20" s="687">
        <f>transport!B14</f>
        <v>1.3989404117668802</v>
      </c>
      <c r="D20" s="687">
        <f>transport!C14</f>
        <v>0</v>
      </c>
      <c r="E20" s="687">
        <f>transport!D14</f>
        <v>6.5113056724000407</v>
      </c>
      <c r="F20" s="687">
        <f>transport!E14</f>
        <v>756.99086867085725</v>
      </c>
      <c r="G20" s="687">
        <f>transport!F14</f>
        <v>0</v>
      </c>
      <c r="H20" s="687">
        <f>transport!G14</f>
        <v>173263.83718965945</v>
      </c>
      <c r="I20" s="687">
        <f>transport!H14</f>
        <v>22460.333767814504</v>
      </c>
      <c r="J20" s="687">
        <f>transport!I14</f>
        <v>0</v>
      </c>
      <c r="K20" s="687">
        <f>transport!J14</f>
        <v>0</v>
      </c>
      <c r="L20" s="687">
        <f>transport!K14</f>
        <v>0</v>
      </c>
      <c r="M20" s="687">
        <f>transport!L14</f>
        <v>0</v>
      </c>
      <c r="N20" s="687">
        <f>transport!M14</f>
        <v>8521.0583384569836</v>
      </c>
      <c r="O20" s="687">
        <f>transport!N14</f>
        <v>0</v>
      </c>
      <c r="P20" s="687">
        <f>transport!O14</f>
        <v>0</v>
      </c>
      <c r="Q20" s="688">
        <f>transport!P14</f>
        <v>0</v>
      </c>
      <c r="R20" s="690">
        <f>SUM(C20:Q20)</f>
        <v>205010.13041068596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1.3989404117668802</v>
      </c>
      <c r="D22" s="805">
        <f t="shared" ref="D22:R22" si="1">SUM(D18:D21)</f>
        <v>0</v>
      </c>
      <c r="E22" s="805">
        <f t="shared" si="1"/>
        <v>6.5113056724000407</v>
      </c>
      <c r="F22" s="805">
        <f t="shared" si="1"/>
        <v>756.99086867085725</v>
      </c>
      <c r="G22" s="805">
        <f t="shared" si="1"/>
        <v>0</v>
      </c>
      <c r="H22" s="805">
        <f t="shared" si="1"/>
        <v>175400.52332346342</v>
      </c>
      <c r="I22" s="805">
        <f t="shared" si="1"/>
        <v>22460.333767814504</v>
      </c>
      <c r="J22" s="805">
        <f t="shared" si="1"/>
        <v>0</v>
      </c>
      <c r="K22" s="805">
        <f t="shared" si="1"/>
        <v>0</v>
      </c>
      <c r="L22" s="805">
        <f t="shared" si="1"/>
        <v>0</v>
      </c>
      <c r="M22" s="805">
        <f t="shared" si="1"/>
        <v>0</v>
      </c>
      <c r="N22" s="805">
        <f t="shared" si="1"/>
        <v>8612.1359855582086</v>
      </c>
      <c r="O22" s="805">
        <f t="shared" si="1"/>
        <v>0</v>
      </c>
      <c r="P22" s="805">
        <f t="shared" si="1"/>
        <v>0</v>
      </c>
      <c r="Q22" s="805">
        <f t="shared" si="1"/>
        <v>0</v>
      </c>
      <c r="R22" s="805">
        <f t="shared" si="1"/>
        <v>207237.89419159116</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11634.0668632208</v>
      </c>
      <c r="D24" s="687">
        <f>+landbouw!C8</f>
        <v>70290</v>
      </c>
      <c r="E24" s="687">
        <f>+landbouw!D8</f>
        <v>0</v>
      </c>
      <c r="F24" s="687">
        <f>+landbouw!E8</f>
        <v>121.83446686441319</v>
      </c>
      <c r="G24" s="687">
        <f>+landbouw!F8</f>
        <v>49802.646187965169</v>
      </c>
      <c r="H24" s="687">
        <f>+landbouw!G8</f>
        <v>0</v>
      </c>
      <c r="I24" s="687">
        <f>+landbouw!H8</f>
        <v>0</v>
      </c>
      <c r="J24" s="687">
        <f>+landbouw!I8</f>
        <v>0</v>
      </c>
      <c r="K24" s="687">
        <f>+landbouw!J8</f>
        <v>1039.0264488058583</v>
      </c>
      <c r="L24" s="687">
        <f>+landbouw!K8</f>
        <v>0</v>
      </c>
      <c r="M24" s="687">
        <f>+landbouw!L8</f>
        <v>0</v>
      </c>
      <c r="N24" s="687">
        <f>+landbouw!M8</f>
        <v>0</v>
      </c>
      <c r="O24" s="687">
        <f>+landbouw!N8</f>
        <v>0</v>
      </c>
      <c r="P24" s="687">
        <f>+landbouw!O8</f>
        <v>0</v>
      </c>
      <c r="Q24" s="688">
        <f>+landbouw!P8</f>
        <v>0</v>
      </c>
      <c r="R24" s="690">
        <f>SUM(C24:Q24)</f>
        <v>132887.57396685623</v>
      </c>
      <c r="S24" s="67"/>
    </row>
    <row r="25" spans="1:19" s="456" customFormat="1" ht="15" thickBot="1">
      <c r="A25" s="824" t="s">
        <v>925</v>
      </c>
      <c r="B25" s="988"/>
      <c r="C25" s="989">
        <f>IF(Onbekend_ele_kWh="---",0,Onbekend_ele_kWh)/1000+IF(REST_rest_ele_kWh="---",0,REST_rest_ele_kWh)/1000</f>
        <v>1999.24519355641</v>
      </c>
      <c r="D25" s="989"/>
      <c r="E25" s="989">
        <f>IF(onbekend_gas_kWh="---",0,onbekend_gas_kWh)/1000+IF(REST_rest_gas_kWh="---",0,REST_rest_gas_kWh)/1000</f>
        <v>3325.3292212215601</v>
      </c>
      <c r="F25" s="989"/>
      <c r="G25" s="989"/>
      <c r="H25" s="989"/>
      <c r="I25" s="989"/>
      <c r="J25" s="989"/>
      <c r="K25" s="989"/>
      <c r="L25" s="989"/>
      <c r="M25" s="989"/>
      <c r="N25" s="989"/>
      <c r="O25" s="989"/>
      <c r="P25" s="989"/>
      <c r="Q25" s="990"/>
      <c r="R25" s="690">
        <f>SUM(C25:Q25)</f>
        <v>5324.5744147779697</v>
      </c>
      <c r="S25" s="67"/>
    </row>
    <row r="26" spans="1:19" s="456" customFormat="1" ht="15.75" thickBot="1">
      <c r="A26" s="693" t="s">
        <v>926</v>
      </c>
      <c r="B26" s="810"/>
      <c r="C26" s="805">
        <f>SUM(C24:C25)</f>
        <v>13633.312056777209</v>
      </c>
      <c r="D26" s="805">
        <f t="shared" ref="D26:R26" si="2">SUM(D24:D25)</f>
        <v>70290</v>
      </c>
      <c r="E26" s="805">
        <f t="shared" si="2"/>
        <v>3325.3292212215601</v>
      </c>
      <c r="F26" s="805">
        <f t="shared" si="2"/>
        <v>121.83446686441319</v>
      </c>
      <c r="G26" s="805">
        <f t="shared" si="2"/>
        <v>49802.646187965169</v>
      </c>
      <c r="H26" s="805">
        <f t="shared" si="2"/>
        <v>0</v>
      </c>
      <c r="I26" s="805">
        <f t="shared" si="2"/>
        <v>0</v>
      </c>
      <c r="J26" s="805">
        <f t="shared" si="2"/>
        <v>0</v>
      </c>
      <c r="K26" s="805">
        <f t="shared" si="2"/>
        <v>1039.0264488058583</v>
      </c>
      <c r="L26" s="805">
        <f t="shared" si="2"/>
        <v>0</v>
      </c>
      <c r="M26" s="805">
        <f t="shared" si="2"/>
        <v>0</v>
      </c>
      <c r="N26" s="805">
        <f t="shared" si="2"/>
        <v>0</v>
      </c>
      <c r="O26" s="805">
        <f t="shared" si="2"/>
        <v>0</v>
      </c>
      <c r="P26" s="805">
        <f t="shared" si="2"/>
        <v>0</v>
      </c>
      <c r="Q26" s="805">
        <f t="shared" si="2"/>
        <v>0</v>
      </c>
      <c r="R26" s="805">
        <f t="shared" si="2"/>
        <v>138212.14838163421</v>
      </c>
      <c r="S26" s="67"/>
    </row>
    <row r="27" spans="1:19" s="456" customFormat="1" ht="17.25" thickTop="1" thickBot="1">
      <c r="A27" s="694" t="s">
        <v>116</v>
      </c>
      <c r="B27" s="797"/>
      <c r="C27" s="695">
        <f ca="1">C22+C16+C26</f>
        <v>76483.502880703818</v>
      </c>
      <c r="D27" s="695">
        <f t="shared" ref="D27:R27" ca="1" si="3">D22+D16+D26</f>
        <v>70290</v>
      </c>
      <c r="E27" s="695">
        <f t="shared" ca="1" si="3"/>
        <v>105324.57453555173</v>
      </c>
      <c r="F27" s="695">
        <f t="shared" si="3"/>
        <v>10781.480255365879</v>
      </c>
      <c r="G27" s="695">
        <f t="shared" ca="1" si="3"/>
        <v>58827.559318041778</v>
      </c>
      <c r="H27" s="695">
        <f t="shared" si="3"/>
        <v>175400.52332346342</v>
      </c>
      <c r="I27" s="695">
        <f t="shared" si="3"/>
        <v>22460.333767814504</v>
      </c>
      <c r="J27" s="695">
        <f t="shared" si="3"/>
        <v>0</v>
      </c>
      <c r="K27" s="695">
        <f t="shared" si="3"/>
        <v>1768.3330137661146</v>
      </c>
      <c r="L27" s="695">
        <f t="shared" si="3"/>
        <v>0</v>
      </c>
      <c r="M27" s="695">
        <f t="shared" ca="1" si="3"/>
        <v>0</v>
      </c>
      <c r="N27" s="695">
        <f t="shared" si="3"/>
        <v>8612.1359855582086</v>
      </c>
      <c r="O27" s="695">
        <f t="shared" ca="1" si="3"/>
        <v>22699.183577645821</v>
      </c>
      <c r="P27" s="695">
        <f t="shared" si="3"/>
        <v>81.293333333333337</v>
      </c>
      <c r="Q27" s="695">
        <f t="shared" si="3"/>
        <v>610.13333333333333</v>
      </c>
      <c r="R27" s="695">
        <f t="shared" ca="1" si="3"/>
        <v>553339.05332457786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3447.0013624847134</v>
      </c>
      <c r="D40" s="687">
        <f ca="1">tertiair!C20</f>
        <v>0</v>
      </c>
      <c r="E40" s="687">
        <f ca="1">tertiair!D20</f>
        <v>2953.6547469867742</v>
      </c>
      <c r="F40" s="687">
        <f>tertiair!E20</f>
        <v>61.052152070947564</v>
      </c>
      <c r="G40" s="687">
        <f ca="1">tertiair!F20</f>
        <v>723.25496111419932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7184.9632226566337</v>
      </c>
    </row>
    <row r="41" spans="1:18">
      <c r="A41" s="815" t="s">
        <v>225</v>
      </c>
      <c r="B41" s="822"/>
      <c r="C41" s="687">
        <f ca="1">huishoudens!B12</f>
        <v>8915.5844249406018</v>
      </c>
      <c r="D41" s="687">
        <f ca="1">huishoudens!C12</f>
        <v>0</v>
      </c>
      <c r="E41" s="687">
        <f>huishoudens!D12</f>
        <v>16426.461030407401</v>
      </c>
      <c r="F41" s="687">
        <f>huishoudens!E12</f>
        <v>2169.741877900738</v>
      </c>
      <c r="G41" s="687">
        <f>huishoudens!F12</f>
        <v>997.24097897256456</v>
      </c>
      <c r="H41" s="687">
        <f>huishoudens!G12</f>
        <v>0</v>
      </c>
      <c r="I41" s="687">
        <f>huishoudens!H12</f>
        <v>0</v>
      </c>
      <c r="J41" s="687">
        <f>huishoudens!I12</f>
        <v>0</v>
      </c>
      <c r="K41" s="687">
        <f>huishoudens!J12</f>
        <v>245.74763906935465</v>
      </c>
      <c r="L41" s="687">
        <f>huishoudens!K12</f>
        <v>0</v>
      </c>
      <c r="M41" s="687">
        <f>huishoudens!L12</f>
        <v>0</v>
      </c>
      <c r="N41" s="687">
        <f>huishoudens!M12</f>
        <v>0</v>
      </c>
      <c r="O41" s="687">
        <f>huishoudens!N12</f>
        <v>0</v>
      </c>
      <c r="P41" s="687">
        <f>huishoudens!O12</f>
        <v>0</v>
      </c>
      <c r="Q41" s="762">
        <f>huishoudens!P12</f>
        <v>0</v>
      </c>
      <c r="R41" s="843">
        <f t="shared" ca="1" si="4"/>
        <v>28754.77595129066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1420.2767740577519</v>
      </c>
      <c r="D43" s="687">
        <f ca="1">industrie!C22</f>
        <v>0</v>
      </c>
      <c r="E43" s="687">
        <f>industrie!D22</f>
        <v>1222.4164923546939</v>
      </c>
      <c r="F43" s="687">
        <f>industrie!E22</f>
        <v>17.108636829862846</v>
      </c>
      <c r="G43" s="687">
        <f>industrie!F22</f>
        <v>689.15586564369187</v>
      </c>
      <c r="H43" s="687">
        <f>industrie!G22</f>
        <v>0</v>
      </c>
      <c r="I43" s="687">
        <f>industrie!H22</f>
        <v>0</v>
      </c>
      <c r="J43" s="687">
        <f>industrie!I22</f>
        <v>0</v>
      </c>
      <c r="K43" s="687">
        <f>industrie!J22</f>
        <v>12.426884926576067</v>
      </c>
      <c r="L43" s="687">
        <f>industrie!K22</f>
        <v>0</v>
      </c>
      <c r="M43" s="687">
        <f>industrie!L22</f>
        <v>0</v>
      </c>
      <c r="N43" s="687">
        <f>industrie!M22</f>
        <v>0</v>
      </c>
      <c r="O43" s="687">
        <f>industrie!N22</f>
        <v>0</v>
      </c>
      <c r="P43" s="687">
        <f>industrie!O22</f>
        <v>0</v>
      </c>
      <c r="Q43" s="762">
        <f>industrie!P22</f>
        <v>0</v>
      </c>
      <c r="R43" s="842">
        <f t="shared" ca="1" si="4"/>
        <v>3361.3846538125767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13782.862561483067</v>
      </c>
      <c r="D46" s="720">
        <f t="shared" ref="D46:Q46" ca="1" si="5">SUM(D39:D45)</f>
        <v>0</v>
      </c>
      <c r="E46" s="720">
        <f t="shared" ca="1" si="5"/>
        <v>20602.532269748866</v>
      </c>
      <c r="F46" s="720">
        <f t="shared" si="5"/>
        <v>2247.9026668015485</v>
      </c>
      <c r="G46" s="720">
        <f t="shared" ca="1" si="5"/>
        <v>2409.6518057304556</v>
      </c>
      <c r="H46" s="720">
        <f t="shared" si="5"/>
        <v>0</v>
      </c>
      <c r="I46" s="720">
        <f t="shared" si="5"/>
        <v>0</v>
      </c>
      <c r="J46" s="720">
        <f t="shared" si="5"/>
        <v>0</v>
      </c>
      <c r="K46" s="720">
        <f t="shared" si="5"/>
        <v>258.17452399593071</v>
      </c>
      <c r="L46" s="720">
        <f t="shared" si="5"/>
        <v>0</v>
      </c>
      <c r="M46" s="720">
        <f t="shared" ca="1" si="5"/>
        <v>0</v>
      </c>
      <c r="N46" s="720">
        <f t="shared" si="5"/>
        <v>0</v>
      </c>
      <c r="O46" s="720">
        <f t="shared" ca="1" si="5"/>
        <v>0</v>
      </c>
      <c r="P46" s="720">
        <f t="shared" si="5"/>
        <v>0</v>
      </c>
      <c r="Q46" s="720">
        <f t="shared" si="5"/>
        <v>0</v>
      </c>
      <c r="R46" s="720">
        <f ca="1">SUM(R39:R45)</f>
        <v>39301.123827759875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570.49519772565986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570.49519772565986</v>
      </c>
    </row>
    <row r="50" spans="1:18">
      <c r="A50" s="818" t="s">
        <v>307</v>
      </c>
      <c r="B50" s="828"/>
      <c r="C50" s="995">
        <f ca="1">transport!B18</f>
        <v>0.30679035903862656</v>
      </c>
      <c r="D50" s="995">
        <f>transport!C18</f>
        <v>0</v>
      </c>
      <c r="E50" s="995">
        <f>transport!D18</f>
        <v>1.3152837458248083</v>
      </c>
      <c r="F50" s="995">
        <f>transport!E18</f>
        <v>171.83692718828459</v>
      </c>
      <c r="G50" s="995">
        <f>transport!F18</f>
        <v>0</v>
      </c>
      <c r="H50" s="995">
        <f>transport!G18</f>
        <v>46261.444529639077</v>
      </c>
      <c r="I50" s="995">
        <f>transport!H18</f>
        <v>5592.6231081858114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52027.526639118041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0.30679035903862656</v>
      </c>
      <c r="D52" s="720">
        <f t="shared" ref="D52:Q52" ca="1" si="6">SUM(D48:D51)</f>
        <v>0</v>
      </c>
      <c r="E52" s="720">
        <f t="shared" si="6"/>
        <v>1.3152837458248083</v>
      </c>
      <c r="F52" s="720">
        <f t="shared" si="6"/>
        <v>171.83692718828459</v>
      </c>
      <c r="G52" s="720">
        <f t="shared" si="6"/>
        <v>0</v>
      </c>
      <c r="H52" s="720">
        <f t="shared" si="6"/>
        <v>46831.939727364734</v>
      </c>
      <c r="I52" s="720">
        <f t="shared" si="6"/>
        <v>5592.6231081858114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52598.021836843698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2551.3735395912436</v>
      </c>
      <c r="D54" s="995">
        <f ca="1">+landbouw!C12</f>
        <v>16704.211764705884</v>
      </c>
      <c r="E54" s="995">
        <f>+landbouw!D12</f>
        <v>0</v>
      </c>
      <c r="F54" s="995">
        <f>+landbouw!E12</f>
        <v>27.656423978221795</v>
      </c>
      <c r="G54" s="995">
        <f>+landbouw!F12</f>
        <v>13297.306532186702</v>
      </c>
      <c r="H54" s="995">
        <f>+landbouw!G12</f>
        <v>0</v>
      </c>
      <c r="I54" s="995">
        <f>+landbouw!H12</f>
        <v>0</v>
      </c>
      <c r="J54" s="995">
        <f>+landbouw!I12</f>
        <v>0</v>
      </c>
      <c r="K54" s="995">
        <f>+landbouw!J12</f>
        <v>367.8153628772738</v>
      </c>
      <c r="L54" s="995">
        <f>+landbouw!K12</f>
        <v>0</v>
      </c>
      <c r="M54" s="995">
        <f>+landbouw!L12</f>
        <v>0</v>
      </c>
      <c r="N54" s="995">
        <f>+landbouw!M12</f>
        <v>0</v>
      </c>
      <c r="O54" s="995">
        <f>+landbouw!N12</f>
        <v>0</v>
      </c>
      <c r="P54" s="995">
        <f>+landbouw!O12</f>
        <v>0</v>
      </c>
      <c r="Q54" s="996">
        <f>+landbouw!P12</f>
        <v>0</v>
      </c>
      <c r="R54" s="719">
        <f ca="1">SUM(C54:Q54)</f>
        <v>32948.363623339319</v>
      </c>
    </row>
    <row r="55" spans="1:18" ht="15" thickBot="1">
      <c r="A55" s="818" t="s">
        <v>925</v>
      </c>
      <c r="B55" s="828"/>
      <c r="C55" s="995">
        <f ca="1">C25*'EF ele_warmte'!B12</f>
        <v>438.43836776632349</v>
      </c>
      <c r="D55" s="995"/>
      <c r="E55" s="995">
        <f>E25*EF_CO2_aardgas</f>
        <v>671.71650268675523</v>
      </c>
      <c r="F55" s="995"/>
      <c r="G55" s="995"/>
      <c r="H55" s="995"/>
      <c r="I55" s="995"/>
      <c r="J55" s="995"/>
      <c r="K55" s="995"/>
      <c r="L55" s="995"/>
      <c r="M55" s="995"/>
      <c r="N55" s="995"/>
      <c r="O55" s="995"/>
      <c r="P55" s="995"/>
      <c r="Q55" s="996"/>
      <c r="R55" s="719">
        <f ca="1">SUM(C55:Q55)</f>
        <v>1110.1548704530787</v>
      </c>
    </row>
    <row r="56" spans="1:18" ht="15.75" thickBot="1">
      <c r="A56" s="816" t="s">
        <v>926</v>
      </c>
      <c r="B56" s="829"/>
      <c r="C56" s="720">
        <f ca="1">SUM(C54:C55)</f>
        <v>2989.8119073575672</v>
      </c>
      <c r="D56" s="720">
        <f t="shared" ref="D56:Q56" ca="1" si="7">SUM(D54:D55)</f>
        <v>16704.211764705884</v>
      </c>
      <c r="E56" s="720">
        <f t="shared" si="7"/>
        <v>671.71650268675523</v>
      </c>
      <c r="F56" s="720">
        <f t="shared" si="7"/>
        <v>27.656423978221795</v>
      </c>
      <c r="G56" s="720">
        <f t="shared" si="7"/>
        <v>13297.306532186702</v>
      </c>
      <c r="H56" s="720">
        <f t="shared" si="7"/>
        <v>0</v>
      </c>
      <c r="I56" s="720">
        <f t="shared" si="7"/>
        <v>0</v>
      </c>
      <c r="J56" s="720">
        <f t="shared" si="7"/>
        <v>0</v>
      </c>
      <c r="K56" s="720">
        <f t="shared" si="7"/>
        <v>367.8153628772738</v>
      </c>
      <c r="L56" s="720">
        <f t="shared" si="7"/>
        <v>0</v>
      </c>
      <c r="M56" s="720">
        <f t="shared" si="7"/>
        <v>0</v>
      </c>
      <c r="N56" s="720">
        <f t="shared" si="7"/>
        <v>0</v>
      </c>
      <c r="O56" s="720">
        <f t="shared" si="7"/>
        <v>0</v>
      </c>
      <c r="P56" s="720">
        <f t="shared" si="7"/>
        <v>0</v>
      </c>
      <c r="Q56" s="721">
        <f t="shared" si="7"/>
        <v>0</v>
      </c>
      <c r="R56" s="722">
        <f ca="1">SUM(R54:R55)</f>
        <v>34058.518493792399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16772.981259199674</v>
      </c>
      <c r="D61" s="728">
        <f t="shared" ref="D61:Q61" ca="1" si="8">D46+D52+D56</f>
        <v>16704.211764705884</v>
      </c>
      <c r="E61" s="728">
        <f t="shared" ca="1" si="8"/>
        <v>21275.564056181447</v>
      </c>
      <c r="F61" s="728">
        <f t="shared" si="8"/>
        <v>2447.3960179680553</v>
      </c>
      <c r="G61" s="728">
        <f t="shared" ca="1" si="8"/>
        <v>15706.958337917156</v>
      </c>
      <c r="H61" s="728">
        <f t="shared" si="8"/>
        <v>46831.939727364734</v>
      </c>
      <c r="I61" s="728">
        <f t="shared" si="8"/>
        <v>5592.6231081858114</v>
      </c>
      <c r="J61" s="728">
        <f t="shared" si="8"/>
        <v>0</v>
      </c>
      <c r="K61" s="728">
        <f t="shared" si="8"/>
        <v>625.98988687320457</v>
      </c>
      <c r="L61" s="728">
        <f t="shared" si="8"/>
        <v>0</v>
      </c>
      <c r="M61" s="728">
        <f t="shared" ca="1" si="8"/>
        <v>0</v>
      </c>
      <c r="N61" s="728">
        <f t="shared" si="8"/>
        <v>0</v>
      </c>
      <c r="O61" s="728">
        <f t="shared" ca="1" si="8"/>
        <v>0</v>
      </c>
      <c r="P61" s="728">
        <f t="shared" si="8"/>
        <v>0</v>
      </c>
      <c r="Q61" s="728">
        <f t="shared" si="8"/>
        <v>0</v>
      </c>
      <c r="R61" s="728">
        <f ca="1">R46+R52+R56</f>
        <v>125957.66415839596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0.21930194914531517</v>
      </c>
      <c r="D63" s="772">
        <f t="shared" ca="1" si="9"/>
        <v>0.23764705882352943</v>
      </c>
      <c r="E63" s="997">
        <f t="shared" ca="1" si="9"/>
        <v>0.20199999999999999</v>
      </c>
      <c r="F63" s="772">
        <f t="shared" si="9"/>
        <v>0.22700000000000006</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4293.9281119004181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49203</v>
      </c>
      <c r="D76" s="1007">
        <f>'lokale energieproductie'!C8</f>
        <v>57885.882352941175</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11692.948235294118</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4293.9281119004181</v>
      </c>
      <c r="C78" s="743">
        <f>SUM(C72:C77)</f>
        <v>49203</v>
      </c>
      <c r="D78" s="744">
        <f t="shared" ref="D78:H78" si="10">SUM(D76:D77)</f>
        <v>57885.882352941175</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11692.948235294118</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70290</v>
      </c>
      <c r="D87" s="765">
        <f>'lokale energieproductie'!C17</f>
        <v>82694.117647058825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16704.211764705884</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70290</v>
      </c>
      <c r="D90" s="743">
        <f t="shared" ref="D90:H90" si="12">SUM(D87:D89)</f>
        <v>82694.117647058825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16704.211764705884</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40654.37840241404</v>
      </c>
      <c r="C4" s="460">
        <f>huishoudens!C8</f>
        <v>0</v>
      </c>
      <c r="D4" s="460">
        <f>huishoudens!D8</f>
        <v>81319.114011917831</v>
      </c>
      <c r="E4" s="460">
        <f>huishoudens!E8</f>
        <v>9558.3342638799022</v>
      </c>
      <c r="F4" s="460">
        <f>huishoudens!F8</f>
        <v>3734.9849399721516</v>
      </c>
      <c r="G4" s="460">
        <f>huishoudens!G8</f>
        <v>0</v>
      </c>
      <c r="H4" s="460">
        <f>huishoudens!H8</f>
        <v>0</v>
      </c>
      <c r="I4" s="460">
        <f>huishoudens!I8</f>
        <v>0</v>
      </c>
      <c r="J4" s="460">
        <f>huishoudens!J8</f>
        <v>694.20237025241431</v>
      </c>
      <c r="K4" s="460">
        <f>huishoudens!K8</f>
        <v>0</v>
      </c>
      <c r="L4" s="460">
        <f>huishoudens!L8</f>
        <v>0</v>
      </c>
      <c r="M4" s="460">
        <f>huishoudens!M8</f>
        <v>0</v>
      </c>
      <c r="N4" s="460">
        <f>huishoudens!N8</f>
        <v>21858.744188374014</v>
      </c>
      <c r="O4" s="460">
        <f>huishoudens!O8</f>
        <v>79.73</v>
      </c>
      <c r="P4" s="461">
        <f>huishoudens!P8</f>
        <v>572</v>
      </c>
      <c r="Q4" s="462">
        <f>SUM(B4:P4)</f>
        <v>158471.48817681035</v>
      </c>
    </row>
    <row r="5" spans="1:17">
      <c r="A5" s="459" t="s">
        <v>156</v>
      </c>
      <c r="B5" s="460">
        <f ca="1">tertiair!B16</f>
        <v>14324.360764706844</v>
      </c>
      <c r="C5" s="460">
        <f ca="1">tertiair!C16</f>
        <v>0</v>
      </c>
      <c r="D5" s="460">
        <f ca="1">tertiair!D16</f>
        <v>14622.053202904823</v>
      </c>
      <c r="E5" s="460">
        <f>tertiair!E16</f>
        <v>268.95221176628883</v>
      </c>
      <c r="F5" s="460">
        <f ca="1">tertiair!F16</f>
        <v>2708.8200790793981</v>
      </c>
      <c r="G5" s="460">
        <f>tertiair!G16</f>
        <v>0</v>
      </c>
      <c r="H5" s="460">
        <f>tertiair!H16</f>
        <v>0</v>
      </c>
      <c r="I5" s="460">
        <f>tertiair!I16</f>
        <v>0</v>
      </c>
      <c r="J5" s="460">
        <f>tertiair!J16</f>
        <v>0</v>
      </c>
      <c r="K5" s="460">
        <f>tertiair!K16</f>
        <v>0</v>
      </c>
      <c r="L5" s="460">
        <f ca="1">tertiair!L16</f>
        <v>0</v>
      </c>
      <c r="M5" s="460">
        <f>tertiair!M16</f>
        <v>0</v>
      </c>
      <c r="N5" s="460">
        <f ca="1">tertiair!N16</f>
        <v>602.75241230453651</v>
      </c>
      <c r="O5" s="460">
        <f>tertiair!O16</f>
        <v>1.5633333333333335</v>
      </c>
      <c r="P5" s="461">
        <f>tertiair!P16</f>
        <v>38.133333333333333</v>
      </c>
      <c r="Q5" s="459">
        <f t="shared" ref="Q5:Q14" ca="1" si="0">SUM(B5:P5)</f>
        <v>32566.635337428557</v>
      </c>
    </row>
    <row r="6" spans="1:17">
      <c r="A6" s="459" t="s">
        <v>194</v>
      </c>
      <c r="B6" s="460">
        <f>'openbare verlichting'!B8</f>
        <v>1393.7</v>
      </c>
      <c r="C6" s="460"/>
      <c r="D6" s="460"/>
      <c r="E6" s="460"/>
      <c r="F6" s="460"/>
      <c r="G6" s="460"/>
      <c r="H6" s="460"/>
      <c r="I6" s="460"/>
      <c r="J6" s="460"/>
      <c r="K6" s="460"/>
      <c r="L6" s="460"/>
      <c r="M6" s="460"/>
      <c r="N6" s="460"/>
      <c r="O6" s="460"/>
      <c r="P6" s="461"/>
      <c r="Q6" s="459">
        <f t="shared" si="0"/>
        <v>1393.7</v>
      </c>
    </row>
    <row r="7" spans="1:17">
      <c r="A7" s="459" t="s">
        <v>112</v>
      </c>
      <c r="B7" s="460">
        <f>landbouw!B8</f>
        <v>11634.0668632208</v>
      </c>
      <c r="C7" s="460">
        <f>landbouw!C8</f>
        <v>70290</v>
      </c>
      <c r="D7" s="460">
        <f>landbouw!D8</f>
        <v>0</v>
      </c>
      <c r="E7" s="460">
        <f>landbouw!E8</f>
        <v>121.83446686441319</v>
      </c>
      <c r="F7" s="460">
        <f>landbouw!F8</f>
        <v>49802.646187965169</v>
      </c>
      <c r="G7" s="460">
        <f>landbouw!G8</f>
        <v>0</v>
      </c>
      <c r="H7" s="460">
        <f>landbouw!H8</f>
        <v>0</v>
      </c>
      <c r="I7" s="460">
        <f>landbouw!I8</f>
        <v>0</v>
      </c>
      <c r="J7" s="460">
        <f>landbouw!J8</f>
        <v>1039.0264488058583</v>
      </c>
      <c r="K7" s="460">
        <f>landbouw!K8</f>
        <v>0</v>
      </c>
      <c r="L7" s="460">
        <f>landbouw!L8</f>
        <v>0</v>
      </c>
      <c r="M7" s="460">
        <f>landbouw!M8</f>
        <v>0</v>
      </c>
      <c r="N7" s="460">
        <f>landbouw!N8</f>
        <v>0</v>
      </c>
      <c r="O7" s="460">
        <f>landbouw!O8</f>
        <v>0</v>
      </c>
      <c r="P7" s="461">
        <f>landbouw!P8</f>
        <v>0</v>
      </c>
      <c r="Q7" s="459">
        <f t="shared" si="0"/>
        <v>132887.57396685623</v>
      </c>
    </row>
    <row r="8" spans="1:17">
      <c r="A8" s="459" t="s">
        <v>655</v>
      </c>
      <c r="B8" s="460">
        <f>industrie!B18</f>
        <v>6476.3527163939616</v>
      </c>
      <c r="C8" s="460">
        <f>industrie!C18</f>
        <v>0</v>
      </c>
      <c r="D8" s="460">
        <f>industrie!D18</f>
        <v>6051.566793835118</v>
      </c>
      <c r="E8" s="460">
        <f>industrie!E18</f>
        <v>75.368444184417825</v>
      </c>
      <c r="F8" s="460">
        <f>industrie!F18</f>
        <v>2581.108111025063</v>
      </c>
      <c r="G8" s="460">
        <f>industrie!G18</f>
        <v>0</v>
      </c>
      <c r="H8" s="460">
        <f>industrie!H18</f>
        <v>0</v>
      </c>
      <c r="I8" s="460">
        <f>industrie!I18</f>
        <v>0</v>
      </c>
      <c r="J8" s="460">
        <f>industrie!J18</f>
        <v>35.104194707841998</v>
      </c>
      <c r="K8" s="460">
        <f>industrie!K18</f>
        <v>0</v>
      </c>
      <c r="L8" s="460">
        <f>industrie!L18</f>
        <v>0</v>
      </c>
      <c r="M8" s="460">
        <f>industrie!M18</f>
        <v>0</v>
      </c>
      <c r="N8" s="460">
        <f>industrie!N18</f>
        <v>237.68697696727173</v>
      </c>
      <c r="O8" s="460">
        <f>industrie!O18</f>
        <v>0</v>
      </c>
      <c r="P8" s="461">
        <f>industrie!P18</f>
        <v>0</v>
      </c>
      <c r="Q8" s="459">
        <f t="shared" si="0"/>
        <v>15457.187237113676</v>
      </c>
    </row>
    <row r="9" spans="1:17" s="465" customFormat="1">
      <c r="A9" s="463" t="s">
        <v>573</v>
      </c>
      <c r="B9" s="464">
        <f>transport!B14</f>
        <v>1.3989404117668802</v>
      </c>
      <c r="C9" s="464">
        <f>transport!C14</f>
        <v>0</v>
      </c>
      <c r="D9" s="464">
        <f>transport!D14</f>
        <v>6.5113056724000407</v>
      </c>
      <c r="E9" s="464">
        <f>transport!E14</f>
        <v>756.99086867085725</v>
      </c>
      <c r="F9" s="464">
        <f>transport!F14</f>
        <v>0</v>
      </c>
      <c r="G9" s="464">
        <f>transport!G14</f>
        <v>173263.83718965945</v>
      </c>
      <c r="H9" s="464">
        <f>transport!H14</f>
        <v>22460.333767814504</v>
      </c>
      <c r="I9" s="464">
        <f>transport!I14</f>
        <v>0</v>
      </c>
      <c r="J9" s="464">
        <f>transport!J14</f>
        <v>0</v>
      </c>
      <c r="K9" s="464">
        <f>transport!K14</f>
        <v>0</v>
      </c>
      <c r="L9" s="464">
        <f>transport!L14</f>
        <v>0</v>
      </c>
      <c r="M9" s="464">
        <f>transport!M14</f>
        <v>8521.0583384569836</v>
      </c>
      <c r="N9" s="464">
        <f>transport!N14</f>
        <v>0</v>
      </c>
      <c r="O9" s="464">
        <f>transport!O14</f>
        <v>0</v>
      </c>
      <c r="P9" s="464">
        <f>transport!P14</f>
        <v>0</v>
      </c>
      <c r="Q9" s="463">
        <f>SUM(B9:P9)</f>
        <v>205010.13041068596</v>
      </c>
    </row>
    <row r="10" spans="1:17">
      <c r="A10" s="459" t="s">
        <v>563</v>
      </c>
      <c r="B10" s="460">
        <f>transport!B54</f>
        <v>0</v>
      </c>
      <c r="C10" s="460">
        <f>transport!C54</f>
        <v>0</v>
      </c>
      <c r="D10" s="460">
        <f>transport!D54</f>
        <v>0</v>
      </c>
      <c r="E10" s="460">
        <f>transport!E54</f>
        <v>0</v>
      </c>
      <c r="F10" s="460">
        <f>transport!F54</f>
        <v>0</v>
      </c>
      <c r="G10" s="460">
        <f>transport!G54</f>
        <v>2136.6861338039694</v>
      </c>
      <c r="H10" s="460">
        <f>transport!H54</f>
        <v>0</v>
      </c>
      <c r="I10" s="460">
        <f>transport!I54</f>
        <v>0</v>
      </c>
      <c r="J10" s="460">
        <f>transport!J54</f>
        <v>0</v>
      </c>
      <c r="K10" s="460">
        <f>transport!K54</f>
        <v>0</v>
      </c>
      <c r="L10" s="460">
        <f>transport!L54</f>
        <v>0</v>
      </c>
      <c r="M10" s="460">
        <f>transport!M54</f>
        <v>91.077647101224315</v>
      </c>
      <c r="N10" s="460">
        <f>transport!N54</f>
        <v>0</v>
      </c>
      <c r="O10" s="460">
        <f>transport!O54</f>
        <v>0</v>
      </c>
      <c r="P10" s="461">
        <f>transport!P54</f>
        <v>0</v>
      </c>
      <c r="Q10" s="459">
        <f t="shared" si="0"/>
        <v>2227.7637809051935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1999.24519355641</v>
      </c>
      <c r="C14" s="467"/>
      <c r="D14" s="467">
        <f>'SEAP template'!E25</f>
        <v>3325.3292212215601</v>
      </c>
      <c r="E14" s="467"/>
      <c r="F14" s="467"/>
      <c r="G14" s="467"/>
      <c r="H14" s="467"/>
      <c r="I14" s="467"/>
      <c r="J14" s="467"/>
      <c r="K14" s="467"/>
      <c r="L14" s="467"/>
      <c r="M14" s="467"/>
      <c r="N14" s="467"/>
      <c r="O14" s="467"/>
      <c r="P14" s="468"/>
      <c r="Q14" s="459">
        <f t="shared" si="0"/>
        <v>5324.5744147779697</v>
      </c>
    </row>
    <row r="15" spans="1:17" s="472" customFormat="1">
      <c r="A15" s="469" t="s">
        <v>567</v>
      </c>
      <c r="B15" s="470">
        <f ca="1">SUM(B4:B14)</f>
        <v>76483.502880703818</v>
      </c>
      <c r="C15" s="470">
        <f t="shared" ref="C15:Q15" ca="1" si="1">SUM(C4:C14)</f>
        <v>70290</v>
      </c>
      <c r="D15" s="470">
        <f t="shared" ca="1" si="1"/>
        <v>105324.57453555173</v>
      </c>
      <c r="E15" s="470">
        <f t="shared" si="1"/>
        <v>10781.480255365879</v>
      </c>
      <c r="F15" s="470">
        <f t="shared" ca="1" si="1"/>
        <v>58827.559318041778</v>
      </c>
      <c r="G15" s="470">
        <f t="shared" si="1"/>
        <v>175400.52332346342</v>
      </c>
      <c r="H15" s="470">
        <f t="shared" si="1"/>
        <v>22460.333767814504</v>
      </c>
      <c r="I15" s="470">
        <f t="shared" si="1"/>
        <v>0</v>
      </c>
      <c r="J15" s="470">
        <f t="shared" si="1"/>
        <v>1768.3330137661146</v>
      </c>
      <c r="K15" s="470">
        <f t="shared" si="1"/>
        <v>0</v>
      </c>
      <c r="L15" s="470">
        <f t="shared" ca="1" si="1"/>
        <v>0</v>
      </c>
      <c r="M15" s="470">
        <f t="shared" si="1"/>
        <v>8612.1359855582086</v>
      </c>
      <c r="N15" s="470">
        <f t="shared" ca="1" si="1"/>
        <v>22699.183577645821</v>
      </c>
      <c r="O15" s="470">
        <f t="shared" si="1"/>
        <v>81.293333333333337</v>
      </c>
      <c r="P15" s="470">
        <f t="shared" si="1"/>
        <v>610.13333333333333</v>
      </c>
      <c r="Q15" s="470">
        <f t="shared" ca="1" si="1"/>
        <v>553339.05332457786</v>
      </c>
    </row>
    <row r="17" spans="1:17">
      <c r="A17" s="473" t="s">
        <v>568</v>
      </c>
      <c r="B17" s="777">
        <f ca="1">huishoudens!B10</f>
        <v>0.21930194914531512</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8915.5844249406018</v>
      </c>
      <c r="C22" s="460">
        <f t="shared" ref="C22:C32" ca="1" si="3">C4*$C$17</f>
        <v>0</v>
      </c>
      <c r="D22" s="460">
        <f t="shared" ref="D22:D32" si="4">D4*$D$17</f>
        <v>16426.461030407401</v>
      </c>
      <c r="E22" s="460">
        <f t="shared" ref="E22:E32" si="5">E4*$E$17</f>
        <v>2169.741877900738</v>
      </c>
      <c r="F22" s="460">
        <f t="shared" ref="F22:F32" si="6">F4*$F$17</f>
        <v>997.24097897256456</v>
      </c>
      <c r="G22" s="460">
        <f t="shared" ref="G22:G32" si="7">G4*$G$17</f>
        <v>0</v>
      </c>
      <c r="H22" s="460">
        <f t="shared" ref="H22:H32" si="8">H4*$H$17</f>
        <v>0</v>
      </c>
      <c r="I22" s="460">
        <f t="shared" ref="I22:I32" si="9">I4*$I$17</f>
        <v>0</v>
      </c>
      <c r="J22" s="460">
        <f t="shared" ref="J22:J32" si="10">J4*$J$17</f>
        <v>245.74763906935465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28754.77595129066</v>
      </c>
    </row>
    <row r="23" spans="1:17">
      <c r="A23" s="459" t="s">
        <v>156</v>
      </c>
      <c r="B23" s="460">
        <f t="shared" ca="1" si="2"/>
        <v>3141.3602359608876</v>
      </c>
      <c r="C23" s="460">
        <f t="shared" ca="1" si="3"/>
        <v>0</v>
      </c>
      <c r="D23" s="460">
        <f t="shared" ca="1" si="4"/>
        <v>2953.6547469867742</v>
      </c>
      <c r="E23" s="460">
        <f t="shared" si="5"/>
        <v>61.052152070947564</v>
      </c>
      <c r="F23" s="460">
        <f t="shared" ca="1" si="6"/>
        <v>723.25496111419932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6879.3220961328079</v>
      </c>
    </row>
    <row r="24" spans="1:17">
      <c r="A24" s="459" t="s">
        <v>194</v>
      </c>
      <c r="B24" s="460">
        <f t="shared" ca="1" si="2"/>
        <v>305.64112652382568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305.64112652382568</v>
      </c>
    </row>
    <row r="25" spans="1:17">
      <c r="A25" s="459" t="s">
        <v>112</v>
      </c>
      <c r="B25" s="460">
        <f t="shared" ca="1" si="2"/>
        <v>2551.3735395912436</v>
      </c>
      <c r="C25" s="460">
        <f t="shared" ca="1" si="3"/>
        <v>16704.211764705884</v>
      </c>
      <c r="D25" s="460">
        <f t="shared" si="4"/>
        <v>0</v>
      </c>
      <c r="E25" s="460">
        <f t="shared" si="5"/>
        <v>27.656423978221795</v>
      </c>
      <c r="F25" s="460">
        <f t="shared" si="6"/>
        <v>13297.306532186702</v>
      </c>
      <c r="G25" s="460">
        <f t="shared" si="7"/>
        <v>0</v>
      </c>
      <c r="H25" s="460">
        <f t="shared" si="8"/>
        <v>0</v>
      </c>
      <c r="I25" s="460">
        <f t="shared" si="9"/>
        <v>0</v>
      </c>
      <c r="J25" s="460">
        <f t="shared" si="10"/>
        <v>367.8153628772738</v>
      </c>
      <c r="K25" s="460">
        <f t="shared" si="11"/>
        <v>0</v>
      </c>
      <c r="L25" s="460">
        <f t="shared" si="12"/>
        <v>0</v>
      </c>
      <c r="M25" s="460">
        <f t="shared" si="13"/>
        <v>0</v>
      </c>
      <c r="N25" s="460">
        <f t="shared" si="14"/>
        <v>0</v>
      </c>
      <c r="O25" s="460">
        <f t="shared" si="15"/>
        <v>0</v>
      </c>
      <c r="P25" s="461">
        <f t="shared" si="16"/>
        <v>0</v>
      </c>
      <c r="Q25" s="459">
        <f t="shared" ca="1" si="17"/>
        <v>32948.363623339319</v>
      </c>
    </row>
    <row r="26" spans="1:17">
      <c r="A26" s="459" t="s">
        <v>655</v>
      </c>
      <c r="B26" s="460">
        <f t="shared" ca="1" si="2"/>
        <v>1420.2767740577519</v>
      </c>
      <c r="C26" s="460">
        <f t="shared" ca="1" si="3"/>
        <v>0</v>
      </c>
      <c r="D26" s="460">
        <f t="shared" si="4"/>
        <v>1222.4164923546939</v>
      </c>
      <c r="E26" s="460">
        <f t="shared" si="5"/>
        <v>17.108636829862846</v>
      </c>
      <c r="F26" s="460">
        <f t="shared" si="6"/>
        <v>689.15586564369187</v>
      </c>
      <c r="G26" s="460">
        <f t="shared" si="7"/>
        <v>0</v>
      </c>
      <c r="H26" s="460">
        <f t="shared" si="8"/>
        <v>0</v>
      </c>
      <c r="I26" s="460">
        <f t="shared" si="9"/>
        <v>0</v>
      </c>
      <c r="J26" s="460">
        <f t="shared" si="10"/>
        <v>12.426884926576067</v>
      </c>
      <c r="K26" s="460">
        <f t="shared" si="11"/>
        <v>0</v>
      </c>
      <c r="L26" s="460">
        <f t="shared" si="12"/>
        <v>0</v>
      </c>
      <c r="M26" s="460">
        <f t="shared" si="13"/>
        <v>0</v>
      </c>
      <c r="N26" s="460">
        <f t="shared" si="14"/>
        <v>0</v>
      </c>
      <c r="O26" s="460">
        <f t="shared" si="15"/>
        <v>0</v>
      </c>
      <c r="P26" s="461">
        <f t="shared" si="16"/>
        <v>0</v>
      </c>
      <c r="Q26" s="459">
        <f t="shared" ca="1" si="17"/>
        <v>3361.3846538125767</v>
      </c>
    </row>
    <row r="27" spans="1:17" s="465" customFormat="1">
      <c r="A27" s="463" t="s">
        <v>573</v>
      </c>
      <c r="B27" s="771">
        <f t="shared" ca="1" si="2"/>
        <v>0.30679035903862656</v>
      </c>
      <c r="C27" s="464">
        <f t="shared" ca="1" si="3"/>
        <v>0</v>
      </c>
      <c r="D27" s="464">
        <f t="shared" si="4"/>
        <v>1.3152837458248083</v>
      </c>
      <c r="E27" s="464">
        <f t="shared" si="5"/>
        <v>171.83692718828459</v>
      </c>
      <c r="F27" s="464">
        <f t="shared" si="6"/>
        <v>0</v>
      </c>
      <c r="G27" s="464">
        <f t="shared" si="7"/>
        <v>46261.444529639077</v>
      </c>
      <c r="H27" s="464">
        <f t="shared" si="8"/>
        <v>5592.6231081858114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52027.526639118041</v>
      </c>
    </row>
    <row r="28" spans="1:17">
      <c r="A28" s="459" t="s">
        <v>563</v>
      </c>
      <c r="B28" s="460">
        <f t="shared" ca="1" si="2"/>
        <v>0</v>
      </c>
      <c r="C28" s="460">
        <f t="shared" ca="1" si="3"/>
        <v>0</v>
      </c>
      <c r="D28" s="460">
        <f t="shared" si="4"/>
        <v>0</v>
      </c>
      <c r="E28" s="460">
        <f t="shared" si="5"/>
        <v>0</v>
      </c>
      <c r="F28" s="460">
        <f t="shared" si="6"/>
        <v>0</v>
      </c>
      <c r="G28" s="460">
        <f t="shared" si="7"/>
        <v>570.49519772565986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570.49519772565986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438.43836776632349</v>
      </c>
      <c r="C32" s="460">
        <f t="shared" ca="1" si="3"/>
        <v>0</v>
      </c>
      <c r="D32" s="460">
        <f t="shared" si="4"/>
        <v>671.71650268675523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1110.1548704530787</v>
      </c>
    </row>
    <row r="33" spans="1:17" s="472" customFormat="1">
      <c r="A33" s="469" t="s">
        <v>567</v>
      </c>
      <c r="B33" s="470">
        <f ca="1">SUM(B22:B32)</f>
        <v>16772.981259199671</v>
      </c>
      <c r="C33" s="470">
        <f t="shared" ref="C33:Q33" ca="1" si="19">SUM(C22:C32)</f>
        <v>16704.211764705884</v>
      </c>
      <c r="D33" s="470">
        <f t="shared" ca="1" si="19"/>
        <v>21275.564056181447</v>
      </c>
      <c r="E33" s="470">
        <f t="shared" si="19"/>
        <v>2447.3960179680553</v>
      </c>
      <c r="F33" s="470">
        <f t="shared" ca="1" si="19"/>
        <v>15706.958337917158</v>
      </c>
      <c r="G33" s="470">
        <f t="shared" si="19"/>
        <v>46831.939727364734</v>
      </c>
      <c r="H33" s="470">
        <f t="shared" si="19"/>
        <v>5592.6231081858114</v>
      </c>
      <c r="I33" s="470">
        <f t="shared" si="19"/>
        <v>0</v>
      </c>
      <c r="J33" s="470">
        <f t="shared" si="19"/>
        <v>625.98988687320457</v>
      </c>
      <c r="K33" s="470">
        <f t="shared" si="19"/>
        <v>0</v>
      </c>
      <c r="L33" s="470">
        <f t="shared" ca="1" si="19"/>
        <v>0</v>
      </c>
      <c r="M33" s="470">
        <f t="shared" si="19"/>
        <v>0</v>
      </c>
      <c r="N33" s="470">
        <f t="shared" ca="1" si="19"/>
        <v>0</v>
      </c>
      <c r="O33" s="470">
        <f t="shared" si="19"/>
        <v>0</v>
      </c>
      <c r="P33" s="470">
        <f t="shared" si="19"/>
        <v>0</v>
      </c>
      <c r="Q33" s="470">
        <f t="shared" ca="1" si="19"/>
        <v>125957.66415839597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4293.9281119004181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49203</v>
      </c>
      <c r="D8" s="1028">
        <f>'SEAP template'!D76</f>
        <v>57885.882352941175</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11692.948235294118</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4293.9281119004181</v>
      </c>
      <c r="C10" s="1032">
        <f>SUM(C4:C9)</f>
        <v>49203</v>
      </c>
      <c r="D10" s="1032">
        <f t="shared" ref="D10:H10" si="0">SUM(D8:D9)</f>
        <v>57885.882352941175</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11692.948235294118</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0.21930194914531512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70290</v>
      </c>
      <c r="D17" s="1029">
        <f>'SEAP template'!D87</f>
        <v>82694.117647058825</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16704.211764705884</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70290</v>
      </c>
      <c r="D20" s="1032">
        <f t="shared" ref="D20:H20" si="2">SUM(D17:D19)</f>
        <v>82694.117647058825</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16704.211764705884</v>
      </c>
    </row>
    <row r="22" spans="1:16">
      <c r="A22" s="473" t="s">
        <v>946</v>
      </c>
      <c r="B22" s="777" t="s">
        <v>940</v>
      </c>
      <c r="C22" s="777">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0.21930194914531512</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0.21930194914531512</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0.21930194914531512</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11053</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7480</v>
      </c>
      <c r="C9" s="336">
        <v>8404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5911</v>
      </c>
    </row>
    <row r="15" spans="1:6">
      <c r="A15" s="1277" t="s">
        <v>184</v>
      </c>
      <c r="B15" s="333">
        <v>4880</v>
      </c>
    </row>
    <row r="16" spans="1:6">
      <c r="A16" s="1277" t="s">
        <v>6</v>
      </c>
      <c r="B16" s="333">
        <v>6943</v>
      </c>
    </row>
    <row r="17" spans="1:6">
      <c r="A17" s="1277" t="s">
        <v>7</v>
      </c>
      <c r="B17" s="333">
        <v>1021</v>
      </c>
    </row>
    <row r="18" spans="1:6">
      <c r="A18" s="1277" t="s">
        <v>8</v>
      </c>
      <c r="B18" s="333">
        <v>3984</v>
      </c>
    </row>
    <row r="19" spans="1:6">
      <c r="A19" s="1277" t="s">
        <v>9</v>
      </c>
      <c r="B19" s="333">
        <v>3914</v>
      </c>
    </row>
    <row r="20" spans="1:6">
      <c r="A20" s="1277" t="s">
        <v>10</v>
      </c>
      <c r="B20" s="333">
        <v>2377</v>
      </c>
    </row>
    <row r="21" spans="1:6">
      <c r="A21" s="1277" t="s">
        <v>11</v>
      </c>
      <c r="B21" s="333">
        <v>42232</v>
      </c>
    </row>
    <row r="22" spans="1:6">
      <c r="A22" s="1277" t="s">
        <v>12</v>
      </c>
      <c r="B22" s="333">
        <v>95700</v>
      </c>
    </row>
    <row r="23" spans="1:6">
      <c r="A23" s="1277" t="s">
        <v>13</v>
      </c>
      <c r="B23" s="333">
        <v>1758</v>
      </c>
    </row>
    <row r="24" spans="1:6">
      <c r="A24" s="1277" t="s">
        <v>14</v>
      </c>
      <c r="B24" s="333">
        <v>96</v>
      </c>
    </row>
    <row r="25" spans="1:6">
      <c r="A25" s="1277" t="s">
        <v>15</v>
      </c>
      <c r="B25" s="333">
        <v>11200</v>
      </c>
    </row>
    <row r="26" spans="1:6">
      <c r="A26" s="1277" t="s">
        <v>16</v>
      </c>
      <c r="B26" s="333">
        <v>189</v>
      </c>
    </row>
    <row r="27" spans="1:6">
      <c r="A27" s="1277" t="s">
        <v>17</v>
      </c>
      <c r="B27" s="333">
        <v>961</v>
      </c>
    </row>
    <row r="28" spans="1:6">
      <c r="A28" s="1277" t="s">
        <v>18</v>
      </c>
      <c r="B28" s="333">
        <v>800561</v>
      </c>
    </row>
    <row r="29" spans="1:6">
      <c r="A29" s="1277" t="s">
        <v>959</v>
      </c>
      <c r="B29" s="333">
        <v>334</v>
      </c>
    </row>
    <row r="30" spans="1:6">
      <c r="A30" s="1273" t="s">
        <v>960</v>
      </c>
      <c r="B30" s="1273">
        <v>119</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3</v>
      </c>
      <c r="F35" s="333">
        <v>35282.770994549603</v>
      </c>
    </row>
    <row r="36" spans="1:6">
      <c r="A36" s="1277" t="s">
        <v>25</v>
      </c>
      <c r="B36" s="1277" t="s">
        <v>27</v>
      </c>
      <c r="C36" s="333">
        <v>0</v>
      </c>
      <c r="D36" s="333">
        <v>0</v>
      </c>
      <c r="E36" s="333">
        <v>3</v>
      </c>
      <c r="F36" s="333">
        <v>3670.2738411459</v>
      </c>
    </row>
    <row r="37" spans="1:6">
      <c r="A37" s="1277" t="s">
        <v>25</v>
      </c>
      <c r="B37" s="1277" t="s">
        <v>28</v>
      </c>
      <c r="C37" s="333">
        <v>0</v>
      </c>
      <c r="D37" s="333">
        <v>0</v>
      </c>
      <c r="E37" s="333">
        <v>0</v>
      </c>
      <c r="F37" s="333">
        <v>0</v>
      </c>
    </row>
    <row r="38" spans="1:6">
      <c r="A38" s="1277" t="s">
        <v>25</v>
      </c>
      <c r="B38" s="1277" t="s">
        <v>29</v>
      </c>
      <c r="C38" s="333">
        <v>3</v>
      </c>
      <c r="D38" s="333">
        <v>41149455.410781398</v>
      </c>
      <c r="E38" s="333">
        <v>1</v>
      </c>
      <c r="F38" s="333">
        <v>190239.01196146</v>
      </c>
    </row>
    <row r="39" spans="1:6">
      <c r="A39" s="1277" t="s">
        <v>30</v>
      </c>
      <c r="B39" s="1277" t="s">
        <v>31</v>
      </c>
      <c r="C39" s="333">
        <v>4758</v>
      </c>
      <c r="D39" s="333">
        <v>90154228.394587398</v>
      </c>
      <c r="E39" s="333">
        <v>7188</v>
      </c>
      <c r="F39" s="333">
        <v>38207324.762923896</v>
      </c>
    </row>
    <row r="40" spans="1:6">
      <c r="A40" s="1277" t="s">
        <v>30</v>
      </c>
      <c r="B40" s="1277" t="s">
        <v>29</v>
      </c>
      <c r="C40" s="333">
        <v>0</v>
      </c>
      <c r="D40" s="333">
        <v>0</v>
      </c>
      <c r="E40" s="333">
        <v>0</v>
      </c>
      <c r="F40" s="333">
        <v>0</v>
      </c>
    </row>
    <row r="41" spans="1:6">
      <c r="A41" s="1277" t="s">
        <v>32</v>
      </c>
      <c r="B41" s="1277" t="s">
        <v>33</v>
      </c>
      <c r="C41" s="333">
        <v>58</v>
      </c>
      <c r="D41" s="333">
        <v>1441695.8733152801</v>
      </c>
      <c r="E41" s="333">
        <v>171</v>
      </c>
      <c r="F41" s="333">
        <v>2314478.3714414998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8</v>
      </c>
      <c r="D44" s="333">
        <v>154795.380791768</v>
      </c>
      <c r="E44" s="333">
        <v>20</v>
      </c>
      <c r="F44" s="333">
        <v>547475.94853369403</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29</v>
      </c>
      <c r="D48" s="333">
        <v>4560024.9817224899</v>
      </c>
      <c r="E48" s="333">
        <v>36</v>
      </c>
      <c r="F48" s="333">
        <v>3332462.3839090201</v>
      </c>
    </row>
    <row r="49" spans="1:6">
      <c r="A49" s="1277" t="s">
        <v>32</v>
      </c>
      <c r="B49" s="1277" t="s">
        <v>40</v>
      </c>
      <c r="C49" s="333">
        <v>0</v>
      </c>
      <c r="D49" s="333">
        <v>0</v>
      </c>
      <c r="E49" s="333">
        <v>0</v>
      </c>
      <c r="F49" s="333">
        <v>0</v>
      </c>
    </row>
    <row r="50" spans="1:6">
      <c r="A50" s="1277" t="s">
        <v>32</v>
      </c>
      <c r="B50" s="1277" t="s">
        <v>41</v>
      </c>
      <c r="C50" s="333">
        <v>6</v>
      </c>
      <c r="D50" s="333">
        <v>552537.859331346</v>
      </c>
      <c r="E50" s="333">
        <v>9</v>
      </c>
      <c r="F50" s="333">
        <v>281936.01250974799</v>
      </c>
    </row>
    <row r="51" spans="1:6">
      <c r="A51" s="1277" t="s">
        <v>42</v>
      </c>
      <c r="B51" s="1277" t="s">
        <v>43</v>
      </c>
      <c r="C51" s="333">
        <v>33</v>
      </c>
      <c r="D51" s="333">
        <v>131928752.512401</v>
      </c>
      <c r="E51" s="333">
        <v>377</v>
      </c>
      <c r="F51" s="333">
        <v>11137946.727882801</v>
      </c>
    </row>
    <row r="52" spans="1:6">
      <c r="A52" s="1277" t="s">
        <v>42</v>
      </c>
      <c r="B52" s="1277" t="s">
        <v>29</v>
      </c>
      <c r="C52" s="333">
        <v>5</v>
      </c>
      <c r="D52" s="333">
        <v>5461200.4300514301</v>
      </c>
      <c r="E52" s="333">
        <v>8</v>
      </c>
      <c r="F52" s="333">
        <v>496120.13533799897</v>
      </c>
    </row>
    <row r="53" spans="1:6">
      <c r="A53" s="1277" t="s">
        <v>44</v>
      </c>
      <c r="B53" s="1277" t="s">
        <v>45</v>
      </c>
      <c r="C53" s="333">
        <v>163</v>
      </c>
      <c r="D53" s="333">
        <v>3325329.2212215601</v>
      </c>
      <c r="E53" s="333">
        <v>295</v>
      </c>
      <c r="F53" s="333">
        <v>1999245.19355641</v>
      </c>
    </row>
    <row r="54" spans="1:6">
      <c r="A54" s="1277" t="s">
        <v>46</v>
      </c>
      <c r="B54" s="1277" t="s">
        <v>47</v>
      </c>
      <c r="C54" s="333">
        <v>0</v>
      </c>
      <c r="D54" s="333">
        <v>0</v>
      </c>
      <c r="E54" s="333">
        <v>1</v>
      </c>
      <c r="F54" s="333">
        <v>1393700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29</v>
      </c>
      <c r="D57" s="333">
        <v>925762.58687297604</v>
      </c>
      <c r="E57" s="333">
        <v>126</v>
      </c>
      <c r="F57" s="333">
        <v>2203615.02426212</v>
      </c>
    </row>
    <row r="58" spans="1:6">
      <c r="A58" s="1277" t="s">
        <v>49</v>
      </c>
      <c r="B58" s="1277" t="s">
        <v>51</v>
      </c>
      <c r="C58" s="333">
        <v>12</v>
      </c>
      <c r="D58" s="333">
        <v>836662.39752441796</v>
      </c>
      <c r="E58" s="333">
        <v>26</v>
      </c>
      <c r="F58" s="333">
        <v>403137.35866956803</v>
      </c>
    </row>
    <row r="59" spans="1:6">
      <c r="A59" s="1277" t="s">
        <v>49</v>
      </c>
      <c r="B59" s="1277" t="s">
        <v>52</v>
      </c>
      <c r="C59" s="333">
        <v>86</v>
      </c>
      <c r="D59" s="333">
        <v>2791301.8037818898</v>
      </c>
      <c r="E59" s="333">
        <v>188</v>
      </c>
      <c r="F59" s="333">
        <v>4802881.2609818997</v>
      </c>
    </row>
    <row r="60" spans="1:6">
      <c r="A60" s="1277" t="s">
        <v>49</v>
      </c>
      <c r="B60" s="1277" t="s">
        <v>53</v>
      </c>
      <c r="C60" s="333">
        <v>43</v>
      </c>
      <c r="D60" s="333">
        <v>1878271.44790875</v>
      </c>
      <c r="E60" s="333">
        <v>58</v>
      </c>
      <c r="F60" s="333">
        <v>1175727.9688353001</v>
      </c>
    </row>
    <row r="61" spans="1:6">
      <c r="A61" s="1277" t="s">
        <v>49</v>
      </c>
      <c r="B61" s="1277" t="s">
        <v>54</v>
      </c>
      <c r="C61" s="333">
        <v>112</v>
      </c>
      <c r="D61" s="333">
        <v>5481777.46151172</v>
      </c>
      <c r="E61" s="333">
        <v>221</v>
      </c>
      <c r="F61" s="333">
        <v>3334957.4651826299</v>
      </c>
    </row>
    <row r="62" spans="1:6">
      <c r="A62" s="1277" t="s">
        <v>49</v>
      </c>
      <c r="B62" s="1277" t="s">
        <v>55</v>
      </c>
      <c r="C62" s="333">
        <v>11</v>
      </c>
      <c r="D62" s="333">
        <v>1628060.4070424901</v>
      </c>
      <c r="E62" s="333">
        <v>11</v>
      </c>
      <c r="F62" s="333">
        <v>189925.72193195499</v>
      </c>
    </row>
    <row r="63" spans="1:6">
      <c r="A63" s="1277" t="s">
        <v>49</v>
      </c>
      <c r="B63" s="1277" t="s">
        <v>29</v>
      </c>
      <c r="C63" s="333">
        <v>85</v>
      </c>
      <c r="D63" s="333">
        <v>2668865.8941435898</v>
      </c>
      <c r="E63" s="333">
        <v>94</v>
      </c>
      <c r="F63" s="333">
        <v>2214115.96484337</v>
      </c>
    </row>
    <row r="64" spans="1:6">
      <c r="A64" s="1277" t="s">
        <v>56</v>
      </c>
      <c r="B64" s="1277" t="s">
        <v>57</v>
      </c>
      <c r="C64" s="333">
        <v>0</v>
      </c>
      <c r="D64" s="333">
        <v>0</v>
      </c>
      <c r="E64" s="333">
        <v>0</v>
      </c>
      <c r="F64" s="333">
        <v>0</v>
      </c>
    </row>
    <row r="65" spans="1:6">
      <c r="A65" s="1277" t="s">
        <v>56</v>
      </c>
      <c r="B65" s="1277" t="s">
        <v>29</v>
      </c>
      <c r="C65" s="333">
        <v>1</v>
      </c>
      <c r="D65" s="333">
        <v>12864.8234581571</v>
      </c>
      <c r="E65" s="333">
        <v>2</v>
      </c>
      <c r="F65" s="333">
        <v>159304.71280513</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8</v>
      </c>
      <c r="D68" s="333">
        <v>258327.04855469699</v>
      </c>
      <c r="E68" s="333">
        <v>22</v>
      </c>
      <c r="F68" s="333">
        <v>478665.289470708</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68794383</v>
      </c>
      <c r="E73" s="333">
        <v>71417085.865879759</v>
      </c>
      <c r="F73" s="333">
        <v>69048754</v>
      </c>
    </row>
    <row r="74" spans="1:6">
      <c r="A74" s="1277" t="s">
        <v>64</v>
      </c>
      <c r="B74" s="1277" t="s">
        <v>774</v>
      </c>
      <c r="C74" s="1288" t="s">
        <v>775</v>
      </c>
      <c r="D74" s="333">
        <v>4930813.9329169299</v>
      </c>
      <c r="E74" s="333">
        <v>5321146.1952479538</v>
      </c>
      <c r="F74" s="333">
        <v>5084177.7239323882</v>
      </c>
    </row>
    <row r="75" spans="1:6">
      <c r="A75" s="1277" t="s">
        <v>65</v>
      </c>
      <c r="B75" s="1277" t="s">
        <v>772</v>
      </c>
      <c r="C75" s="1288" t="s">
        <v>776</v>
      </c>
      <c r="D75" s="333">
        <v>13359099</v>
      </c>
      <c r="E75" s="333">
        <v>13803917.346296448</v>
      </c>
      <c r="F75" s="333">
        <v>13385022</v>
      </c>
    </row>
    <row r="76" spans="1:6">
      <c r="A76" s="1277" t="s">
        <v>65</v>
      </c>
      <c r="B76" s="1277" t="s">
        <v>774</v>
      </c>
      <c r="C76" s="1288" t="s">
        <v>777</v>
      </c>
      <c r="D76" s="333">
        <v>302078.93291693</v>
      </c>
      <c r="E76" s="333">
        <v>365730.90179776796</v>
      </c>
      <c r="F76" s="333">
        <v>336756.72393238783</v>
      </c>
    </row>
    <row r="77" spans="1:6">
      <c r="A77" s="1277" t="s">
        <v>66</v>
      </c>
      <c r="B77" s="1277" t="s">
        <v>772</v>
      </c>
      <c r="C77" s="1288" t="s">
        <v>778</v>
      </c>
      <c r="D77" s="333">
        <v>93063884</v>
      </c>
      <c r="E77" s="333">
        <v>106731567.66134788</v>
      </c>
      <c r="F77" s="333">
        <v>95818750</v>
      </c>
    </row>
    <row r="78" spans="1:6">
      <c r="A78" s="1273" t="s">
        <v>66</v>
      </c>
      <c r="B78" s="1273" t="s">
        <v>774</v>
      </c>
      <c r="C78" s="1273" t="s">
        <v>779</v>
      </c>
      <c r="D78" s="1273">
        <v>28350350</v>
      </c>
      <c r="E78" s="1273">
        <v>28614396.876292225</v>
      </c>
      <c r="F78" s="336">
        <v>27777602</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585822.13416613999</v>
      </c>
      <c r="C83" s="333">
        <v>540029.85033265315</v>
      </c>
      <c r="D83" s="333">
        <v>546218.55213522434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2447.0536394901446</v>
      </c>
    </row>
    <row r="92" spans="1:6">
      <c r="A92" s="1273" t="s">
        <v>69</v>
      </c>
      <c r="B92" s="336">
        <v>1846.8744724102735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3580</v>
      </c>
    </row>
    <row r="98" spans="1:6">
      <c r="A98" s="1277" t="s">
        <v>72</v>
      </c>
      <c r="B98" s="333">
        <v>5</v>
      </c>
    </row>
    <row r="99" spans="1:6">
      <c r="A99" s="1277" t="s">
        <v>73</v>
      </c>
      <c r="B99" s="333">
        <v>229</v>
      </c>
    </row>
    <row r="100" spans="1:6">
      <c r="A100" s="1277" t="s">
        <v>74</v>
      </c>
      <c r="B100" s="333">
        <v>824</v>
      </c>
    </row>
    <row r="101" spans="1:6">
      <c r="A101" s="1277" t="s">
        <v>75</v>
      </c>
      <c r="B101" s="333">
        <v>181</v>
      </c>
    </row>
    <row r="102" spans="1:6">
      <c r="A102" s="1277" t="s">
        <v>76</v>
      </c>
      <c r="B102" s="333">
        <v>79</v>
      </c>
    </row>
    <row r="103" spans="1:6">
      <c r="A103" s="1277" t="s">
        <v>77</v>
      </c>
      <c r="B103" s="333">
        <v>142</v>
      </c>
    </row>
    <row r="104" spans="1:6">
      <c r="A104" s="1277" t="s">
        <v>78</v>
      </c>
      <c r="B104" s="333">
        <v>1224</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12</v>
      </c>
      <c r="C123" s="333">
        <v>7</v>
      </c>
    </row>
    <row r="124" spans="1:6">
      <c r="A124" s="1273" t="s">
        <v>89</v>
      </c>
      <c r="B124" s="333">
        <v>2</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43</v>
      </c>
    </row>
    <row r="130" spans="1:6">
      <c r="A130" s="1277" t="s">
        <v>295</v>
      </c>
      <c r="B130" s="333">
        <v>1</v>
      </c>
    </row>
    <row r="131" spans="1:6">
      <c r="A131" s="1277" t="s">
        <v>296</v>
      </c>
      <c r="B131" s="333">
        <v>2</v>
      </c>
    </row>
    <row r="132" spans="1:6">
      <c r="A132" s="1273" t="s">
        <v>297</v>
      </c>
      <c r="B132" s="336">
        <v>16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76483.502880703818</v>
      </c>
      <c r="C3" s="43" t="s">
        <v>170</v>
      </c>
      <c r="D3" s="43"/>
      <c r="E3" s="156"/>
      <c r="F3" s="43"/>
      <c r="G3" s="43"/>
      <c r="H3" s="43"/>
      <c r="I3" s="43"/>
      <c r="J3" s="43"/>
      <c r="K3" s="96"/>
    </row>
    <row r="4" spans="1:11">
      <c r="A4" s="364" t="s">
        <v>171</v>
      </c>
      <c r="B4" s="49">
        <f>IF(ISERROR('SEAP template'!B78+'SEAP template'!C78),0,'SEAP template'!B78+'SEAP template'!C78)</f>
        <v>53496.928111900415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11692.948235294118</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0.21930194914531512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16704.211764705884</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70290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1393.7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1393.7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0.21930194914531512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305.64112652382568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38207.324762923898</v>
      </c>
      <c r="C5" s="17">
        <f>IF(ISERROR('Eigen informatie GS &amp; warmtenet'!B57),0,'Eigen informatie GS &amp; warmtenet'!B57)</f>
        <v>0</v>
      </c>
      <c r="D5" s="30">
        <f>(SUM(HH_hh_gas_kWh,HH_rest_gas_kWh)/1000)*0.902</f>
        <v>81319.114011917831</v>
      </c>
      <c r="E5" s="17">
        <f>B46*B57</f>
        <v>9558.3342638799022</v>
      </c>
      <c r="F5" s="17">
        <f>B51*B62</f>
        <v>3734.9849399721516</v>
      </c>
      <c r="G5" s="18"/>
      <c r="H5" s="17"/>
      <c r="I5" s="17"/>
      <c r="J5" s="17">
        <f>B50*B61+C50*C61</f>
        <v>694.20237025241431</v>
      </c>
      <c r="K5" s="17"/>
      <c r="L5" s="17"/>
      <c r="M5" s="17"/>
      <c r="N5" s="17">
        <f>B48*B59+C48*C59</f>
        <v>21858.744188374014</v>
      </c>
      <c r="O5" s="17">
        <f>B69*B70*B71</f>
        <v>79.73</v>
      </c>
      <c r="P5" s="17">
        <f>B77*B78*B79/1000-B77*B78*B79/1000/B80</f>
        <v>572</v>
      </c>
    </row>
    <row r="6" spans="1:16">
      <c r="A6" s="16" t="s">
        <v>632</v>
      </c>
      <c r="B6" s="779">
        <f>kWh_PV_kleiner_dan_10kW</f>
        <v>2447.0536394901446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40654.37840241404</v>
      </c>
      <c r="C8" s="21">
        <f>C5</f>
        <v>0</v>
      </c>
      <c r="D8" s="21">
        <f>D5</f>
        <v>81319.114011917831</v>
      </c>
      <c r="E8" s="21">
        <f>E5</f>
        <v>9558.3342638799022</v>
      </c>
      <c r="F8" s="21">
        <f>F5</f>
        <v>3734.9849399721516</v>
      </c>
      <c r="G8" s="21"/>
      <c r="H8" s="21"/>
      <c r="I8" s="21"/>
      <c r="J8" s="21">
        <f>J5</f>
        <v>694.20237025241431</v>
      </c>
      <c r="K8" s="21"/>
      <c r="L8" s="21">
        <f>L5</f>
        <v>0</v>
      </c>
      <c r="M8" s="21">
        <f>M5</f>
        <v>0</v>
      </c>
      <c r="N8" s="21">
        <f>N5</f>
        <v>21858.744188374014</v>
      </c>
      <c r="O8" s="21">
        <f>O5</f>
        <v>79.73</v>
      </c>
      <c r="P8" s="21">
        <f>P5</f>
        <v>572</v>
      </c>
    </row>
    <row r="9" spans="1:16">
      <c r="B9" s="19"/>
      <c r="C9" s="19"/>
      <c r="D9" s="260"/>
      <c r="E9" s="19"/>
      <c r="F9" s="19"/>
      <c r="G9" s="19"/>
      <c r="H9" s="19"/>
      <c r="I9" s="19"/>
      <c r="J9" s="19"/>
      <c r="K9" s="19"/>
      <c r="L9" s="19"/>
      <c r="M9" s="19"/>
      <c r="N9" s="19"/>
      <c r="O9" s="19"/>
      <c r="P9" s="19"/>
    </row>
    <row r="10" spans="1:16">
      <c r="A10" s="24" t="s">
        <v>214</v>
      </c>
      <c r="B10" s="25">
        <f ca="1">'EF ele_warmte'!B12</f>
        <v>0.21930194914531512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8915.5844249406018</v>
      </c>
      <c r="C12" s="23">
        <f ca="1">C10*C8</f>
        <v>0</v>
      </c>
      <c r="D12" s="23">
        <f>D8*D10</f>
        <v>16426.461030407401</v>
      </c>
      <c r="E12" s="23">
        <f>E10*E8</f>
        <v>2169.741877900738</v>
      </c>
      <c r="F12" s="23">
        <f>F10*F8</f>
        <v>997.24097897256456</v>
      </c>
      <c r="G12" s="23"/>
      <c r="H12" s="23"/>
      <c r="I12" s="23"/>
      <c r="J12" s="23">
        <f>J10*J8</f>
        <v>245.74763906935465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3580</v>
      </c>
      <c r="C18" s="167" t="s">
        <v>111</v>
      </c>
      <c r="D18" s="229"/>
      <c r="E18" s="15"/>
    </row>
    <row r="19" spans="1:7">
      <c r="A19" s="172" t="s">
        <v>72</v>
      </c>
      <c r="B19" s="37">
        <f>aantalw2001_ander</f>
        <v>5</v>
      </c>
      <c r="C19" s="167" t="s">
        <v>111</v>
      </c>
      <c r="D19" s="230"/>
      <c r="E19" s="15"/>
    </row>
    <row r="20" spans="1:7">
      <c r="A20" s="172" t="s">
        <v>73</v>
      </c>
      <c r="B20" s="37">
        <f>aantalw2001_propaan</f>
        <v>229</v>
      </c>
      <c r="C20" s="168">
        <f>IF(ISERROR(B20/SUM($B$20,$B$21,$B$22)*100),0,B20/SUM($B$20,$B$21,$B$22)*100)</f>
        <v>18.557536466774714</v>
      </c>
      <c r="D20" s="230"/>
      <c r="E20" s="15"/>
    </row>
    <row r="21" spans="1:7">
      <c r="A21" s="172" t="s">
        <v>74</v>
      </c>
      <c r="B21" s="37">
        <f>aantalw2001_elektriciteit</f>
        <v>824</v>
      </c>
      <c r="C21" s="168">
        <f>IF(ISERROR(B21/SUM($B$20,$B$21,$B$22)*100),0,B21/SUM($B$20,$B$21,$B$22)*100)</f>
        <v>66.774716369529983</v>
      </c>
      <c r="D21" s="230"/>
      <c r="E21" s="15"/>
    </row>
    <row r="22" spans="1:7">
      <c r="A22" s="172" t="s">
        <v>75</v>
      </c>
      <c r="B22" s="37">
        <f>aantalw2001_hout</f>
        <v>181</v>
      </c>
      <c r="C22" s="168">
        <f>IF(ISERROR(B22/SUM($B$20,$B$21,$B$22)*100),0,B22/SUM($B$20,$B$21,$B$22)*100)</f>
        <v>14.667747163695299</v>
      </c>
      <c r="D22" s="230"/>
      <c r="E22" s="15"/>
    </row>
    <row r="23" spans="1:7">
      <c r="A23" s="172" t="s">
        <v>76</v>
      </c>
      <c r="B23" s="37">
        <f>aantalw2001_niet_gespec</f>
        <v>79</v>
      </c>
      <c r="C23" s="167" t="s">
        <v>111</v>
      </c>
      <c r="D23" s="229"/>
      <c r="E23" s="15"/>
    </row>
    <row r="24" spans="1:7">
      <c r="A24" s="172" t="s">
        <v>77</v>
      </c>
      <c r="B24" s="37">
        <f>aantalw2001_steenkool</f>
        <v>142</v>
      </c>
      <c r="C24" s="167" t="s">
        <v>111</v>
      </c>
      <c r="D24" s="230"/>
      <c r="E24" s="15"/>
    </row>
    <row r="25" spans="1:7">
      <c r="A25" s="172" t="s">
        <v>78</v>
      </c>
      <c r="B25" s="37">
        <f>aantalw2001_stookolie</f>
        <v>1224</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7480</v>
      </c>
      <c r="C28" s="36"/>
      <c r="D28" s="229"/>
    </row>
    <row r="29" spans="1:7" s="15" customFormat="1">
      <c r="A29" s="231" t="s">
        <v>713</v>
      </c>
      <c r="B29" s="37">
        <f>SUM(HH_hh_gas_aantal,HH_rest_gas_aantal)</f>
        <v>4758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4758</v>
      </c>
      <c r="C32" s="168">
        <f>IF(ISERROR(B32/SUM($B$32,$B$34,$B$35,$B$36,$B$38,$B$39)*100),0,B32/SUM($B$32,$B$34,$B$35,$B$36,$B$38,$B$39)*100)</f>
        <v>63.865771812080538</v>
      </c>
      <c r="D32" s="234"/>
      <c r="G32" s="15"/>
    </row>
    <row r="33" spans="1:7">
      <c r="A33" s="172" t="s">
        <v>72</v>
      </c>
      <c r="B33" s="34" t="s">
        <v>111</v>
      </c>
      <c r="C33" s="168"/>
      <c r="D33" s="234"/>
      <c r="G33" s="15"/>
    </row>
    <row r="34" spans="1:7">
      <c r="A34" s="172" t="s">
        <v>73</v>
      </c>
      <c r="B34" s="33">
        <f>IF((($B$28-$B$32-$B$39-$B$77-$B$38)*C20/100)&lt;0,0,($B$28-$B$32-$B$39-$B$77-$B$38)*C20/100)</f>
        <v>464.68071312803886</v>
      </c>
      <c r="C34" s="168">
        <f>IF(ISERROR(B34/SUM($B$32,$B$34,$B$35,$B$36,$B$38,$B$39)*100),0,B34/SUM($B$32,$B$34,$B$35,$B$36,$B$38,$B$39)*100)</f>
        <v>6.2373250084300524</v>
      </c>
      <c r="D34" s="234"/>
      <c r="G34" s="15"/>
    </row>
    <row r="35" spans="1:7">
      <c r="A35" s="172" t="s">
        <v>74</v>
      </c>
      <c r="B35" s="33">
        <f>IF((($B$28-$B$32-$B$39-$B$77-$B$38)*C21/100)&lt;0,0,($B$28-$B$32-$B$39-$B$77-$B$38)*C21/100)</f>
        <v>1672.0388978930307</v>
      </c>
      <c r="C35" s="168">
        <f>IF(ISERROR(B35/SUM($B$32,$B$34,$B$35,$B$36,$B$38,$B$39)*100),0,B35/SUM($B$32,$B$34,$B$35,$B$36,$B$38,$B$39)*100)</f>
        <v>22.443475139503771</v>
      </c>
      <c r="D35" s="234"/>
      <c r="G35" s="15"/>
    </row>
    <row r="36" spans="1:7">
      <c r="A36" s="172" t="s">
        <v>75</v>
      </c>
      <c r="B36" s="33">
        <f>IF((($B$28-$B$32-$B$39-$B$77-$B$38)*C22/100)&lt;0,0,($B$28-$B$32-$B$39-$B$77-$B$38)*C22/100)</f>
        <v>367.28038897893026</v>
      </c>
      <c r="C36" s="168">
        <f>IF(ISERROR(B36/SUM($B$32,$B$34,$B$35,$B$36,$B$38,$B$39)*100),0,B36/SUM($B$32,$B$34,$B$35,$B$36,$B$38,$B$39)*100)</f>
        <v>4.9299381070997361</v>
      </c>
      <c r="D36" s="234"/>
      <c r="G36" s="15"/>
    </row>
    <row r="37" spans="1:7">
      <c r="A37" s="172" t="s">
        <v>76</v>
      </c>
      <c r="B37" s="34" t="s">
        <v>111</v>
      </c>
      <c r="C37" s="168"/>
      <c r="D37" s="174"/>
      <c r="G37" s="15"/>
    </row>
    <row r="38" spans="1:7">
      <c r="A38" s="172" t="s">
        <v>77</v>
      </c>
      <c r="B38" s="33">
        <f>IF((B24-(B29-B18)*0.1)&lt;0,0,B24-(B29-B18)*0.1)</f>
        <v>24.199999999999989</v>
      </c>
      <c r="C38" s="168">
        <f>IF(ISERROR(B38/SUM($B$32,$B$34,$B$35,$B$36,$B$38,$B$39)*100),0,B38/SUM($B$32,$B$34,$B$35,$B$36,$B$38,$B$39)*100)</f>
        <v>0.32483221476510055</v>
      </c>
      <c r="D38" s="235"/>
      <c r="G38" s="15"/>
    </row>
    <row r="39" spans="1:7">
      <c r="A39" s="172" t="s">
        <v>78</v>
      </c>
      <c r="B39" s="33">
        <f>IF((B25-(B29-B18))&lt;0,0,B25-(B29-B18)*0.9)</f>
        <v>163.79999999999995</v>
      </c>
      <c r="C39" s="168">
        <f>IF(ISERROR(B39/SUM($B$32,$B$34,$B$35,$B$36,$B$38,$B$39)*100),0,B39/SUM($B$32,$B$34,$B$35,$B$36,$B$38,$B$39)*100)</f>
        <v>2.1986577181208049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4758</v>
      </c>
      <c r="C44" s="34" t="s">
        <v>111</v>
      </c>
      <c r="D44" s="175"/>
    </row>
    <row r="45" spans="1:7">
      <c r="A45" s="172" t="s">
        <v>72</v>
      </c>
      <c r="B45" s="33" t="str">
        <f t="shared" si="0"/>
        <v>-</v>
      </c>
      <c r="C45" s="34" t="s">
        <v>111</v>
      </c>
      <c r="D45" s="175"/>
    </row>
    <row r="46" spans="1:7">
      <c r="A46" s="172" t="s">
        <v>73</v>
      </c>
      <c r="B46" s="33">
        <f t="shared" si="0"/>
        <v>464.68071312803886</v>
      </c>
      <c r="C46" s="34" t="s">
        <v>111</v>
      </c>
      <c r="D46" s="175"/>
    </row>
    <row r="47" spans="1:7">
      <c r="A47" s="172" t="s">
        <v>74</v>
      </c>
      <c r="B47" s="33">
        <f t="shared" si="0"/>
        <v>1672.0388978930307</v>
      </c>
      <c r="C47" s="34" t="s">
        <v>111</v>
      </c>
      <c r="D47" s="175"/>
    </row>
    <row r="48" spans="1:7">
      <c r="A48" s="172" t="s">
        <v>75</v>
      </c>
      <c r="B48" s="33">
        <f t="shared" si="0"/>
        <v>367.28038897893026</v>
      </c>
      <c r="C48" s="33">
        <f>B48*10</f>
        <v>3672.8038897893025</v>
      </c>
      <c r="D48" s="235"/>
    </row>
    <row r="49" spans="1:6">
      <c r="A49" s="172" t="s">
        <v>76</v>
      </c>
      <c r="B49" s="33" t="str">
        <f t="shared" si="0"/>
        <v>-</v>
      </c>
      <c r="C49" s="34" t="s">
        <v>111</v>
      </c>
      <c r="D49" s="235"/>
    </row>
    <row r="50" spans="1:6">
      <c r="A50" s="172" t="s">
        <v>77</v>
      </c>
      <c r="B50" s="33">
        <f t="shared" si="0"/>
        <v>24.199999999999989</v>
      </c>
      <c r="C50" s="33">
        <f>B50*2</f>
        <v>48.399999999999977</v>
      </c>
      <c r="D50" s="235"/>
    </row>
    <row r="51" spans="1:6">
      <c r="A51" s="172" t="s">
        <v>78</v>
      </c>
      <c r="B51" s="33">
        <f t="shared" si="0"/>
        <v>163.79999999999995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14324.360764706844</v>
      </c>
      <c r="C5" s="17">
        <f>IF(ISERROR('Eigen informatie GS &amp; warmtenet'!B58),0,'Eigen informatie GS &amp; warmtenet'!B58)</f>
        <v>0</v>
      </c>
      <c r="D5" s="30">
        <f>SUM(D6:D12)</f>
        <v>14622.053202904823</v>
      </c>
      <c r="E5" s="17">
        <f>SUM(E6:E12)</f>
        <v>268.95221176628883</v>
      </c>
      <c r="F5" s="17">
        <f>SUM(F6:F12)</f>
        <v>2708.8200790793981</v>
      </c>
      <c r="G5" s="18"/>
      <c r="H5" s="17"/>
      <c r="I5" s="17"/>
      <c r="J5" s="17">
        <f>SUM(J6:J12)</f>
        <v>0</v>
      </c>
      <c r="K5" s="17"/>
      <c r="L5" s="17"/>
      <c r="M5" s="17"/>
      <c r="N5" s="17">
        <f>SUM(N6:N12)</f>
        <v>602.75241230453651</v>
      </c>
      <c r="O5" s="17">
        <f>B38*B39*B40</f>
        <v>1.5633333333333335</v>
      </c>
      <c r="P5" s="17">
        <f>B46*B47*B48/1000-B46*B47*B48/1000/B49</f>
        <v>38.133333333333333</v>
      </c>
      <c r="R5" s="32"/>
    </row>
    <row r="6" spans="1:18">
      <c r="A6" s="32" t="s">
        <v>54</v>
      </c>
      <c r="B6" s="37">
        <f>B26</f>
        <v>3334.9574651826297</v>
      </c>
      <c r="C6" s="33"/>
      <c r="D6" s="37">
        <f>IF(ISERROR(TER_kantoor_gas_kWh/1000),0,TER_kantoor_gas_kWh/1000)*0.902</f>
        <v>4944.563270283571</v>
      </c>
      <c r="E6" s="33">
        <f>$C$26*'E Balans VL '!I12/100/3.6*1000000</f>
        <v>116.73663015909936</v>
      </c>
      <c r="F6" s="33">
        <f>$C$26*('E Balans VL '!L12+'E Balans VL '!N12)/100/3.6*1000000</f>
        <v>505.6511525568402</v>
      </c>
      <c r="G6" s="34"/>
      <c r="H6" s="33"/>
      <c r="I6" s="33"/>
      <c r="J6" s="33">
        <f>$C$26*('E Balans VL '!D12+'E Balans VL '!E12)/100/3.6*1000000</f>
        <v>0</v>
      </c>
      <c r="K6" s="33"/>
      <c r="L6" s="33"/>
      <c r="M6" s="33"/>
      <c r="N6" s="33">
        <f>$C$26*'E Balans VL '!Y12/100/3.6*1000000</f>
        <v>25.778177392902144</v>
      </c>
      <c r="O6" s="33"/>
      <c r="P6" s="33"/>
      <c r="R6" s="32"/>
    </row>
    <row r="7" spans="1:18">
      <c r="A7" s="32" t="s">
        <v>53</v>
      </c>
      <c r="B7" s="37">
        <f t="shared" ref="B7:B12" si="0">B27</f>
        <v>1175.7279688353001</v>
      </c>
      <c r="C7" s="33"/>
      <c r="D7" s="37">
        <f>IF(ISERROR(TER_horeca_gas_kWh/1000),0,TER_horeca_gas_kWh/1000)*0.902</f>
        <v>1694.2008460136926</v>
      </c>
      <c r="E7" s="33">
        <f>$C$27*'E Balans VL '!I9/100/3.6*1000000</f>
        <v>66.326690816924611</v>
      </c>
      <c r="F7" s="33">
        <f>$C$27*('E Balans VL '!L9+'E Balans VL '!N9)/100/3.6*1000000</f>
        <v>204.81831873322918</v>
      </c>
      <c r="G7" s="34"/>
      <c r="H7" s="33"/>
      <c r="I7" s="33"/>
      <c r="J7" s="33">
        <f>$C$27*('E Balans VL '!D9+'E Balans VL '!E9)/100/3.6*1000000</f>
        <v>0</v>
      </c>
      <c r="K7" s="33"/>
      <c r="L7" s="33"/>
      <c r="M7" s="33"/>
      <c r="N7" s="33">
        <f>$C$27*'E Balans VL '!Y9/100/3.6*1000000</f>
        <v>0</v>
      </c>
      <c r="O7" s="33"/>
      <c r="P7" s="33"/>
      <c r="R7" s="32"/>
    </row>
    <row r="8" spans="1:18">
      <c r="A8" s="6" t="s">
        <v>52</v>
      </c>
      <c r="B8" s="37">
        <f t="shared" si="0"/>
        <v>4802.8812609818997</v>
      </c>
      <c r="C8" s="33"/>
      <c r="D8" s="37">
        <f>IF(ISERROR(TER_handel_gas_kWh/1000),0,TER_handel_gas_kWh/1000)*0.902</f>
        <v>2517.7542270112644</v>
      </c>
      <c r="E8" s="33">
        <f>$C$28*'E Balans VL '!I13/100/3.6*1000000</f>
        <v>24.657504428222111</v>
      </c>
      <c r="F8" s="33">
        <f>$C$28*('E Balans VL '!L13+'E Balans VL '!N13)/100/3.6*1000000</f>
        <v>740.53007830971887</v>
      </c>
      <c r="G8" s="34"/>
      <c r="H8" s="33"/>
      <c r="I8" s="33"/>
      <c r="J8" s="33">
        <f>$C$28*('E Balans VL '!D13+'E Balans VL '!E13)/100/3.6*1000000</f>
        <v>0</v>
      </c>
      <c r="K8" s="33"/>
      <c r="L8" s="33"/>
      <c r="M8" s="33"/>
      <c r="N8" s="33">
        <f>$C$28*'E Balans VL '!Y13/100/3.6*1000000</f>
        <v>2.2463661928184466</v>
      </c>
      <c r="O8" s="33"/>
      <c r="P8" s="33"/>
      <c r="R8" s="32"/>
    </row>
    <row r="9" spans="1:18">
      <c r="A9" s="32" t="s">
        <v>51</v>
      </c>
      <c r="B9" s="37">
        <f t="shared" si="0"/>
        <v>403.13735866956802</v>
      </c>
      <c r="C9" s="33"/>
      <c r="D9" s="37">
        <f>IF(ISERROR(TER_gezond_gas_kWh/1000),0,TER_gezond_gas_kWh/1000)*0.902</f>
        <v>754.66948256702506</v>
      </c>
      <c r="E9" s="33">
        <f>$C$29*'E Balans VL '!I10/100/3.6*1000000</f>
        <v>0.167097564127165</v>
      </c>
      <c r="F9" s="33">
        <f>$C$29*('E Balans VL '!L10+'E Balans VL '!N10)/100/3.6*1000000</f>
        <v>99.286949679347586</v>
      </c>
      <c r="G9" s="34"/>
      <c r="H9" s="33"/>
      <c r="I9" s="33"/>
      <c r="J9" s="33">
        <f>$C$29*('E Balans VL '!D10+'E Balans VL '!E10)/100/3.6*1000000</f>
        <v>0</v>
      </c>
      <c r="K9" s="33"/>
      <c r="L9" s="33"/>
      <c r="M9" s="33"/>
      <c r="N9" s="33">
        <f>$C$29*'E Balans VL '!Y10/100/3.6*1000000</f>
        <v>3.4841045943074533</v>
      </c>
      <c r="O9" s="33"/>
      <c r="P9" s="33"/>
      <c r="R9" s="32"/>
    </row>
    <row r="10" spans="1:18">
      <c r="A10" s="32" t="s">
        <v>50</v>
      </c>
      <c r="B10" s="37">
        <f t="shared" si="0"/>
        <v>2203.6150242621202</v>
      </c>
      <c r="C10" s="33"/>
      <c r="D10" s="37">
        <f>IF(ISERROR(TER_ander_gas_kWh/1000),0,TER_ander_gas_kWh/1000)*0.902</f>
        <v>835.03785335942439</v>
      </c>
      <c r="E10" s="33">
        <f>$C$30*'E Balans VL '!I14/100/3.6*1000000</f>
        <v>13.433291557028676</v>
      </c>
      <c r="F10" s="33">
        <f>$C$30*('E Balans VL '!L14+'E Balans VL '!N14)/100/3.6*1000000</f>
        <v>584.20852903356206</v>
      </c>
      <c r="G10" s="34"/>
      <c r="H10" s="33"/>
      <c r="I10" s="33"/>
      <c r="J10" s="33">
        <f>$C$30*('E Balans VL '!D14+'E Balans VL '!E14)/100/3.6*1000000</f>
        <v>0</v>
      </c>
      <c r="K10" s="33"/>
      <c r="L10" s="33"/>
      <c r="M10" s="33"/>
      <c r="N10" s="33">
        <f>$C$30*'E Balans VL '!Y14/100/3.6*1000000</f>
        <v>507.88564647652817</v>
      </c>
      <c r="O10" s="33"/>
      <c r="P10" s="33"/>
      <c r="R10" s="32"/>
    </row>
    <row r="11" spans="1:18">
      <c r="A11" s="32" t="s">
        <v>55</v>
      </c>
      <c r="B11" s="37">
        <f t="shared" si="0"/>
        <v>189.925721931955</v>
      </c>
      <c r="C11" s="33"/>
      <c r="D11" s="37">
        <f>IF(ISERROR(TER_onderwijs_gas_kWh/1000),0,TER_onderwijs_gas_kWh/1000)*0.902</f>
        <v>1468.5104871523263</v>
      </c>
      <c r="E11" s="33">
        <f>$C$31*'E Balans VL '!I11/100/3.6*1000000</f>
        <v>0.14473328964896712</v>
      </c>
      <c r="F11" s="33">
        <f>$C$31*('E Balans VL '!L11+'E Balans VL '!N11)/100/3.6*1000000</f>
        <v>137.44066075259391</v>
      </c>
      <c r="G11" s="34"/>
      <c r="H11" s="33"/>
      <c r="I11" s="33"/>
      <c r="J11" s="33">
        <f>$C$31*('E Balans VL '!D11+'E Balans VL '!E11)/100/3.6*1000000</f>
        <v>0</v>
      </c>
      <c r="K11" s="33"/>
      <c r="L11" s="33"/>
      <c r="M11" s="33"/>
      <c r="N11" s="33">
        <f>$C$31*'E Balans VL '!Y11/100/3.6*1000000</f>
        <v>0.55975649395389238</v>
      </c>
      <c r="O11" s="33"/>
      <c r="P11" s="33"/>
      <c r="R11" s="32"/>
    </row>
    <row r="12" spans="1:18">
      <c r="A12" s="32" t="s">
        <v>260</v>
      </c>
      <c r="B12" s="37">
        <f t="shared" si="0"/>
        <v>2214.11596484337</v>
      </c>
      <c r="C12" s="33"/>
      <c r="D12" s="37">
        <f>IF(ISERROR(TER_rest_gas_kWh/1000),0,TER_rest_gas_kWh/1000)*0.902</f>
        <v>2407.3170365175179</v>
      </c>
      <c r="E12" s="33">
        <f>$C$32*'E Balans VL '!I8/100/3.6*1000000</f>
        <v>47.486263951237881</v>
      </c>
      <c r="F12" s="33">
        <f>$C$32*('E Balans VL '!L8+'E Balans VL '!N8)/100/3.6*1000000</f>
        <v>436.8843900141062</v>
      </c>
      <c r="G12" s="34"/>
      <c r="H12" s="33"/>
      <c r="I12" s="33"/>
      <c r="J12" s="33">
        <f>$C$32*('E Balans VL '!D8+'E Balans VL '!E8)/100/3.6*1000000</f>
        <v>0</v>
      </c>
      <c r="K12" s="33"/>
      <c r="L12" s="33"/>
      <c r="M12" s="33"/>
      <c r="N12" s="33">
        <f>$C$32*'E Balans VL '!Y8/100/3.6*1000000</f>
        <v>62.798361154026502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14324.360764706844</v>
      </c>
      <c r="C16" s="21">
        <f ca="1">C5+C13+C14</f>
        <v>0</v>
      </c>
      <c r="D16" s="21">
        <f t="shared" ref="D16:N16" ca="1" si="1">MAX((D5+D13+D14),0)</f>
        <v>14622.053202904823</v>
      </c>
      <c r="E16" s="21">
        <f t="shared" si="1"/>
        <v>268.95221176628883</v>
      </c>
      <c r="F16" s="21">
        <f t="shared" ca="1" si="1"/>
        <v>2708.8200790793981</v>
      </c>
      <c r="G16" s="21">
        <f t="shared" si="1"/>
        <v>0</v>
      </c>
      <c r="H16" s="21">
        <f t="shared" si="1"/>
        <v>0</v>
      </c>
      <c r="I16" s="21">
        <f t="shared" si="1"/>
        <v>0</v>
      </c>
      <c r="J16" s="21">
        <f t="shared" si="1"/>
        <v>0</v>
      </c>
      <c r="K16" s="21">
        <f t="shared" si="1"/>
        <v>0</v>
      </c>
      <c r="L16" s="21">
        <f t="shared" ca="1" si="1"/>
        <v>0</v>
      </c>
      <c r="M16" s="21">
        <f t="shared" si="1"/>
        <v>0</v>
      </c>
      <c r="N16" s="21">
        <f t="shared" ca="1" si="1"/>
        <v>602.75241230453651</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0.21930194914531512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3141.3602359608876</v>
      </c>
      <c r="C20" s="23">
        <f t="shared" ref="C20:P20" ca="1" si="2">C16*C18</f>
        <v>0</v>
      </c>
      <c r="D20" s="23">
        <f t="shared" ca="1" si="2"/>
        <v>2953.6547469867742</v>
      </c>
      <c r="E20" s="23">
        <f t="shared" si="2"/>
        <v>61.052152070947564</v>
      </c>
      <c r="F20" s="23">
        <f t="shared" ca="1" si="2"/>
        <v>723.25496111419932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3334.9574651826297</v>
      </c>
      <c r="C26" s="39">
        <f>IF(ISERROR(B26*3.6/1000000/'E Balans VL '!Z12*100),0,B26*3.6/1000000/'E Balans VL '!Z12*100)</f>
        <v>7.0178649244114849E-2</v>
      </c>
      <c r="D26" s="238" t="s">
        <v>719</v>
      </c>
      <c r="F26" s="6"/>
    </row>
    <row r="27" spans="1:18">
      <c r="A27" s="232" t="s">
        <v>53</v>
      </c>
      <c r="B27" s="33">
        <f>IF(ISERROR(TER_horeca_ele_kWh/1000),0,TER_horeca_ele_kWh/1000)</f>
        <v>1175.7279688353001</v>
      </c>
      <c r="C27" s="39">
        <f>IF(ISERROR(B27*3.6/1000000/'E Balans VL '!Z9*100),0,B27*3.6/1000000/'E Balans VL '!Z9*100)</f>
        <v>9.9545583356287382E-2</v>
      </c>
      <c r="D27" s="238" t="s">
        <v>719</v>
      </c>
      <c r="F27" s="6"/>
    </row>
    <row r="28" spans="1:18">
      <c r="A28" s="172" t="s">
        <v>52</v>
      </c>
      <c r="B28" s="33">
        <f>IF(ISERROR(TER_handel_ele_kWh/1000),0,TER_handel_ele_kWh/1000)</f>
        <v>4802.8812609818997</v>
      </c>
      <c r="C28" s="39">
        <f>IF(ISERROR(B28*3.6/1000000/'E Balans VL '!Z13*100),0,B28*3.6/1000000/'E Balans VL '!Z13*100)</f>
        <v>0.13296710357244651</v>
      </c>
      <c r="D28" s="238" t="s">
        <v>719</v>
      </c>
      <c r="F28" s="6"/>
    </row>
    <row r="29" spans="1:18">
      <c r="A29" s="232" t="s">
        <v>51</v>
      </c>
      <c r="B29" s="33">
        <f>IF(ISERROR(TER_gezond_ele_kWh/1000),0,TER_gezond_ele_kWh/1000)</f>
        <v>403.13735866956802</v>
      </c>
      <c r="C29" s="39">
        <f>IF(ISERROR(B29*3.6/1000000/'E Balans VL '!Z10*100),0,B29*3.6/1000000/'E Balans VL '!Z10*100)</f>
        <v>5.2403387328348712E-2</v>
      </c>
      <c r="D29" s="238" t="s">
        <v>719</v>
      </c>
      <c r="F29" s="6"/>
    </row>
    <row r="30" spans="1:18">
      <c r="A30" s="232" t="s">
        <v>50</v>
      </c>
      <c r="B30" s="33">
        <f>IF(ISERROR(TER_ander_ele_kWh/1000),0,TER_ander_ele_kWh/1000)</f>
        <v>2203.6150242621202</v>
      </c>
      <c r="C30" s="39">
        <f>IF(ISERROR(B30*3.6/1000000/'E Balans VL '!Z14*100),0,B30*3.6/1000000/'E Balans VL '!Z14*100)</f>
        <v>0.17080037307384946</v>
      </c>
      <c r="D30" s="238" t="s">
        <v>719</v>
      </c>
      <c r="F30" s="6"/>
    </row>
    <row r="31" spans="1:18">
      <c r="A31" s="232" t="s">
        <v>55</v>
      </c>
      <c r="B31" s="33">
        <f>IF(ISERROR(TER_onderwijs_ele_kWh/1000),0,TER_onderwijs_ele_kWh/1000)</f>
        <v>189.925721931955</v>
      </c>
      <c r="C31" s="39">
        <f>IF(ISERROR(B31*3.6/1000000/'E Balans VL '!Z11*100),0,B31*3.6/1000000/'E Balans VL '!Z11*100)</f>
        <v>3.6336026871398398E-2</v>
      </c>
      <c r="D31" s="238" t="s">
        <v>719</v>
      </c>
    </row>
    <row r="32" spans="1:18">
      <c r="A32" s="232" t="s">
        <v>260</v>
      </c>
      <c r="B32" s="33">
        <f>IF(ISERROR(TER_rest_ele_kWh/1000),0,TER_rest_ele_kWh/1000)</f>
        <v>2214.11596484337</v>
      </c>
      <c r="C32" s="39">
        <f>IF(ISERROR(B32*3.6/1000000/'E Balans VL '!Z8*100),0,B32*3.6/1000000/'E Balans VL '!Z8*100)</f>
        <v>1.8257086384241814E-2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6476.3527163939616</v>
      </c>
      <c r="C5" s="17">
        <f>IF(ISERROR('Eigen informatie GS &amp; warmtenet'!B59),0,'Eigen informatie GS &amp; warmtenet'!B59)</f>
        <v>0</v>
      </c>
      <c r="D5" s="30">
        <f>SUM(D6:D15)</f>
        <v>6051.566793835118</v>
      </c>
      <c r="E5" s="17">
        <f>SUM(E6:E15)</f>
        <v>75.368444184417825</v>
      </c>
      <c r="F5" s="17">
        <f>SUM(F6:F15)</f>
        <v>2581.108111025063</v>
      </c>
      <c r="G5" s="18"/>
      <c r="H5" s="17"/>
      <c r="I5" s="17"/>
      <c r="J5" s="17">
        <f>SUM(J6:J15)</f>
        <v>35.104194707841998</v>
      </c>
      <c r="K5" s="17"/>
      <c r="L5" s="17"/>
      <c r="M5" s="17"/>
      <c r="N5" s="17">
        <f>SUM(N6:N15)</f>
        <v>237.68697696727173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547.47594853369401</v>
      </c>
      <c r="C8" s="33"/>
      <c r="D8" s="37">
        <f>IF( ISERROR(IND_metaal_Gas_kWH/1000),0,IND_metaal_Gas_kWH/1000)*0.902</f>
        <v>139.62543347417474</v>
      </c>
      <c r="E8" s="33">
        <f>C30*'E Balans VL '!I18/100/3.6*1000000</f>
        <v>3.8469926952575202</v>
      </c>
      <c r="F8" s="33">
        <f>C30*'E Balans VL '!L18/100/3.6*1000000+C30*'E Balans VL '!N18/100/3.6*1000000</f>
        <v>60.109656099429202</v>
      </c>
      <c r="G8" s="34"/>
      <c r="H8" s="33"/>
      <c r="I8" s="33"/>
      <c r="J8" s="40">
        <f>C30*'E Balans VL '!D18/100/3.6*1000000+C30*'E Balans VL '!E18/100/3.6*1000000</f>
        <v>11.295608843405171</v>
      </c>
      <c r="K8" s="33"/>
      <c r="L8" s="33"/>
      <c r="M8" s="33"/>
      <c r="N8" s="33">
        <f>C30*'E Balans VL '!Y18/100/3.6*1000000</f>
        <v>2.0519792842798061</v>
      </c>
      <c r="O8" s="33"/>
      <c r="P8" s="33"/>
      <c r="R8" s="32"/>
    </row>
    <row r="9" spans="1:18">
      <c r="A9" s="6" t="s">
        <v>33</v>
      </c>
      <c r="B9" s="37">
        <f t="shared" si="0"/>
        <v>2314.4783714414998</v>
      </c>
      <c r="C9" s="33"/>
      <c r="D9" s="37">
        <f>IF( ISERROR(IND_andere_gas_kWh/1000),0,IND_andere_gas_kWh/1000)*0.902</f>
        <v>1300.4096777303828</v>
      </c>
      <c r="E9" s="33">
        <f>C31*'E Balans VL '!I19/100/3.6*1000000</f>
        <v>38.874499574891949</v>
      </c>
      <c r="F9" s="33">
        <f>C31*'E Balans VL '!L19/100/3.6*1000000+C31*'E Balans VL '!N19/100/3.6*1000000</f>
        <v>1809.3273679478195</v>
      </c>
      <c r="G9" s="34"/>
      <c r="H9" s="33"/>
      <c r="I9" s="33"/>
      <c r="J9" s="40">
        <f>C31*'E Balans VL '!D19/100/3.6*1000000+C31*'E Balans VL '!E19/100/3.6*1000000</f>
        <v>0.2087455183125641</v>
      </c>
      <c r="K9" s="33"/>
      <c r="L9" s="33"/>
      <c r="M9" s="33"/>
      <c r="N9" s="33">
        <f>C31*'E Balans VL '!Y19/100/3.6*1000000</f>
        <v>171.53997986023788</v>
      </c>
      <c r="O9" s="33"/>
      <c r="P9" s="33"/>
      <c r="R9" s="32"/>
    </row>
    <row r="10" spans="1:18">
      <c r="A10" s="6" t="s">
        <v>41</v>
      </c>
      <c r="B10" s="37">
        <f t="shared" si="0"/>
        <v>281.93601250974797</v>
      </c>
      <c r="C10" s="33"/>
      <c r="D10" s="37">
        <f>IF( ISERROR(IND_voed_gas_kWh/1000),0,IND_voed_gas_kWh/1000)*0.902</f>
        <v>498.38914911687408</v>
      </c>
      <c r="E10" s="33">
        <f>C32*'E Balans VL '!I20/100/3.6*1000000</f>
        <v>2.5722670196345754</v>
      </c>
      <c r="F10" s="33">
        <f>C32*'E Balans VL '!L20/100/3.6*1000000+C32*'E Balans VL '!N20/100/3.6*1000000</f>
        <v>45.485097260220442</v>
      </c>
      <c r="G10" s="34"/>
      <c r="H10" s="33"/>
      <c r="I10" s="33"/>
      <c r="J10" s="40">
        <f>C32*'E Balans VL '!D20/100/3.6*1000000+C32*'E Balans VL '!E20/100/3.6*1000000</f>
        <v>1.1611973457124389</v>
      </c>
      <c r="K10" s="33"/>
      <c r="L10" s="33"/>
      <c r="M10" s="33"/>
      <c r="N10" s="33">
        <f>C32*'E Balans VL '!Y20/100/3.6*1000000</f>
        <v>4.1245015502323028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3332.46238390902</v>
      </c>
      <c r="C15" s="33"/>
      <c r="D15" s="37">
        <f>IF( ISERROR(IND_rest_gas_kWh/1000),0,IND_rest_gas_kWh/1000)*0.902</f>
        <v>4113.1425335136864</v>
      </c>
      <c r="E15" s="33">
        <f>C37*'E Balans VL '!I15/100/3.6*1000000</f>
        <v>30.07468489463378</v>
      </c>
      <c r="F15" s="33">
        <f>C37*'E Balans VL '!L15/100/3.6*1000000+C37*'E Balans VL '!N15/100/3.6*1000000</f>
        <v>666.18598971759366</v>
      </c>
      <c r="G15" s="34"/>
      <c r="H15" s="33"/>
      <c r="I15" s="33"/>
      <c r="J15" s="40">
        <f>C37*'E Balans VL '!D15/100/3.6*1000000+C37*'E Balans VL '!E15/100/3.6*1000000</f>
        <v>22.438643000411819</v>
      </c>
      <c r="K15" s="33"/>
      <c r="L15" s="33"/>
      <c r="M15" s="33"/>
      <c r="N15" s="33">
        <f>C37*'E Balans VL '!Y15/100/3.6*1000000</f>
        <v>59.970516272521735</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6476.3527163939616</v>
      </c>
      <c r="C18" s="21">
        <f>C5+C16</f>
        <v>0</v>
      </c>
      <c r="D18" s="21">
        <f>MAX((D5+D16),0)</f>
        <v>6051.566793835118</v>
      </c>
      <c r="E18" s="21">
        <f>MAX((E5+E16),0)</f>
        <v>75.368444184417825</v>
      </c>
      <c r="F18" s="21">
        <f>MAX((F5+F16),0)</f>
        <v>2581.108111025063</v>
      </c>
      <c r="G18" s="21"/>
      <c r="H18" s="21"/>
      <c r="I18" s="21"/>
      <c r="J18" s="21">
        <f>MAX((J5+J16),0)</f>
        <v>35.104194707841998</v>
      </c>
      <c r="K18" s="21"/>
      <c r="L18" s="21">
        <f>MAX((L5+L16),0)</f>
        <v>0</v>
      </c>
      <c r="M18" s="21"/>
      <c r="N18" s="21">
        <f>MAX((N5+N16),0)</f>
        <v>237.68697696727173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0.21930194914531512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1420.2767740577519</v>
      </c>
      <c r="C22" s="23">
        <f ca="1">C18*C20</f>
        <v>0</v>
      </c>
      <c r="D22" s="23">
        <f>D18*D20</f>
        <v>1222.4164923546939</v>
      </c>
      <c r="E22" s="23">
        <f>E18*E20</f>
        <v>17.108636829862846</v>
      </c>
      <c r="F22" s="23">
        <f>F18*F20</f>
        <v>689.15586564369187</v>
      </c>
      <c r="G22" s="23"/>
      <c r="H22" s="23"/>
      <c r="I22" s="23"/>
      <c r="J22" s="23">
        <f>J18*J20</f>
        <v>12.426884926576067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547.47594853369401</v>
      </c>
      <c r="C30" s="39">
        <f>IF(ISERROR(B30*3.6/1000000/'E Balans VL '!Z18*100),0,B30*3.6/1000000/'E Balans VL '!Z18*100)</f>
        <v>3.6445808210717343E-2</v>
      </c>
      <c r="D30" s="238" t="s">
        <v>719</v>
      </c>
    </row>
    <row r="31" spans="1:18">
      <c r="A31" s="6" t="s">
        <v>33</v>
      </c>
      <c r="B31" s="37">
        <f>IF( ISERROR(IND_ander_ele_kWh/1000),0,IND_ander_ele_kWh/1000)</f>
        <v>2314.4783714414998</v>
      </c>
      <c r="C31" s="39">
        <f>IF(ISERROR(B31*3.6/1000000/'E Balans VL '!Z19*100),0,B31*3.6/1000000/'E Balans VL '!Z19*100)</f>
        <v>0.10259165405122606</v>
      </c>
      <c r="D31" s="238" t="s">
        <v>719</v>
      </c>
    </row>
    <row r="32" spans="1:18">
      <c r="A32" s="172" t="s">
        <v>41</v>
      </c>
      <c r="B32" s="37">
        <f>IF( ISERROR(IND_voed_ele_kWh/1000),0,IND_voed_ele_kWh/1000)</f>
        <v>281.93601250974797</v>
      </c>
      <c r="C32" s="39">
        <f>IF(ISERROR(B32*3.6/1000000/'E Balans VL '!Z20*100),0,B32*3.6/1000000/'E Balans VL '!Z20*100)</f>
        <v>9.4174715875702114E-3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3332.46238390902</v>
      </c>
      <c r="C37" s="39">
        <f>IF(ISERROR(B37*3.6/1000000/'E Balans VL '!Z15*100),0,B37*3.6/1000000/'E Balans VL '!Z15*100)</f>
        <v>2.4788091090663263E-2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11634.0668632208</v>
      </c>
      <c r="C5" s="17">
        <f>'Eigen informatie GS &amp; warmtenet'!B60</f>
        <v>0</v>
      </c>
      <c r="D5" s="30">
        <f>IF(ISERROR(SUM(LB_lb_gas_kWh,LB_rest_gas_kWh)/1000),0,SUM(LB_lb_gas_kWh,LB_rest_gas_kWh)/1000)*0.902</f>
        <v>123925.73755409209</v>
      </c>
      <c r="E5" s="17">
        <f>B17*'E Balans VL '!I25/3.6*1000000/100</f>
        <v>121.83446686441319</v>
      </c>
      <c r="F5" s="17">
        <f>B17*('E Balans VL '!L25/3.6*1000000+'E Balans VL '!N25/3.6*1000000)/100</f>
        <v>49802.646187965169</v>
      </c>
      <c r="G5" s="18"/>
      <c r="H5" s="17"/>
      <c r="I5" s="17"/>
      <c r="J5" s="17">
        <f>('E Balans VL '!D25+'E Balans VL '!E25)/3.6*1000000*landbouw!B17/100</f>
        <v>1039.0264488058583</v>
      </c>
      <c r="K5" s="17"/>
      <c r="L5" s="17">
        <f>L6*(-1)</f>
        <v>0</v>
      </c>
      <c r="M5" s="17"/>
      <c r="N5" s="17">
        <f>N6*(-1)</f>
        <v>0</v>
      </c>
      <c r="O5" s="17"/>
      <c r="P5" s="17"/>
      <c r="R5" s="32"/>
    </row>
    <row r="6" spans="1:18">
      <c r="A6" s="16" t="s">
        <v>496</v>
      </c>
      <c r="B6" s="17" t="s">
        <v>211</v>
      </c>
      <c r="C6" s="17">
        <f>'lokale energieproductie'!O92+'lokale energieproductie'!O61</f>
        <v>70290</v>
      </c>
      <c r="D6" s="311">
        <f>('lokale energieproductie'!P61+'lokale energieproductie'!P92)*(-1)</f>
        <v>-140580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11634.0668632208</v>
      </c>
      <c r="C8" s="21">
        <f>C5+C6</f>
        <v>70290</v>
      </c>
      <c r="D8" s="21">
        <f>MAX((D5+D6),0)</f>
        <v>0</v>
      </c>
      <c r="E8" s="21">
        <f>MAX((E5+E6),0)</f>
        <v>121.83446686441319</v>
      </c>
      <c r="F8" s="21">
        <f>MAX((F5+F6),0)</f>
        <v>49802.646187965169</v>
      </c>
      <c r="G8" s="21"/>
      <c r="H8" s="21"/>
      <c r="I8" s="21"/>
      <c r="J8" s="21">
        <f>MAX((J5+J6),0)</f>
        <v>1039.0264488058583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0.21930194914531512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2551.3735395912436</v>
      </c>
      <c r="C12" s="23">
        <f ca="1">C8*C10</f>
        <v>16704.211764705884</v>
      </c>
      <c r="D12" s="23">
        <f>D8*D10</f>
        <v>0</v>
      </c>
      <c r="E12" s="23">
        <f>E8*E10</f>
        <v>27.656423978221795</v>
      </c>
      <c r="F12" s="23">
        <f>F8*F10</f>
        <v>13297.306532186702</v>
      </c>
      <c r="G12" s="23"/>
      <c r="H12" s="23"/>
      <c r="I12" s="23"/>
      <c r="J12" s="23">
        <f>J8*J10</f>
        <v>367.8153628772738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1.790707469241988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1810.5733074594873</v>
      </c>
      <c r="C26" s="248">
        <f>B26*'GWP N2O_CH4'!B5</f>
        <v>38022.039456649232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1011.7408818758424</v>
      </c>
      <c r="C27" s="248">
        <f>B27*'GWP N2O_CH4'!B5</f>
        <v>21246.558519392693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26.473680506895082</v>
      </c>
      <c r="C28" s="248">
        <f>B28*'GWP N2O_CH4'!B4</f>
        <v>8206.8409571374759</v>
      </c>
      <c r="D28" s="50"/>
    </row>
    <row r="29" spans="1:4">
      <c r="A29" s="41" t="s">
        <v>277</v>
      </c>
      <c r="B29" s="248">
        <f>B34*'ha_N2O bodem landbouw'!B4</f>
        <v>53.181635644296023</v>
      </c>
      <c r="C29" s="248">
        <f>B29*'GWP N2O_CH4'!B4</f>
        <v>16486.307049731768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8.7889637616943329E-3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5.0361854823607689E-6</v>
      </c>
      <c r="C5" s="446" t="s">
        <v>211</v>
      </c>
      <c r="D5" s="431">
        <f>SUM(D6:D11)</f>
        <v>2.3440700420640147E-5</v>
      </c>
      <c r="E5" s="431">
        <f>SUM(E6:E11)</f>
        <v>2.7251671272150862E-3</v>
      </c>
      <c r="F5" s="444" t="s">
        <v>211</v>
      </c>
      <c r="G5" s="431">
        <f>SUM(G6:G11)</f>
        <v>0.62374981388277395</v>
      </c>
      <c r="H5" s="431">
        <f>SUM(H6:H11)</f>
        <v>8.0857201564132217E-2</v>
      </c>
      <c r="I5" s="446" t="s">
        <v>211</v>
      </c>
      <c r="J5" s="446" t="s">
        <v>211</v>
      </c>
      <c r="K5" s="446" t="s">
        <v>211</v>
      </c>
      <c r="L5" s="446" t="s">
        <v>211</v>
      </c>
      <c r="M5" s="431">
        <f>SUM(M6:M11)</f>
        <v>3.0675810018445139E-2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1.9773226869108768E-6</v>
      </c>
      <c r="C6" s="432"/>
      <c r="D6" s="432">
        <f>vkm_2011_GW_PW*SUMIFS(TableVerdeelsleutelVkm[CNG],TableVerdeelsleutelVkm[Voertuigtype],"Lichte voertuigen")*SUMIFS(TableECFTransport[EnergieConsumptieFactor (PJ per km)],TableECFTransport[Index],CONCATENATE($A6,"_CNG_CNG"))</f>
        <v>8.5240082595374344E-6</v>
      </c>
      <c r="E6" s="434">
        <f>vkm_2011_GW_PW*SUMIFS(TableVerdeelsleutelVkm[LPG],TableVerdeelsleutelVkm[Voertuigtype],"Lichte voertuigen")*SUMIFS(TableECFTransport[EnergieConsumptieFactor (PJ per km)],TableECFTransport[Index],CONCATENATE($A6,"_LPG_LPG"))</f>
        <v>8.8687075718791458E-4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0.10908753784167829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2.87204880904776E-2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6.0394083733419628E-3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4.6111562955063155E-2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1.5811015939517069E-5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1.9919331215721013E-3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3.8397392893818679E-7</v>
      </c>
      <c r="C8" s="432"/>
      <c r="D8" s="434">
        <f>vkm_2011_NGW_PW*SUMIFS(TableVerdeelsleutelVkm[CNG],TableVerdeelsleutelVkm[Voertuigtype],"Lichte voertuigen")*SUMIFS(TableECFTransport[EnergieConsumptieFactor (PJ per km)],TableECFTransport[Index],CONCATENATE($A8,"_CNG_CNG"))</f>
        <v>2.9695892697187564E-6</v>
      </c>
      <c r="E8" s="434">
        <f>vkm_2011_NGW_PW*SUMIFS(TableVerdeelsleutelVkm[LPG],TableVerdeelsleutelVkm[Voertuigtype],"Lichte voertuigen")*SUMIFS(TableECFTransport[EnergieConsumptieFactor (PJ per km)],TableECFTransport[Index],CONCATENATE($A8,"_LPG_LPG"))</f>
        <v>2.8211028228183226E-4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3.2912481611717018E-2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9.5510540802902708E-3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1.8631176964523223E-3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3.9253684150389184E-3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1.1692641271766923E-6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1.6956038603669878E-4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2.6748888665117054E-6</v>
      </c>
      <c r="C10" s="432"/>
      <c r="D10" s="434">
        <f>vkm_2011_SW_PW*SUMIFS(TableVerdeelsleutelVkm[CNG],TableVerdeelsleutelVkm[Voertuigtype],"Lichte voertuigen")*SUMIFS(TableECFTransport[EnergieConsumptieFactor (PJ per km)],TableECFTransport[Index],CONCATENATE($A10,"_CNG_CNG"))</f>
        <v>1.1947102891383958E-5</v>
      </c>
      <c r="E10" s="434">
        <f>vkm_2011_SW_PW*SUMIFS(TableVerdeelsleutelVkm[LPG],TableVerdeelsleutelVkm[Voertuigtype],"Lichte voertuigen")*SUMIFS(TableECFTransport[EnergieConsumptieFactor (PJ per km)],TableECFTransport[Index],CONCATENATE($A10,"_LPG_LPG"))</f>
        <v>1.5561860877453396E-3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0.17597570214638492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4.2475118801683275E-2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9.5641526074677543E-3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0.25573716091289161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9.3560311614373308E-5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1.1047637833574297E-2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1.3989404117668802</v>
      </c>
      <c r="C14" s="21"/>
      <c r="D14" s="21">
        <f t="shared" ref="D14:M14" si="0">((D5)*10^9/3600)+D12</f>
        <v>6.5113056724000407</v>
      </c>
      <c r="E14" s="21">
        <f t="shared" si="0"/>
        <v>756.99086867085725</v>
      </c>
      <c r="F14" s="21"/>
      <c r="G14" s="21">
        <f t="shared" si="0"/>
        <v>173263.83718965945</v>
      </c>
      <c r="H14" s="21">
        <f t="shared" si="0"/>
        <v>22460.333767814504</v>
      </c>
      <c r="I14" s="21"/>
      <c r="J14" s="21"/>
      <c r="K14" s="21"/>
      <c r="L14" s="21"/>
      <c r="M14" s="21">
        <f t="shared" si="0"/>
        <v>8521.0583384569836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0.21930194914531512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0.30679035903862656</v>
      </c>
      <c r="C18" s="23"/>
      <c r="D18" s="23">
        <f t="shared" ref="D18:M18" si="1">D14*D16</f>
        <v>1.3152837458248083</v>
      </c>
      <c r="E18" s="23">
        <f t="shared" si="1"/>
        <v>171.83692718828459</v>
      </c>
      <c r="F18" s="23"/>
      <c r="G18" s="23">
        <f t="shared" si="1"/>
        <v>46261.444529639077</v>
      </c>
      <c r="H18" s="23">
        <f t="shared" si="1"/>
        <v>5592.6231081858114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7.6920700816942899E-3</v>
      </c>
      <c r="H50" s="322">
        <f t="shared" si="2"/>
        <v>0</v>
      </c>
      <c r="I50" s="322">
        <f t="shared" si="2"/>
        <v>0</v>
      </c>
      <c r="J50" s="322">
        <f t="shared" si="2"/>
        <v>0</v>
      </c>
      <c r="K50" s="322">
        <f t="shared" si="2"/>
        <v>0</v>
      </c>
      <c r="L50" s="322">
        <f t="shared" si="2"/>
        <v>0</v>
      </c>
      <c r="M50" s="322">
        <f t="shared" si="2"/>
        <v>3.2787952956440751E-4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7.6920700816942899E-3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3.2787952956440751E-4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2136.6861338039694</v>
      </c>
      <c r="H54" s="21">
        <f t="shared" si="3"/>
        <v>0</v>
      </c>
      <c r="I54" s="21">
        <f t="shared" si="3"/>
        <v>0</v>
      </c>
      <c r="J54" s="21">
        <f t="shared" si="3"/>
        <v>0</v>
      </c>
      <c r="K54" s="21">
        <f t="shared" si="3"/>
        <v>0</v>
      </c>
      <c r="L54" s="21">
        <f t="shared" si="3"/>
        <v>0</v>
      </c>
      <c r="M54" s="21">
        <f t="shared" si="3"/>
        <v>91.077647101224315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0.21930194914531512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570.49519772565986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4293.9281119004181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49203</v>
      </c>
      <c r="C8" s="557">
        <f>B101</f>
        <v>57885.882352941175</v>
      </c>
      <c r="D8" s="985"/>
      <c r="E8" s="985">
        <f>E101</f>
        <v>0</v>
      </c>
      <c r="F8" s="986"/>
      <c r="G8" s="558"/>
      <c r="H8" s="985">
        <f>I101</f>
        <v>0</v>
      </c>
      <c r="I8" s="985">
        <f>G101+F101</f>
        <v>0</v>
      </c>
      <c r="J8" s="985">
        <f>H101+D101+C101</f>
        <v>0</v>
      </c>
      <c r="K8" s="985"/>
      <c r="L8" s="985"/>
      <c r="M8" s="985"/>
      <c r="N8" s="559"/>
      <c r="O8" s="560">
        <f>C8*$C$12+D8*$D$12+E8*$E$12+F8*$F$12+G8*$G$12+H8*$H$12+I8*$I$12+J8*$J$12</f>
        <v>11692.948235294118</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53496.928111900415</v>
      </c>
      <c r="C10" s="569">
        <f t="shared" ref="C10:L10" si="0">SUM(C8:C9)</f>
        <v>57885.882352941175</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11692.948235294118</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70290</v>
      </c>
      <c r="C17" s="581">
        <f>B102</f>
        <v>82694.117647058825</v>
      </c>
      <c r="D17" s="582"/>
      <c r="E17" s="582">
        <f>E102</f>
        <v>0</v>
      </c>
      <c r="F17" s="583"/>
      <c r="G17" s="584"/>
      <c r="H17" s="581">
        <f>I102</f>
        <v>0</v>
      </c>
      <c r="I17" s="582">
        <f>G102+F102</f>
        <v>0</v>
      </c>
      <c r="J17" s="582">
        <f>H102+D102+C102</f>
        <v>0</v>
      </c>
      <c r="K17" s="582"/>
      <c r="L17" s="582"/>
      <c r="M17" s="582"/>
      <c r="N17" s="981"/>
      <c r="O17" s="585">
        <f>C17*$C$22+E17*$E$22+H17*$H$22+I17*$I$22+J17*$J$22+D17*$D$22+F17*$F$22+G17*$G$22+K17*$K$22+L17*$L$22</f>
        <v>16704.211764705884</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70290</v>
      </c>
      <c r="C20" s="568">
        <f>SUM(C17:C19)</f>
        <v>82694.117647058825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16704.211764705884</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11053</v>
      </c>
      <c r="C28" s="788">
        <v>2990</v>
      </c>
      <c r="D28" s="641" t="s">
        <v>965</v>
      </c>
      <c r="E28" s="640" t="s">
        <v>966</v>
      </c>
      <c r="F28" s="640" t="s">
        <v>967</v>
      </c>
      <c r="G28" s="640" t="s">
        <v>968</v>
      </c>
      <c r="H28" s="640" t="s">
        <v>969</v>
      </c>
      <c r="I28" s="640" t="s">
        <v>970</v>
      </c>
      <c r="J28" s="787">
        <v>39778</v>
      </c>
      <c r="K28" s="787">
        <v>39806</v>
      </c>
      <c r="L28" s="640" t="s">
        <v>971</v>
      </c>
      <c r="M28" s="640">
        <v>801</v>
      </c>
      <c r="N28" s="640">
        <v>3604.5</v>
      </c>
      <c r="O28" s="640">
        <v>5149.2857142857147</v>
      </c>
      <c r="P28" s="640">
        <v>10298.571428571429</v>
      </c>
      <c r="Q28" s="640">
        <v>0</v>
      </c>
      <c r="R28" s="640">
        <v>0</v>
      </c>
      <c r="S28" s="640">
        <v>0</v>
      </c>
      <c r="T28" s="640">
        <v>0</v>
      </c>
      <c r="U28" s="640">
        <v>0</v>
      </c>
      <c r="V28" s="640">
        <v>0</v>
      </c>
      <c r="W28" s="640">
        <v>0</v>
      </c>
      <c r="X28" s="640">
        <v>10</v>
      </c>
      <c r="Y28" s="640" t="s">
        <v>112</v>
      </c>
      <c r="Z28" s="642" t="s">
        <v>112</v>
      </c>
    </row>
    <row r="29" spans="1:26" s="594" customFormat="1" ht="25.5">
      <c r="A29" s="593"/>
      <c r="B29" s="788">
        <v>11053</v>
      </c>
      <c r="C29" s="788">
        <v>2990</v>
      </c>
      <c r="D29" s="641" t="s">
        <v>972</v>
      </c>
      <c r="E29" s="640" t="s">
        <v>973</v>
      </c>
      <c r="F29" s="640" t="s">
        <v>974</v>
      </c>
      <c r="G29" s="640" t="s">
        <v>968</v>
      </c>
      <c r="H29" s="640" t="s">
        <v>969</v>
      </c>
      <c r="I29" s="640" t="s">
        <v>973</v>
      </c>
      <c r="J29" s="787">
        <v>39798</v>
      </c>
      <c r="K29" s="787">
        <v>39798</v>
      </c>
      <c r="L29" s="640" t="s">
        <v>971</v>
      </c>
      <c r="M29" s="640">
        <v>1558</v>
      </c>
      <c r="N29" s="640">
        <v>7011</v>
      </c>
      <c r="O29" s="640">
        <v>10015.714285714286</v>
      </c>
      <c r="P29" s="640">
        <v>20031.428571428572</v>
      </c>
      <c r="Q29" s="640">
        <v>0</v>
      </c>
      <c r="R29" s="640">
        <v>0</v>
      </c>
      <c r="S29" s="640">
        <v>0</v>
      </c>
      <c r="T29" s="640">
        <v>0</v>
      </c>
      <c r="U29" s="640">
        <v>0</v>
      </c>
      <c r="V29" s="640">
        <v>0</v>
      </c>
      <c r="W29" s="640">
        <v>0</v>
      </c>
      <c r="X29" s="640">
        <v>10</v>
      </c>
      <c r="Y29" s="640" t="s">
        <v>112</v>
      </c>
      <c r="Z29" s="642" t="s">
        <v>112</v>
      </c>
    </row>
    <row r="30" spans="1:26" s="594" customFormat="1" ht="38.25">
      <c r="A30" s="593"/>
      <c r="B30" s="788">
        <v>11053</v>
      </c>
      <c r="C30" s="788">
        <v>2990</v>
      </c>
      <c r="D30" s="641" t="s">
        <v>975</v>
      </c>
      <c r="E30" s="640" t="s">
        <v>976</v>
      </c>
      <c r="F30" s="640" t="s">
        <v>977</v>
      </c>
      <c r="G30" s="640" t="s">
        <v>968</v>
      </c>
      <c r="H30" s="640" t="s">
        <v>969</v>
      </c>
      <c r="I30" s="640" t="s">
        <v>976</v>
      </c>
      <c r="J30" s="787">
        <v>40259</v>
      </c>
      <c r="K30" s="787">
        <v>39255</v>
      </c>
      <c r="L30" s="640" t="s">
        <v>971</v>
      </c>
      <c r="M30" s="640">
        <v>3435</v>
      </c>
      <c r="N30" s="640">
        <v>15457.5</v>
      </c>
      <c r="O30" s="640">
        <v>22082.142857142859</v>
      </c>
      <c r="P30" s="640">
        <v>44164.285714285717</v>
      </c>
      <c r="Q30" s="640">
        <v>0</v>
      </c>
      <c r="R30" s="640">
        <v>0</v>
      </c>
      <c r="S30" s="640">
        <v>0</v>
      </c>
      <c r="T30" s="640">
        <v>0</v>
      </c>
      <c r="U30" s="640">
        <v>0</v>
      </c>
      <c r="V30" s="640">
        <v>0</v>
      </c>
      <c r="W30" s="640">
        <v>0</v>
      </c>
      <c r="X30" s="640">
        <v>10</v>
      </c>
      <c r="Y30" s="640" t="s">
        <v>112</v>
      </c>
      <c r="Z30" s="642" t="s">
        <v>112</v>
      </c>
    </row>
    <row r="31" spans="1:26" s="594" customFormat="1" ht="25.5">
      <c r="A31" s="593"/>
      <c r="B31" s="788">
        <v>11053</v>
      </c>
      <c r="C31" s="788">
        <v>2990</v>
      </c>
      <c r="D31" s="641" t="s">
        <v>978</v>
      </c>
      <c r="E31" s="640" t="s">
        <v>979</v>
      </c>
      <c r="F31" s="640" t="s">
        <v>980</v>
      </c>
      <c r="G31" s="640" t="s">
        <v>968</v>
      </c>
      <c r="H31" s="640" t="s">
        <v>969</v>
      </c>
      <c r="I31" s="640" t="s">
        <v>979</v>
      </c>
      <c r="J31" s="787">
        <v>39623</v>
      </c>
      <c r="K31" s="787">
        <v>39623</v>
      </c>
      <c r="L31" s="640" t="s">
        <v>971</v>
      </c>
      <c r="M31" s="640">
        <v>5140</v>
      </c>
      <c r="N31" s="640">
        <v>23130</v>
      </c>
      <c r="O31" s="640">
        <v>33042.857142857145</v>
      </c>
      <c r="P31" s="640">
        <v>66085.71428571429</v>
      </c>
      <c r="Q31" s="640">
        <v>0</v>
      </c>
      <c r="R31" s="640">
        <v>0</v>
      </c>
      <c r="S31" s="640">
        <v>0</v>
      </c>
      <c r="T31" s="640">
        <v>0</v>
      </c>
      <c r="U31" s="640">
        <v>0</v>
      </c>
      <c r="V31" s="640">
        <v>0</v>
      </c>
      <c r="W31" s="640">
        <v>0</v>
      </c>
      <c r="X31" s="640">
        <v>10</v>
      </c>
      <c r="Y31" s="640" t="s">
        <v>112</v>
      </c>
      <c r="Z31" s="642" t="s">
        <v>112</v>
      </c>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10934</v>
      </c>
      <c r="N58" s="598">
        <f>SUM(N28:N57)</f>
        <v>49203</v>
      </c>
      <c r="O58" s="598">
        <f t="shared" ref="O58:W58" si="2">SUM(O28:O57)</f>
        <v>70290</v>
      </c>
      <c r="P58" s="598">
        <f t="shared" si="2"/>
        <v>140580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10934</v>
      </c>
      <c r="N61" s="603">
        <f t="shared" si="4"/>
        <v>49203</v>
      </c>
      <c r="O61" s="603">
        <f t="shared" si="4"/>
        <v>70290</v>
      </c>
      <c r="P61" s="603">
        <f t="shared" si="4"/>
        <v>140580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57885.882352941175</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82694.117647058825</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2019-08-12T09:19:17Z</dcterms:modified>
</cp:coreProperties>
</file>