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6"/>
  <c r="B5"/>
  <c r="B4"/>
  <c r="C98" l="1"/>
  <c r="B101" s="1"/>
  <c r="C8" s="1"/>
  <c r="D76" i="14" s="1"/>
  <c r="B17" i="18"/>
  <c r="B20" s="1"/>
  <c r="G20"/>
  <c r="O18"/>
  <c r="B8"/>
  <c r="B10" s="1"/>
  <c r="L20"/>
  <c r="O19"/>
  <c r="I101"/>
  <c r="H8" s="1"/>
  <c r="H10" s="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Q14" s="1"/>
  <c r="R90" i="14"/>
  <c r="H90"/>
  <c r="R78"/>
  <c r="J56"/>
  <c r="I56"/>
  <c r="P52"/>
  <c r="R44"/>
  <c r="P26"/>
  <c r="H26"/>
  <c r="E25"/>
  <c r="D14" i="48" s="1"/>
  <c r="Q26" i="14"/>
  <c r="N26"/>
  <c r="J26"/>
  <c r="I26"/>
  <c r="J22"/>
  <c r="R12"/>
  <c r="D5" i="17"/>
  <c r="D8" i="55" l="1"/>
  <c r="G78" i="14"/>
  <c r="G9" i="55"/>
  <c r="G10" s="1"/>
  <c r="E90" i="14"/>
  <c r="E18" i="55"/>
  <c r="L78" i="14"/>
  <c r="L8" i="55"/>
  <c r="E55" i="14"/>
  <c r="M22"/>
  <c r="O28" i="48"/>
  <c r="O25"/>
  <c r="R25" i="14"/>
  <c r="G22"/>
  <c r="O22"/>
  <c r="P22"/>
  <c r="M76"/>
  <c r="M8" i="55" s="1"/>
  <c r="M10" s="1"/>
  <c r="E101" i="18"/>
  <c r="E8" s="1"/>
  <c r="L90" i="14"/>
  <c r="H10" i="55"/>
  <c r="E20"/>
  <c r="G20"/>
  <c r="O20"/>
  <c r="H101" i="18"/>
  <c r="J8" s="1"/>
  <c r="N78" i="14"/>
  <c r="N9" i="55"/>
  <c r="N10" s="1"/>
  <c r="D22" i="14"/>
  <c r="D10" i="55"/>
  <c r="L10"/>
  <c r="K20"/>
  <c r="F101" i="18"/>
  <c r="I8" s="1"/>
  <c r="O78" i="14"/>
  <c r="O9" i="55"/>
  <c r="C77" i="14"/>
  <c r="C9" i="55" s="1"/>
  <c r="F9"/>
  <c r="M90" i="14"/>
  <c r="M17" i="55"/>
  <c r="M20" s="1"/>
  <c r="F90" i="14"/>
  <c r="F18" i="55"/>
  <c r="F20" s="1"/>
  <c r="N90" i="14"/>
  <c r="N18" i="55"/>
  <c r="N20" s="1"/>
  <c r="P32" i="48"/>
  <c r="L22" i="14"/>
  <c r="P31" i="48"/>
  <c r="R9" i="14"/>
  <c r="E10" i="55"/>
  <c r="O10"/>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P9" i="55" l="1"/>
  <c r="O17" i="18"/>
  <c r="O20" s="1"/>
  <c r="M78" i="14"/>
  <c r="E10" i="18"/>
  <c r="F76" i="14"/>
  <c r="I10" i="18"/>
  <c r="I76" i="14"/>
  <c r="I8" i="55" s="1"/>
  <c r="I10" s="1"/>
  <c r="J20" i="18"/>
  <c r="J87" i="14"/>
  <c r="I20" i="18"/>
  <c r="I87" i="14"/>
  <c r="I17" i="55" s="1"/>
  <c r="I20" s="1"/>
  <c r="O8" i="18"/>
  <c r="O10" s="1"/>
  <c r="J10"/>
  <c r="J76" i="14"/>
  <c r="Q87"/>
  <c r="D90"/>
  <c r="F8" i="55" l="1"/>
  <c r="F10" s="1"/>
  <c r="F78" i="14"/>
  <c r="Q76"/>
  <c r="J78"/>
  <c r="J8" i="55"/>
  <c r="J10" s="1"/>
  <c r="Q90" i="14"/>
  <c r="B17" i="6" s="1"/>
  <c r="P17" i="55"/>
  <c r="P20" s="1"/>
  <c r="J90" i="14"/>
  <c r="J17" i="55"/>
  <c r="J20" s="1"/>
  <c r="I78" i="14"/>
  <c r="C76"/>
  <c r="B76"/>
  <c r="I90"/>
  <c r="B87"/>
  <c r="C87"/>
  <c r="H14" i="15"/>
  <c r="H16" s="1"/>
  <c r="G14"/>
  <c r="G16" s="1"/>
  <c r="C90" i="14" l="1"/>
  <c r="C17" i="55"/>
  <c r="C20" s="1"/>
  <c r="H5" i="48"/>
  <c r="I10" i="14"/>
  <c r="I16" s="1"/>
  <c r="B90"/>
  <c r="B17" i="55"/>
  <c r="B20" s="1"/>
  <c r="G5" i="48"/>
  <c r="H10" i="14"/>
  <c r="H16" s="1"/>
  <c r="P8" i="55"/>
  <c r="P10" s="1"/>
  <c r="Q78" i="14"/>
  <c r="B9" i="6" s="1"/>
  <c r="C78" i="14"/>
  <c r="C8" i="55"/>
  <c r="C10" s="1"/>
  <c r="B78" i="14"/>
  <c r="B8" i="55"/>
  <c r="B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M25" i="48"/>
  <c r="M32"/>
  <c r="M30"/>
  <c r="M24"/>
  <c r="M29"/>
  <c r="M22"/>
  <c r="M26"/>
  <c r="K5"/>
  <c r="L10" i="14"/>
  <c r="L16" s="1"/>
  <c r="L27" s="1"/>
  <c r="D22" i="48"/>
  <c r="D30"/>
  <c r="D24"/>
  <c r="D32"/>
  <c r="D28"/>
  <c r="D31"/>
  <c r="D29"/>
  <c r="L27"/>
  <c r="L22"/>
  <c r="L30"/>
  <c r="L24"/>
  <c r="L32"/>
  <c r="L28"/>
  <c r="L31"/>
  <c r="L29"/>
  <c r="Q10" i="14"/>
  <c r="P5" i="48"/>
  <c r="P23" s="1"/>
  <c r="F32"/>
  <c r="F24"/>
  <c r="F30"/>
  <c r="F31"/>
  <c r="F29"/>
  <c r="F28"/>
  <c r="F27"/>
  <c r="B7"/>
  <c r="C24" i="14"/>
  <c r="C26" s="1"/>
  <c r="Q11"/>
  <c r="P4" i="48"/>
  <c r="O4"/>
  <c r="P11" i="14"/>
  <c r="I32" i="48"/>
  <c r="I30"/>
  <c r="I24"/>
  <c r="I26"/>
  <c r="I31"/>
  <c r="I28"/>
  <c r="I29"/>
  <c r="I22"/>
  <c r="I27"/>
  <c r="I25"/>
  <c r="B8" i="9"/>
  <c r="B6" i="48" s="1"/>
  <c r="Q6" s="1"/>
  <c r="N32"/>
  <c r="N31"/>
  <c r="N28"/>
  <c r="N27"/>
  <c r="N29"/>
  <c r="N24"/>
  <c r="N30"/>
  <c r="I5"/>
  <c r="J10" i="14"/>
  <c r="J16" s="1"/>
  <c r="J27" s="1"/>
  <c r="J32" i="48"/>
  <c r="J31"/>
  <c r="J24"/>
  <c r="J30"/>
  <c r="J28"/>
  <c r="J29"/>
  <c r="J27"/>
  <c r="H12" i="22"/>
  <c r="I18" i="14"/>
  <c r="H13" i="48"/>
  <c r="H31" s="1"/>
  <c r="D4"/>
  <c r="E11" i="14"/>
  <c r="H30" i="48"/>
  <c r="H32"/>
  <c r="H26"/>
  <c r="H29"/>
  <c r="H28"/>
  <c r="H25"/>
  <c r="H22"/>
  <c r="H24"/>
  <c r="H23"/>
  <c r="C18" i="16"/>
  <c r="C8" i="48" s="1"/>
  <c r="N10" i="14"/>
  <c r="N16" s="1"/>
  <c r="M5" i="48"/>
  <c r="E30"/>
  <c r="E24"/>
  <c r="E32"/>
  <c r="E28"/>
  <c r="E29"/>
  <c r="E31"/>
  <c r="K30"/>
  <c r="K32"/>
  <c r="K31"/>
  <c r="K26"/>
  <c r="K24"/>
  <c r="K25"/>
  <c r="K22"/>
  <c r="K27"/>
  <c r="K29"/>
  <c r="K28"/>
  <c r="B10"/>
  <c r="C19" i="14"/>
  <c r="C4" i="48"/>
  <c r="D11" i="14"/>
  <c r="G30" i="48"/>
  <c r="G32"/>
  <c r="G25"/>
  <c r="G26"/>
  <c r="G24"/>
  <c r="G22"/>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Q16" i="14" l="1"/>
  <c r="Q27" s="1"/>
  <c r="I33" i="48"/>
  <c r="M23"/>
  <c r="G12" i="22"/>
  <c r="G13" i="48"/>
  <c r="H18" i="14"/>
  <c r="R18" s="1"/>
  <c r="L46"/>
  <c r="L61" s="1"/>
  <c r="L63" s="1"/>
  <c r="D13"/>
  <c r="J63"/>
  <c r="K15" i="48"/>
  <c r="K23"/>
  <c r="P10" i="14"/>
  <c r="O5" i="48"/>
  <c r="O23" s="1"/>
  <c r="N18" i="14"/>
  <c r="M13" i="48"/>
  <c r="M31" s="1"/>
  <c r="H9"/>
  <c r="I20" i="14"/>
  <c r="I22" s="1"/>
  <c r="I27" s="1"/>
  <c r="I23" i="48"/>
  <c r="I15"/>
  <c r="P22" i="16"/>
  <c r="Q43" i="14" s="1"/>
  <c r="P8" i="48"/>
  <c r="P26" s="1"/>
  <c r="Q13" i="14"/>
  <c r="P22" i="48"/>
  <c r="K33"/>
  <c r="G11" i="14"/>
  <c r="F4" i="48"/>
  <c r="F22" s="1"/>
  <c r="O22"/>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O11"/>
  <c r="N4" i="48"/>
  <c r="N22" s="1"/>
  <c r="J4"/>
  <c r="J22" s="1"/>
  <c r="K11" i="14"/>
  <c r="G9" i="48"/>
  <c r="H20" i="14"/>
  <c r="B9" i="48"/>
  <c r="C20" i="14"/>
  <c r="F20"/>
  <c r="F22" s="1"/>
  <c r="E9" i="48"/>
  <c r="E27" s="1"/>
  <c r="H27"/>
  <c r="H33" s="1"/>
  <c r="H15"/>
  <c r="P46" i="14"/>
  <c r="P61" s="1"/>
  <c r="C15" i="48"/>
  <c r="G10"/>
  <c r="H19" i="14"/>
  <c r="R19" s="1"/>
  <c r="D9" i="48"/>
  <c r="D27" s="1"/>
  <c r="E20" i="14"/>
  <c r="E22" s="1"/>
  <c r="O8" i="48"/>
  <c r="P13" i="14"/>
  <c r="P16" s="1"/>
  <c r="P27" s="1"/>
  <c r="Q46"/>
  <c r="Q61" s="1"/>
  <c r="Q63" s="1"/>
  <c r="E10"/>
  <c r="P15" i="48"/>
  <c r="M10"/>
  <c r="M28" s="1"/>
  <c r="N19" i="14"/>
  <c r="E12" i="13"/>
  <c r="F41" i="14" s="1"/>
  <c r="E4" i="48"/>
  <c r="F11" i="14"/>
  <c r="R11" s="1"/>
  <c r="G31" i="48"/>
  <c r="Q13"/>
  <c r="P33"/>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8" i="48"/>
  <c r="Q10"/>
  <c r="H52" i="14"/>
  <c r="H61" s="1"/>
  <c r="B15" i="48"/>
  <c r="E22"/>
  <c r="Q4"/>
  <c r="M18" i="22"/>
  <c r="N50" i="14" s="1"/>
  <c r="N20"/>
  <c r="N22" s="1"/>
  <c r="N27" s="1"/>
  <c r="N63" s="1"/>
  <c r="M9" i="48"/>
  <c r="G27"/>
  <c r="G15"/>
  <c r="C22" i="14"/>
  <c r="O26" i="48"/>
  <c r="O33" s="1"/>
  <c r="O15"/>
  <c r="Q9"/>
  <c r="P63" i="14"/>
  <c r="H22"/>
  <c r="H27" s="1"/>
  <c r="H63" s="1"/>
  <c r="J5" i="48"/>
  <c r="K10" i="14"/>
  <c r="E20" i="15"/>
  <c r="F40" i="14" s="1"/>
  <c r="E5" i="48"/>
  <c r="F10" i="14"/>
  <c r="L15" i="48"/>
  <c r="Q7"/>
  <c r="R24" i="14"/>
  <c r="R26" s="1"/>
  <c r="J18" i="16"/>
  <c r="N18"/>
  <c r="E18"/>
  <c r="F18"/>
  <c r="F22" s="1"/>
  <c r="G43" i="14" s="1"/>
  <c r="G33" i="48" l="1"/>
  <c r="R20" i="14"/>
  <c r="R22" s="1"/>
  <c r="M27" i="48"/>
  <c r="M33" s="1"/>
  <c r="M15"/>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<sst xmlns="http://schemas.openxmlformats.org/spreadsheetml/2006/main" count="2523" uniqueCount="978">
  <si>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</si>
  <si>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</si>
  <si>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</si>
  <si>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</si>
  <si>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</si>
  <si>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</si>
  <si>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</si>
  <si>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</si>
  <si>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</si>
  <si>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</si>
  <si>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</si>
  <si>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</si>
  <si>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</si>
  <si>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</si>
  <si>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</si>
  <si>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</si>
  <si>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</si>
  <si>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</si>
  <si>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</si>
  <si>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</si>
  <si>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</si>
  <si>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</si>
  <si>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</si>
  <si>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</si>
  <si>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</si>
  <si>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</si>
  <si>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</si>
  <si>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</si>
  <si>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</si>
  <si>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</si>
  <si>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</si>
  <si>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</si>
  <si>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</si>
  <si>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</si>
  <si>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</si>
  <si>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</si>
  <si>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</si>
  <si>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</si>
  <si>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</si>
  <si>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</si>
  <si>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</si>
  <si>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</si>
  <si>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</si>
  <si>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</si>
  <si>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</si>
  <si>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</si>
  <si>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</si>
  <si>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</si>
  <si>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</si>
  <si>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</si>
  <si>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</si>
  <si>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</si>
  <si>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</si>
  <si>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</si>
  <si>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</si>
  <si>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</si>
  <si>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</si>
  <si>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</si>
  <si>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</si>
  <si>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</si>
  <si>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</si>
  <si>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</si>
  <si>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</si>
  <si>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</si>
  <si>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</si>
  <si>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</si>
  <si>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</si>
  <si>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</si>
  <si>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</si>
  <si>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</si>
  <si>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</si>
  <si>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</si>
  <si>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</si>
  <si>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</si>
  <si>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</si>
  <si>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</si>
  <si>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</si>
  <si>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</si>
  <si>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</si>
  <si>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</si>
  <si>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</si>
  <si>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</si>
  <si>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</si>
  <si>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</si>
  <si>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</si>
  <si>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</si>
  <si>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</si>
  <si>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</si>
  <si>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</si>
  <si>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</si>
  <si>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</si>
  <si>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</si>
  <si>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</si>
  <si>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</si>
  <si>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</si>
  <si>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</si>
  <si>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</si>
  <si>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</si>
  <si>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</si>
  <si>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</si>
  <si>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</si>
  <si>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</si>
  <si>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</si>
  <si>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</si>
  <si>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</si>
  <si>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</si>
  <si>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</si>
  <si>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</si>
  <si>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</si>
  <si>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</si>
  <si>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</si>
  <si>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</si>
  <si>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</si>
  <si>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</si>
  <si>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</si>
  <si>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</si>
  <si>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</si>
  <si>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</si>
  <si>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</si>
  <si>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</si>
  <si>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</si>
  <si>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</si>
  <si>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</si>
  <si>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</si>
  <si>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</si>
  <si>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</si>
  <si>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</si>
  <si>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</si>
  <si>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</si>
  <si>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</si>
  <si>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</si>
  <si>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</si>
  <si>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</si>
  <si>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</si>
  <si>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</si>
  <si>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</si>
  <si>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</si>
  <si>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</si>
  <si>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</si>
  <si>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</si>
  <si>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</si>
  <si>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</si>
  <si>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</si>
  <si>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</si>
  <si>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</si>
  <si>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</si>
  <si>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</si>
  <si>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</si>
  <si>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</si>
  <si>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</si>
  <si>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</si>
  <si>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</si>
  <si>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</si>
  <si>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</si>
  <si>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</si>
  <si>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</si>
  <si>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</si>
  <si>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</si>
  <si>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</si>
  <si>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</si>
  <si>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</si>
  <si>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</si>
  <si>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</si>
  <si>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</si>
  <si>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</si>
  <si>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</si>
  <si>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</si>
  <si>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</si>
  <si>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</si>
  <si>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</si>
  <si>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</si>
  <si>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</si>
  <si>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</si>
  <si>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</si>
  <si>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</si>
  <si>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</si>
  <si>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</si>
  <si>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</si>
  <si>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</si>
  <si>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</si>
  <si>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</si>
  <si>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</si>
  <si>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</si>
  <si>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</si>
  <si>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</si>
  <si>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</si>
  <si>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</si>
  <si>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</si>
  <si>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</si>
  <si>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</si>
  <si>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</si>
  <si>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</si>
  <si>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</si>
  <si>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</si>
  <si>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</si>
  <si>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</si>
  <si>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</si>
  <si>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</si>
  <si>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</si>
  <si>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</si>
  <si>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</si>
  <si>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</si>
  <si>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</si>
  <si>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</si>
  <si>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</si>
  <si>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</si>
  <si>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</si>
  <si>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</si>
  <si>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</si>
  <si>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</si>
  <si>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</si>
  <si>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</si>
  <si>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</si>
  <si>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</si>
  <si>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</si>
  <si>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</si>
  <si>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</si>
  <si>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</si>
  <si>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</si>
  <si>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</si>
  <si>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</si>
  <si>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</si>
  <si>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</si>
  <si>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</si>
  <si>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</si>
  <si>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</si>
  <si>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</si>
  <si>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</si>
  <si>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</si>
  <si>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</si>
  <si>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</si>
  <si>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</si>
  <si>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</si>
  <si>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</si>
  <si>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</si>
  <si>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</si>
  <si>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</si>
  <si>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</si>
  <si>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</si>
  <si>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</si>
  <si>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</si>
  <si>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</si>
  <si>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</si>
  <si>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</si>
  <si>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</si>
  <si>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</si>
  <si>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</si>
  <si>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</si>
  <si>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</si>
  <si>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</si>
  <si>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</si>
  <si>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</si>
  <si>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</si>
  <si>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</si>
  <si>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</si>
  <si>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</si>
  <si>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</si>
  <si>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</si>
  <si>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</si>
  <si>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</si>
  <si>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</si>
  <si>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</si>
  <si>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</si>
  <si>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</si>
  <si>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</si>
  <si>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</si>
  <si>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</si>
  <si>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</si>
  <si>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</si>
  <si>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</si>
  <si>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</si>
  <si>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</si>
  <si>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</si>
  <si>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</si>
  <si>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</si>
  <si>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</si>
  <si>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</si>
  <si>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</si>
  <si>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</si>
  <si>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</si>
  <si>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</si>
  <si>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</si>
  <si>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</si>
  <si>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</si>
  <si>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</si>
  <si>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</si>
  <si>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</si>
  <si>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</si>
  <si>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</si>
  <si>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</si>
  <si>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</si>
  <si>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</si>
  <si>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</si>
  <si>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</si>
  <si>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</si>
  <si>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</si>
  <si>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</si>
  <si>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</si>
  <si>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</si>
  <si>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</si>
  <si>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</si>
  <si>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</si>
  <si>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</si>
  <si>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</si>
  <si>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</si>
  <si>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</si>
  <si>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</si>
  <si>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</si>
  <si>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</si>
  <si>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</si>
  <si>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</si>
  <si>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</si>
  <si>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</si>
  <si>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</si>
  <si>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</si>
  <si>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</si>
  <si>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</si>
  <si>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</si>
  <si>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</si>
  <si>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</si>
  <si>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</si>
  <si>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</si>
  <si>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</si>
  <si>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</si>
  <si>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</si>
  <si>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</si>
  <si>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</si>
  <si>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</si>
  <si>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</si>
  <si>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</si>
  <si>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</si>
  <si>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</si>
  <si>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</si>
  <si>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</si>
  <si>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</si>
  <si>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</si>
  <si>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</si>
  <si>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</si>
  <si>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</si>
  <si>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</si>
  <si>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</si>
  <si>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</si>
  <si>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</si>
  <si>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</si>
  <si>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</si>
  <si>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</si>
  <si>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</si>
  <si>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</si>
  <si>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</si>
  <si>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</si>
  <si>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</si>
  <si>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</si>
  <si>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</si>
  <si>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</si>
  <si>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</si>
  <si>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</si>
  <si>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</si>
  <si>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</si>
  <si>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</si>
  <si>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</si>
  <si>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</si>
  <si>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</si>
  <si>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</si>
  <si>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</si>
  <si>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</si>
  <si>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</si>
  <si>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</si>
  <si>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</si>
  <si>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</si>
  <si>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</si>
  <si>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</si>
  <si>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</si>
  <si>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</si>
  <si>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</si>
  <si>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</si>
  <si>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</si>
  <si>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</si>
  <si>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</si>
  <si>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</si>
  <si>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</si>
  <si>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</si>
  <si>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</si>
  <si>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</si>
  <si>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</si>
  <si>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</si>
  <si>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</si>
  <si>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</si>
  <si>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</si>
  <si>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</si>
  <si>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</si>
  <si>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</si>
  <si>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</si>
  <si>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</si>
  <si>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</si>
  <si>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</si>
  <si>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</si>
  <si>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</si>
  <si>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</si>
  <si>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</si>
  <si>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</si>
  <si>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</si>
  <si>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</si>
  <si>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</si>
  <si>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</si>
  <si>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</si>
  <si>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</si>
  <si>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</si>
  <si>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</si>
  <si>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</si>
  <si>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</si>
  <si>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</si>
  <si>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</si>
  <si>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</si>
  <si>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</si>
  <si>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</si>
  <si>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</si>
  <si>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</si>
  <si>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</si>
  <si>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</si>
  <si>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</si>
  <si>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</si>
  <si>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</si>
  <si>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</si>
  <si>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</si>
  <si>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</si>
  <si>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</si>
  <si>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</si>
  <si>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</si>
  <si>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</si>
  <si>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</si>
  <si>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</si>
  <si>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</si>
  <si>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</si>
  <si>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</si>
  <si>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</si>
  <si>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</si>
  <si>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</si>
  <si>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</si>
  <si>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</si>
  <si>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</si>
  <si>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</si>
  <si>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</si>
  <si>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</si>
  <si>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</si>
  <si>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</si>
  <si>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</si>
  <si>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</si>
  <si>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</si>
  <si>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</si>
  <si>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</si>
  <si>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</si>
  <si>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</si>
  <si>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</si>
  <si>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</si>
  <si>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</si>
  <si>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</si>
  <si>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</si>
  <si>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</si>
  <si>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</si>
  <si>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</si>
  <si>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</si>
  <si>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</si>
  <si>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</si>
  <si>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</si>
  <si>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</si>
  <si>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</si>
  <si>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</si>
  <si>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</si>
  <si>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</si>
  <si>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</si>
  <si>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</si>
  <si>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</si>
  <si>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</si>
  <si>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</si>
  <si>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</si>
  <si>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</si>
  <si>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</si>
  <si>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</si>
  <si>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</si>
  <si>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</si>
  <si>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</si>
  <si>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</si>
  <si>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</si>
  <si>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</si>
  <si>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</si>
  <si>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</si>
  <si>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</si>
  <si>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</si>
  <si>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</si>
  <si>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</si>
  <si>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</si>
  <si>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</si>
  <si>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</si>
  <si>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</si>
  <si>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</si>
  <si>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</si>
  <si>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</si>
  <si>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</si>
  <si>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</si>
  <si>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</si>
  <si>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</si>
  <si>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</si>
  <si>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</si>
  <si>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</si>
  <si>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</si>
  <si>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</si>
  <si>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</si>
  <si>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</si>
  <si>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</si>
  <si>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</si>
  <si>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</si>
  <si>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</si>
  <si>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</si>
  <si>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</si>
  <si>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</si>
  <si>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</si>
  <si>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</si>
  <si>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</si>
  <si>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</si>
  <si>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</si>
  <si>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</si>
  <si>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</si>
  <si>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</si>
  <si>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</si>
  <si>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</si>
  <si>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</si>
  <si>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</si>
  <si>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</si>
  <si>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</si>
  <si>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</si>
  <si>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</si>
  <si>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</si>
  <si>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</si>
  <si>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</si>
  <si>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</si>
  <si>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</si>
  <si>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</si>
  <si>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</si>
  <si>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</si>
  <si>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</si>
  <si>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</si>
  <si>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</si>
  <si>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</si>
  <si>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</si>
  <si>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</si>
  <si>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</si>
  <si>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</si>
  <si>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</si>
  <si>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</si>
  <si>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</si>
  <si>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</si>
  <si>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</si>
  <si>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</si>
  <si>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</si>
  <si>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</si>
  <si>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</si>
  <si>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</si>
  <si>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</si>
  <si>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</si>
  <si>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</si>
  <si>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</si>
  <si>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</si>
  <si>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</si>
  <si>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</si>
  <si>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</si>
  <si>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</si>
  <si>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</si>
  <si>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</si>
  <si>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</si>
  <si>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</si>
  <si>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</si>
  <si>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</si>
  <si>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</si>
  <si>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</si>
  <si>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</si>
  <si>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</si>
  <si>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</si>
  <si>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</si>
  <si>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</si>
  <si>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</si>
  <si>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</si>
  <si>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</si>
  <si>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</si>
  <si>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</si>
  <si>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</si>
  <si>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</si>
  <si>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</si>
  <si>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</si>
  <si>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</si>
  <si>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</si>
  <si>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</si>
  <si>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</si>
  <si>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</si>
  <si>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</si>
  <si>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</si>
  <si>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</si>
  <si>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</si>
  <si>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</si>
  <si>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</si>
  <si>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</si>
  <si>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</si>
  <si>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</si>
  <si>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</si>
  <si>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</si>
  <si>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</si>
  <si>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</si>
  <si>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</si>
  <si>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</si>
  <si>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</si>
  <si>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</si>
  <si>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</si>
  <si>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</si>
  <si>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</si>
  <si>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</si>
  <si>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</si>
  <si>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</si>
  <si>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</si>
  <si>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</si>
  <si>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</si>
  <si>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</si>
  <si>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</si>
  <si>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</si>
  <si>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</si>
  <si>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</si>
  <si>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</si>
  <si>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</si>
  <si>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</si>
  <si>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</si>
  <si>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</si>
  <si>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</si>
  <si>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</si>
  <si>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</si>
  <si>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</si>
  <si>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</si>
  <si>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</si>
  <si>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</si>
  <si>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</si>
  <si>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</si>
  <si>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</si>
  <si>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</si>
  <si>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</si>
  <si>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</si>
  <si>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</si>
  <si>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</si>
  <si>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</si>
  <si>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</si>
  <si>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</si>
  <si>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</si>
  <si>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</si>
  <si>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</si>
  <si>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</si>
  <si>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</si>
  <si>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</si>
  <si>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</si>
  <si>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</si>
  <si>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</si>
  <si>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</si>
  <si>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</si>
  <si>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</si>
  <si>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</si>
  <si>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</si>
  <si>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</si>
  <si>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</si>
  <si>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</si>
  <si>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</si>
  <si>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</si>
  <si>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</si>
  <si>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</si>
  <si>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</si>
  <si>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</si>
  <si>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</si>
  <si>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</si>
  <si>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</si>
  <si>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</si>
  <si>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</si>
  <si>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</si>
  <si>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</si>
  <si>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</si>
  <si>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</si>
  <si>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</si>
  <si>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</si>
  <si>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</si>
  <si>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</si>
  <si>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</si>
  <si>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</si>
  <si>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</si>
  <si>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</si>
  <si>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</si>
  <si>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</si>
  <si>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</si>
  <si>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</si>
  <si>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</si>
  <si>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</si>
  <si>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</si>
  <si>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</si>
  <si>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</si>
  <si>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</si>
  <si>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</si>
  <si>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</si>
  <si>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</si>
  <si>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</si>
  <si>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</si>
  <si>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</si>
  <si>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</si>
  <si>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</si>
  <si>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</si>
  <si>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</si>
  <si>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</si>
  <si>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</si>
  <si>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</si>
  <si>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</si>
  <si>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</si>
  <si>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</si>
  <si>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</si>
  <si>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</si>
  <si>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</si>
  <si>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</si>
  <si>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</si>
  <si>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</si>
  <si>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</si>
  <si>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</si>
  <si>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</si>
  <si>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</si>
  <si>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</si>
  <si>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</si>
  <si>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</si>
  <si>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</si>
  <si>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</si>
  <si>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</si>
  <si>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</si>
  <si>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</si>
  <si>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</si>
  <si>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</si>
  <si>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</si>
  <si>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</si>
  <si>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</si>
  <si>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</si>
  <si>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</si>
  <si>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</si>
  <si>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</si>
  <si>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</si>
  <si>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</si>
  <si>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</si>
  <si>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</si>
  <si>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</si>
  <si>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</si>
  <si>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</si>
  <si>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</si>
  <si>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</si>
  <si>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</si>
  <si>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</si>
  <si>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</si>
  <si>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</si>
  <si>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</si>
  <si>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</si>
  <si>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</si>
  <si>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</si>
  <si>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</si>
  <si>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</si>
  <si>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</si>
  <si>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</si>
  <si>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</si>
  <si>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</si>
  <si>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</si>
  <si>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</si>
  <si>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</si>
  <si>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</si>
  <si>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</si>
  <si>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</si>
  <si>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</si>
  <si>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</si>
  <si>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</si>
  <si>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</si>
  <si>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</si>
  <si>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</si>
  <si>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</si>
  <si>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</si>
  <si>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</si>
  <si>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</si>
  <si>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</si>
  <si>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</si>
  <si>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</si>
  <si>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</si>
  <si>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</si>
  <si>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</si>
  <si>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</si>
  <si>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</si>
  <si>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</si>
  <si>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</si>
  <si>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</si>
  <si>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</si>
  <si>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</si>
  <si>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</si>
  <si>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</si>
  <si>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</si>
  <si>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</si>
  <si>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</si>
  <si>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</si>
  <si>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</si>
  <si>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</si>
  <si>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</si>
  <si>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</si>
  <si>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</si>
  <si>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</si>
  <si>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</si>
  <si>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</si>
  <si>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</si>
  <si>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</si>
  <si>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</si>
  <si>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</si>
  <si>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</si>
  <si>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</si>
  <si>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</si>
  <si>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</si>
  <si>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</si>
  <si>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</si>
  <si>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</si>
  <si>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</si>
  <si>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</si>
  <si>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</si>
  <si>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</si>
  <si>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</si>
  <si>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</si>
  <si>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</si>
  <si>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</si>
  <si>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</si>
  <si>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</si>
  <si>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</si>
  <si>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</si>
  <si>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</si>
  <si>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</si>
  <si>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</si>
  <si>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</si>
  <si>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</si>
  <si>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</si>
  <si>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</si>
  <si>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</si>
  <si>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</si>
  <si>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</si>
  <si>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</si>
  <si>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</si>
  <si>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</si>
  <si>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</si>
  <si>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</si>
  <si>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</si>
  <si>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</si>
  <si>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</si>
  <si>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</si>
  <si>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</si>
  <si>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</si>
  <si>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</si>
  <si>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</si>
  <si>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</si>
  <si>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</si>
  <si>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</si>
  <si>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</si>
  <si>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</si>
  <si>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</si>
  <si>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</si>
  <si>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</si>
  <si>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</si>
  <si>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</si>
  <si>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</si>
  <si>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</si>
  <si>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</si>
  <si>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</si>
  <si>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</si>
  <si>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</si>
  <si>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</si>
  <si>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</si>
  <si>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</si>
  <si>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</si>
  <si>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</si>
  <si>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</si>
  <si>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</si>
  <si>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</si>
  <si>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</si>
  <si>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</si>
  <si>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</si>
  <si>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</si>
  <si>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</si>
  <si>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</si>
  <si>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</si>
  <si>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</si>
  <si>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</si>
  <si>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</si>
  <si>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</si>
  <si>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</si>
  <si>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</si>
  <si>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</si>
  <si>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</si>
  <si>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</si>
  <si>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</si>
  <si>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</si>
  <si>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</si>
  <si>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</si>
  <si>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</si>
  <si>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</si>
  <si>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</si>
  <si>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</si>
  <si>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</si>
  <si>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</si>
  <si>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</si>
  <si>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</si>
  <si>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</si>
  <si>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</si>
  <si>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</si>
  <si>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</si>
  <si>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</si>
  <si>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</si>
  <si>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</si>
  <si>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</si>
  <si>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</si>
  <si>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</si>
  <si>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</si>
  <si>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</si>
  <si>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</si>
  <si>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</si>
  <si>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</si>
  <si>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</si>
  <si>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</si>
  <si>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</si>
  <si>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</si>
  <si>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</si>
  <si>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</si>
  <si>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</si>
  <si>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</si>
  <si>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</si>
  <si>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</si>
  <si>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</si>
  <si>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</si>
  <si>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</si>
  <si>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</si>
  <si>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</si>
  <si>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</si>
  <si>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</si>
  <si>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</si>
  <si>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</si>
  <si>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</si>
  <si>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</si>
  <si>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</si>
  <si>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</si>
  <si>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</si>
  <si>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</si>
  <si>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</si>
  <si>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</si>
  <si>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</si>
  <si>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</si>
  <si>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</si>
  <si>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</si>
  <si>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</si>
  <si>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</si>
  <si>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</si>
  <si>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</si>
  <si>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</si>
  <si>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</si>
  <si>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11008</t>
  </si>
  <si>
    <t>BRASSCHAAT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</si>
  <si>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</si>
  <si>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</si>
  <si>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</si>
  <si>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</si>
  <si>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</si>
  <si>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</si>
  <si>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</si>
  <si>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Sportoase Elshout nv</t>
  </si>
  <si>
    <t>Elshoutbaan 17, 2930 Brasschaat</t>
  </si>
  <si>
    <t>WKK-0107 Sportoase Elshout</t>
  </si>
  <si>
    <t>interne verbrandingsmotor</t>
  </si>
  <si>
    <t>WKK interne verbrandinsgmotor (gas)</t>
  </si>
  <si>
    <t>IMEA</t>
  </si>
  <si>
    <t>Eneas nv</t>
  </si>
  <si>
    <t>Rue Des Anglais 7 , 4430 Ans</t>
  </si>
  <si>
    <t>WKK-0248 Eneas Brasschaat</t>
  </si>
  <si>
    <t>Bredabaan 940 , 2930 Brasschaat</t>
  </si>
  <si>
    <t>AZ Klina</t>
  </si>
  <si>
    <t>Augustijnslei 100, 2930 Brasschaat</t>
  </si>
  <si>
    <t>WKK-0125 AZ Klina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</si>
</sst>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11008</v>
      </c>
      <c r="B6" s="396"/>
      <c r="C6" s="397"/>
    </row>
    <row r="7" spans="1:7" s="394" customFormat="1" ht="15.75" customHeight="1">
      <c r="A7" s="398" t="str">
        <f>txtMunicipality</f>
        <v>BRASSCHAAT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0.2179111752442407</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0.2179111752442407</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15576</v>
      </c>
      <c r="C9" s="336">
        <v>16283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332</v>
      </c>
    </row>
    <row r="15" spans="1:6">
      <c r="A15" s="1277" t="s">
        <v>184</v>
      </c>
      <c r="B15" s="333">
        <v>0</v>
      </c>
    </row>
    <row r="16" spans="1:6">
      <c r="A16" s="1277" t="s">
        <v>6</v>
      </c>
      <c r="B16" s="333">
        <v>2</v>
      </c>
    </row>
    <row r="17" spans="1:6">
      <c r="A17" s="1277" t="s">
        <v>7</v>
      </c>
      <c r="B17" s="333">
        <v>1</v>
      </c>
    </row>
    <row r="18" spans="1:6">
      <c r="A18" s="1277" t="s">
        <v>8</v>
      </c>
      <c r="B18" s="333">
        <v>2</v>
      </c>
    </row>
    <row r="19" spans="1:6">
      <c r="A19" s="1277" t="s">
        <v>9</v>
      </c>
      <c r="B19" s="333">
        <v>0</v>
      </c>
    </row>
    <row r="20" spans="1:6">
      <c r="A20" s="1277" t="s">
        <v>10</v>
      </c>
      <c r="B20" s="333">
        <v>0</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1</v>
      </c>
    </row>
    <row r="26" spans="1:6">
      <c r="A26" s="1277" t="s">
        <v>16</v>
      </c>
      <c r="B26" s="333">
        <v>16</v>
      </c>
    </row>
    <row r="27" spans="1:6">
      <c r="A27" s="1277" t="s">
        <v>17</v>
      </c>
      <c r="B27" s="333">
        <v>0</v>
      </c>
    </row>
    <row r="28" spans="1:6">
      <c r="A28" s="1277" t="s">
        <v>18</v>
      </c>
      <c r="B28" s="333">
        <v>1</v>
      </c>
    </row>
    <row r="29" spans="1:6">
      <c r="A29" s="1277" t="s">
        <v>959</v>
      </c>
      <c r="B29" s="333">
        <v>116</v>
      </c>
    </row>
    <row r="30" spans="1:6">
      <c r="A30" s="1273" t="s">
        <v>960</v>
      </c>
      <c r="B30" s="1273">
        <v>24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5</v>
      </c>
      <c r="F38" s="333">
        <v>114061.609390803</v>
      </c>
    </row>
    <row r="39" spans="1:6">
      <c r="A39" s="1277" t="s">
        <v>30</v>
      </c>
      <c r="B39" s="1277" t="s">
        <v>31</v>
      </c>
      <c r="C39" s="333">
        <v>12855</v>
      </c>
      <c r="D39" s="333">
        <v>266588811.95209137</v>
      </c>
      <c r="E39" s="333">
        <v>15428</v>
      </c>
      <c r="F39" s="333">
        <v>73744784.495636314</v>
      </c>
    </row>
    <row r="40" spans="1:6">
      <c r="A40" s="1277" t="s">
        <v>30</v>
      </c>
      <c r="B40" s="1277" t="s">
        <v>29</v>
      </c>
      <c r="C40" s="333">
        <v>0</v>
      </c>
      <c r="D40" s="333">
        <v>0</v>
      </c>
      <c r="E40" s="333">
        <v>0</v>
      </c>
      <c r="F40" s="333">
        <v>0</v>
      </c>
    </row>
    <row r="41" spans="1:6">
      <c r="A41" s="1277" t="s">
        <v>32</v>
      </c>
      <c r="B41" s="1277" t="s">
        <v>33</v>
      </c>
      <c r="C41" s="333">
        <v>134</v>
      </c>
      <c r="D41" s="333">
        <v>3481775.7617862402</v>
      </c>
      <c r="E41" s="333">
        <v>225</v>
      </c>
      <c r="F41" s="333">
        <v>1730534.4788039399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7</v>
      </c>
      <c r="D47" s="333">
        <v>253293.279894573</v>
      </c>
      <c r="E47" s="333">
        <v>10</v>
      </c>
      <c r="F47" s="333">
        <v>316137.99852376699</v>
      </c>
    </row>
    <row r="48" spans="1:6">
      <c r="A48" s="1277" t="s">
        <v>32</v>
      </c>
      <c r="B48" s="1277" t="s">
        <v>29</v>
      </c>
      <c r="C48" s="333">
        <v>17</v>
      </c>
      <c r="D48" s="333">
        <v>808881.18455055496</v>
      </c>
      <c r="E48" s="333">
        <v>32</v>
      </c>
      <c r="F48" s="333">
        <v>511492.03054531303</v>
      </c>
    </row>
    <row r="49" spans="1:6">
      <c r="A49" s="1277" t="s">
        <v>32</v>
      </c>
      <c r="B49" s="1277" t="s">
        <v>40</v>
      </c>
      <c r="C49" s="333">
        <v>0</v>
      </c>
      <c r="D49" s="333">
        <v>0</v>
      </c>
      <c r="E49" s="333">
        <v>0</v>
      </c>
      <c r="F49" s="333">
        <v>0</v>
      </c>
    </row>
    <row r="50" spans="1:6">
      <c r="A50" s="1277" t="s">
        <v>32</v>
      </c>
      <c r="B50" s="1277" t="s">
        <v>41</v>
      </c>
      <c r="C50" s="333">
        <v>15</v>
      </c>
      <c r="D50" s="333">
        <v>1574667.9351791199</v>
      </c>
      <c r="E50" s="333">
        <v>17</v>
      </c>
      <c r="F50" s="333">
        <v>1078382.7078277201</v>
      </c>
    </row>
    <row r="51" spans="1:6">
      <c r="A51" s="1277" t="s">
        <v>42</v>
      </c>
      <c r="B51" s="1277" t="s">
        <v>43</v>
      </c>
      <c r="C51" s="333">
        <v>4</v>
      </c>
      <c r="D51" s="333">
        <v>221115.194589669</v>
      </c>
      <c r="E51" s="333">
        <v>4</v>
      </c>
      <c r="F51" s="333">
        <v>47388.6597696975</v>
      </c>
    </row>
    <row r="52" spans="1:6">
      <c r="A52" s="1277" t="s">
        <v>42</v>
      </c>
      <c r="B52" s="1277" t="s">
        <v>29</v>
      </c>
      <c r="C52" s="333">
        <v>3</v>
      </c>
      <c r="D52" s="333">
        <v>44510.141168068898</v>
      </c>
      <c r="E52" s="333">
        <v>5</v>
      </c>
      <c r="F52" s="333">
        <v>77696.356703202298</v>
      </c>
    </row>
    <row r="53" spans="1:6">
      <c r="A53" s="1277" t="s">
        <v>44</v>
      </c>
      <c r="B53" s="1277" t="s">
        <v>45</v>
      </c>
      <c r="C53" s="333">
        <v>429</v>
      </c>
      <c r="D53" s="333">
        <v>9479480.8990918193</v>
      </c>
      <c r="E53" s="333">
        <v>644</v>
      </c>
      <c r="F53" s="333">
        <v>3596676.9704053602</v>
      </c>
    </row>
    <row r="54" spans="1:6">
      <c r="A54" s="1277" t="s">
        <v>46</v>
      </c>
      <c r="B54" s="1277" t="s">
        <v>47</v>
      </c>
      <c r="C54" s="333">
        <v>0</v>
      </c>
      <c r="D54" s="333">
        <v>0</v>
      </c>
      <c r="E54" s="333">
        <v>1</v>
      </c>
      <c r="F54" s="333">
        <v>2067239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98</v>
      </c>
      <c r="D57" s="333">
        <v>7889252.2240083003</v>
      </c>
      <c r="E57" s="333">
        <v>144</v>
      </c>
      <c r="F57" s="333">
        <v>5882875.1474514399</v>
      </c>
    </row>
    <row r="58" spans="1:6">
      <c r="A58" s="1277" t="s">
        <v>49</v>
      </c>
      <c r="B58" s="1277" t="s">
        <v>51</v>
      </c>
      <c r="C58" s="333">
        <v>71</v>
      </c>
      <c r="D58" s="333">
        <v>17878637.692159701</v>
      </c>
      <c r="E58" s="333">
        <v>88</v>
      </c>
      <c r="F58" s="333">
        <v>7904341.8401791304</v>
      </c>
    </row>
    <row r="59" spans="1:6">
      <c r="A59" s="1277" t="s">
        <v>49</v>
      </c>
      <c r="B59" s="1277" t="s">
        <v>52</v>
      </c>
      <c r="C59" s="333">
        <v>264</v>
      </c>
      <c r="D59" s="333">
        <v>9108538.0265032295</v>
      </c>
      <c r="E59" s="333">
        <v>434</v>
      </c>
      <c r="F59" s="333">
        <v>10850833.855282901</v>
      </c>
    </row>
    <row r="60" spans="1:6">
      <c r="A60" s="1277" t="s">
        <v>49</v>
      </c>
      <c r="B60" s="1277" t="s">
        <v>53</v>
      </c>
      <c r="C60" s="333">
        <v>100</v>
      </c>
      <c r="D60" s="333">
        <v>7504682.4265182596</v>
      </c>
      <c r="E60" s="333">
        <v>109</v>
      </c>
      <c r="F60" s="333">
        <v>3981961.8206722699</v>
      </c>
    </row>
    <row r="61" spans="1:6">
      <c r="A61" s="1277" t="s">
        <v>49</v>
      </c>
      <c r="B61" s="1277" t="s">
        <v>54</v>
      </c>
      <c r="C61" s="333">
        <v>524</v>
      </c>
      <c r="D61" s="333">
        <v>34873826.842183702</v>
      </c>
      <c r="E61" s="333">
        <v>953</v>
      </c>
      <c r="F61" s="333">
        <v>17386530.225880198</v>
      </c>
    </row>
    <row r="62" spans="1:6">
      <c r="A62" s="1277" t="s">
        <v>49</v>
      </c>
      <c r="B62" s="1277" t="s">
        <v>55</v>
      </c>
      <c r="C62" s="333">
        <v>25</v>
      </c>
      <c r="D62" s="333">
        <v>9317564.2740872893</v>
      </c>
      <c r="E62" s="333">
        <v>32</v>
      </c>
      <c r="F62" s="333">
        <v>1570220.22896117</v>
      </c>
    </row>
    <row r="63" spans="1:6">
      <c r="A63" s="1277" t="s">
        <v>49</v>
      </c>
      <c r="B63" s="1277" t="s">
        <v>29</v>
      </c>
      <c r="C63" s="333">
        <v>101</v>
      </c>
      <c r="D63" s="333">
        <v>7825296.6052811798</v>
      </c>
      <c r="E63" s="333">
        <v>103</v>
      </c>
      <c r="F63" s="333">
        <v>3544764.5397665198</v>
      </c>
    </row>
    <row r="64" spans="1:6">
      <c r="A64" s="1277" t="s">
        <v>56</v>
      </c>
      <c r="B64" s="1277" t="s">
        <v>57</v>
      </c>
      <c r="C64" s="333">
        <v>0</v>
      </c>
      <c r="D64" s="333">
        <v>0</v>
      </c>
      <c r="E64" s="333">
        <v>0</v>
      </c>
      <c r="F64" s="333">
        <v>0</v>
      </c>
    </row>
    <row r="65" spans="1:6">
      <c r="A65" s="1277" t="s">
        <v>56</v>
      </c>
      <c r="B65" s="1277" t="s">
        <v>29</v>
      </c>
      <c r="C65" s="333">
        <v>7</v>
      </c>
      <c r="D65" s="333">
        <v>304684.65506913402</v>
      </c>
      <c r="E65" s="333">
        <v>8</v>
      </c>
      <c r="F65" s="333">
        <v>95413.526813704797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55643.0021322385</v>
      </c>
      <c r="E68" s="333">
        <v>4</v>
      </c>
      <c r="F68" s="333">
        <v>19976.145918937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120016192</v>
      </c>
      <c r="E73" s="333">
        <v>122298184.24843355</v>
      </c>
      <c r="F73" s="333">
        <v>119129522</v>
      </c>
    </row>
    <row r="74" spans="1:6">
      <c r="A74" s="1277" t="s">
        <v>64</v>
      </c>
      <c r="B74" s="1277" t="s">
        <v>774</v>
      </c>
      <c r="C74" s="1288" t="s">
        <v>775</v>
      </c>
      <c r="D74" s="333">
        <v>6404337.4502167003</v>
      </c>
      <c r="E74" s="333">
        <v>6517470.5959552173</v>
      </c>
      <c r="F74" s="333">
        <v>6466331.2677289909</v>
      </c>
    </row>
    <row r="75" spans="1:6">
      <c r="A75" s="1277" t="s">
        <v>65</v>
      </c>
      <c r="B75" s="1277" t="s">
        <v>772</v>
      </c>
      <c r="C75" s="1288" t="s">
        <v>776</v>
      </c>
      <c r="D75" s="333">
        <v>52447127</v>
      </c>
      <c r="E75" s="333">
        <v>53057427.213247828</v>
      </c>
      <c r="F75" s="333">
        <v>51915039</v>
      </c>
    </row>
    <row r="76" spans="1:6">
      <c r="A76" s="1277" t="s">
        <v>65</v>
      </c>
      <c r="B76" s="1277" t="s">
        <v>774</v>
      </c>
      <c r="C76" s="1288" t="s">
        <v>777</v>
      </c>
      <c r="D76" s="333">
        <v>346251.45021670021</v>
      </c>
      <c r="E76" s="333">
        <v>384315.24671207275</v>
      </c>
      <c r="F76" s="333">
        <v>383007.26772899058</v>
      </c>
    </row>
    <row r="77" spans="1:6">
      <c r="A77" s="1277" t="s">
        <v>66</v>
      </c>
      <c r="B77" s="1277" t="s">
        <v>772</v>
      </c>
      <c r="C77" s="1288" t="s">
        <v>778</v>
      </c>
      <c r="D77" s="333">
        <v>26840165</v>
      </c>
      <c r="E77" s="333">
        <v>32971801.748251613</v>
      </c>
      <c r="F77" s="333">
        <v>27267326</v>
      </c>
    </row>
    <row r="78" spans="1:6">
      <c r="A78" s="1273" t="s">
        <v>66</v>
      </c>
      <c r="B78" s="1273" t="s">
        <v>774</v>
      </c>
      <c r="C78" s="1273" t="s">
        <v>779</v>
      </c>
      <c r="D78" s="1273">
        <v>6827933</v>
      </c>
      <c r="E78" s="1273">
        <v>7152372.8482860355</v>
      </c>
      <c r="F78" s="336">
        <v>6812820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1106329.0995665996</v>
      </c>
      <c r="C83" s="333">
        <v>1019850.0589398553</v>
      </c>
      <c r="D83" s="333">
        <v>1031537.4645420188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1615.9547219771894</v>
      </c>
    </row>
    <row r="92" spans="1:6">
      <c r="A92" s="1273" t="s">
        <v>69</v>
      </c>
      <c r="B92" s="336">
        <v>387.55599141649418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10619</v>
      </c>
    </row>
    <row r="98" spans="1:6">
      <c r="A98" s="1277" t="s">
        <v>72</v>
      </c>
      <c r="B98" s="333">
        <v>10</v>
      </c>
    </row>
    <row r="99" spans="1:6">
      <c r="A99" s="1277" t="s">
        <v>73</v>
      </c>
      <c r="B99" s="333">
        <v>37</v>
      </c>
    </row>
    <row r="100" spans="1:6">
      <c r="A100" s="1277" t="s">
        <v>74</v>
      </c>
      <c r="B100" s="333">
        <v>1008</v>
      </c>
    </row>
    <row r="101" spans="1:6">
      <c r="A101" s="1277" t="s">
        <v>75</v>
      </c>
      <c r="B101" s="333">
        <v>130</v>
      </c>
    </row>
    <row r="102" spans="1:6">
      <c r="A102" s="1277" t="s">
        <v>76</v>
      </c>
      <c r="B102" s="333">
        <v>172</v>
      </c>
    </row>
    <row r="103" spans="1:6">
      <c r="A103" s="1277" t="s">
        <v>77</v>
      </c>
      <c r="B103" s="333">
        <v>162</v>
      </c>
    </row>
    <row r="104" spans="1:6">
      <c r="A104" s="1277" t="s">
        <v>78</v>
      </c>
      <c r="B104" s="333">
        <v>2355</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4</v>
      </c>
    </row>
    <row r="124" spans="1:6">
      <c r="A124" s="1273" t="s">
        <v>89</v>
      </c>
      <c r="B124" s="333">
        <v>2</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57</v>
      </c>
    </row>
    <row r="130" spans="1:6">
      <c r="A130" s="1277" t="s">
        <v>295</v>
      </c>
      <c r="B130" s="333">
        <v>1</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137073.55632304607</v>
      </c>
      <c r="C3" s="43" t="s">
        <v>170</v>
      </c>
      <c r="D3" s="43"/>
      <c r="E3" s="156"/>
      <c r="F3" s="43"/>
      <c r="G3" s="43"/>
      <c r="H3" s="43"/>
      <c r="I3" s="43"/>
      <c r="J3" s="43"/>
      <c r="K3" s="96"/>
    </row>
    <row r="4" spans="1:11">
      <c r="A4" s="364" t="s">
        <v>171</v>
      </c>
      <c r="B4" s="49">
        <f>IF(ISERROR('SEAP template'!B78+'SEAP template'!C78),0,'SEAP template'!B78+'SEAP template'!C78)</f>
        <v>3167.6607133936836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276.65682352941184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0.2179111752442407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395.2240336134455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1663.0714285714289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2067.239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2067.239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0.2179111752442407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450.47448000072887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73744.784495636311</v>
      </c>
      <c r="C5" s="17">
        <f>IF(ISERROR('Eigen informatie GS &amp; warmtenet'!B57),0,'Eigen informatie GS &amp; warmtenet'!B57)</f>
        <v>0</v>
      </c>
      <c r="D5" s="30">
        <f>(SUM(HH_hh_gas_kWh,HH_rest_gas_kWh)/1000)*0.902</f>
        <v>240463.10838078641</v>
      </c>
      <c r="E5" s="17">
        <f>B46*B57</f>
        <v>1530.1882344490875</v>
      </c>
      <c r="F5" s="17">
        <f>B51*B62</f>
        <v>7812.0014678538409</v>
      </c>
      <c r="G5" s="18"/>
      <c r="H5" s="17"/>
      <c r="I5" s="17"/>
      <c r="J5" s="17">
        <f>B50*B61+C50*C61</f>
        <v>0</v>
      </c>
      <c r="K5" s="17"/>
      <c r="L5" s="17"/>
      <c r="M5" s="17"/>
      <c r="N5" s="17">
        <f>B48*B59+C48*C59</f>
        <v>15555.586405166845</v>
      </c>
      <c r="O5" s="17">
        <f>B69*B70*B71</f>
        <v>95.36333333333333</v>
      </c>
      <c r="P5" s="17">
        <f>B77*B78*B79/1000-B77*B78*B79/1000/B80</f>
        <v>305.06666666666666</v>
      </c>
    </row>
    <row r="6" spans="1:16">
      <c r="A6" s="16" t="s">
        <v>632</v>
      </c>
      <c r="B6" s="779">
        <f>kWh_PV_kleiner_dan_10kW</f>
        <v>1615.9547219771894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75360.739217613504</v>
      </c>
      <c r="C8" s="21">
        <f>C5</f>
        <v>0</v>
      </c>
      <c r="D8" s="21">
        <f>D5</f>
        <v>240463.10838078641</v>
      </c>
      <c r="E8" s="21">
        <f>E5</f>
        <v>1530.1882344490875</v>
      </c>
      <c r="F8" s="21">
        <f>F5</f>
        <v>7812.0014678538409</v>
      </c>
      <c r="G8" s="21"/>
      <c r="H8" s="21"/>
      <c r="I8" s="21"/>
      <c r="J8" s="21">
        <f>J5</f>
        <v>0</v>
      </c>
      <c r="K8" s="21"/>
      <c r="L8" s="21">
        <f>L5</f>
        <v>0</v>
      </c>
      <c r="M8" s="21">
        <f>M5</f>
        <v>0</v>
      </c>
      <c r="N8" s="21">
        <f>N5</f>
        <v>15555.586405166845</v>
      </c>
      <c r="O8" s="21">
        <f>O5</f>
        <v>95.36333333333333</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0.2179111752442407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16421.947250184898</v>
      </c>
      <c r="C12" s="23">
        <f ca="1">C10*C8</f>
        <v>0</v>
      </c>
      <c r="D12" s="23">
        <f>D8*D10</f>
        <v>48573.547892918854</v>
      </c>
      <c r="E12" s="23">
        <f>E10*E8</f>
        <v>347.35272921994289</v>
      </c>
      <c r="F12" s="23">
        <f>F10*F8</f>
        <v>2085.8043919169759</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10619</v>
      </c>
      <c r="C18" s="167" t="s">
        <v>111</v>
      </c>
      <c r="D18" s="229"/>
      <c r="E18" s="15"/>
    </row>
    <row r="19" spans="1:7">
      <c r="A19" s="172" t="s">
        <v>72</v>
      </c>
      <c r="B19" s="37">
        <f>aantalw2001_ander</f>
        <v>10</v>
      </c>
      <c r="C19" s="167" t="s">
        <v>111</v>
      </c>
      <c r="D19" s="230"/>
      <c r="E19" s="15"/>
    </row>
    <row r="20" spans="1:7">
      <c r="A20" s="172" t="s">
        <v>73</v>
      </c>
      <c r="B20" s="37">
        <f>aantalw2001_propaan</f>
        <v>37</v>
      </c>
      <c r="C20" s="168">
        <f>IF(ISERROR(B20/SUM($B$20,$B$21,$B$22)*100),0,B20/SUM($B$20,$B$21,$B$22)*100)</f>
        <v>3.1489361702127661</v>
      </c>
      <c r="D20" s="230"/>
      <c r="E20" s="15"/>
    </row>
    <row r="21" spans="1:7">
      <c r="A21" s="172" t="s">
        <v>74</v>
      </c>
      <c r="B21" s="37">
        <f>aantalw2001_elektriciteit</f>
        <v>1008</v>
      </c>
      <c r="C21" s="168">
        <f>IF(ISERROR(B21/SUM($B$20,$B$21,$B$22)*100),0,B21/SUM($B$20,$B$21,$B$22)*100)</f>
        <v>85.787234042553195</v>
      </c>
      <c r="D21" s="230"/>
      <c r="E21" s="15"/>
    </row>
    <row r="22" spans="1:7">
      <c r="A22" s="172" t="s">
        <v>75</v>
      </c>
      <c r="B22" s="37">
        <f>aantalw2001_hout</f>
        <v>130</v>
      </c>
      <c r="C22" s="168">
        <f>IF(ISERROR(B22/SUM($B$20,$B$21,$B$22)*100),0,B22/SUM($B$20,$B$21,$B$22)*100)</f>
        <v>11.063829787234042</v>
      </c>
      <c r="D22" s="230"/>
      <c r="E22" s="15"/>
    </row>
    <row r="23" spans="1:7">
      <c r="A23" s="172" t="s">
        <v>76</v>
      </c>
      <c r="B23" s="37">
        <f>aantalw2001_niet_gespec</f>
        <v>172</v>
      </c>
      <c r="C23" s="167" t="s">
        <v>111</v>
      </c>
      <c r="D23" s="229"/>
      <c r="E23" s="15"/>
    </row>
    <row r="24" spans="1:7">
      <c r="A24" s="172" t="s">
        <v>77</v>
      </c>
      <c r="B24" s="37">
        <f>aantalw2001_steenkool</f>
        <v>162</v>
      </c>
      <c r="C24" s="167" t="s">
        <v>111</v>
      </c>
      <c r="D24" s="230"/>
      <c r="E24" s="15"/>
    </row>
    <row r="25" spans="1:7">
      <c r="A25" s="172" t="s">
        <v>78</v>
      </c>
      <c r="B25" s="37">
        <f>aantalw2001_stookolie</f>
        <v>2355</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15576</v>
      </c>
      <c r="C28" s="36"/>
      <c r="D28" s="229"/>
    </row>
    <row r="29" spans="1:7" s="15" customFormat="1">
      <c r="A29" s="231" t="s">
        <v>713</v>
      </c>
      <c r="B29" s="37">
        <f>SUM(HH_hh_gas_aantal,HH_rest_gas_aantal)</f>
        <v>12855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12855</v>
      </c>
      <c r="C32" s="168">
        <f>IF(ISERROR(B32/SUM($B$32,$B$34,$B$35,$B$36,$B$38,$B$39)*100),0,B32/SUM($B$32,$B$34,$B$35,$B$36,$B$38,$B$39)*100)</f>
        <v>82.615681233933159</v>
      </c>
      <c r="D32" s="234"/>
      <c r="G32" s="15"/>
    </row>
    <row r="33" spans="1:7">
      <c r="A33" s="172" t="s">
        <v>72</v>
      </c>
      <c r="B33" s="34" t="s">
        <v>111</v>
      </c>
      <c r="C33" s="168"/>
      <c r="D33" s="234"/>
      <c r="G33" s="15"/>
    </row>
    <row r="34" spans="1:7">
      <c r="A34" s="172" t="s">
        <v>73</v>
      </c>
      <c r="B34" s="33">
        <f>IF((($B$28-$B$32-$B$39-$B$77-$B$38)*C20/100)&lt;0,0,($B$28-$B$32-$B$39-$B$77-$B$38)*C20/100)</f>
        <v>74.390468085106392</v>
      </c>
      <c r="C34" s="168">
        <f>IF(ISERROR(B34/SUM($B$32,$B$34,$B$35,$B$36,$B$38,$B$39)*100),0,B34/SUM($B$32,$B$34,$B$35,$B$36,$B$38,$B$39)*100)</f>
        <v>0.47808784116392283</v>
      </c>
      <c r="D34" s="234"/>
      <c r="G34" s="15"/>
    </row>
    <row r="35" spans="1:7">
      <c r="A35" s="172" t="s">
        <v>74</v>
      </c>
      <c r="B35" s="33">
        <f>IF((($B$28-$B$32-$B$39-$B$77-$B$38)*C21/100)&lt;0,0,($B$28-$B$32-$B$39-$B$77-$B$38)*C21/100)</f>
        <v>2026.6376170212766</v>
      </c>
      <c r="C35" s="168">
        <f>IF(ISERROR(B35/SUM($B$32,$B$34,$B$35,$B$36,$B$38,$B$39)*100),0,B35/SUM($B$32,$B$34,$B$35,$B$36,$B$38,$B$39)*100)</f>
        <v>13.024663348465786</v>
      </c>
      <c r="D35" s="234"/>
      <c r="G35" s="15"/>
    </row>
    <row r="36" spans="1:7">
      <c r="A36" s="172" t="s">
        <v>75</v>
      </c>
      <c r="B36" s="33">
        <f>IF((($B$28-$B$32-$B$39-$B$77-$B$38)*C22/100)&lt;0,0,($B$28-$B$32-$B$39-$B$77-$B$38)*C22/100)</f>
        <v>261.37191489361697</v>
      </c>
      <c r="C36" s="168">
        <f>IF(ISERROR(B36/SUM($B$32,$B$34,$B$35,$B$36,$B$38,$B$39)*100),0,B36/SUM($B$32,$B$34,$B$35,$B$36,$B$38,$B$39)*100)</f>
        <v>1.6797680905759445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342.59999999999991</v>
      </c>
      <c r="C39" s="168">
        <f>IF(ISERROR(B39/SUM($B$32,$B$34,$B$35,$B$36,$B$38,$B$39)*100),0,B39/SUM($B$32,$B$34,$B$35,$B$36,$B$38,$B$39)*100)</f>
        <v>2.2017994858611818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12855</v>
      </c>
      <c r="C44" s="34" t="s">
        <v>111</v>
      </c>
      <c r="D44" s="175"/>
    </row>
    <row r="45" spans="1:7">
      <c r="A45" s="172" t="s">
        <v>72</v>
      </c>
      <c r="B45" s="33" t="str">
        <f t="shared" si="0"/>
        <v>-</v>
      </c>
      <c r="C45" s="34" t="s">
        <v>111</v>
      </c>
      <c r="D45" s="175"/>
    </row>
    <row r="46" spans="1:7">
      <c r="A46" s="172" t="s">
        <v>73</v>
      </c>
      <c r="B46" s="33">
        <f t="shared" si="0"/>
        <v>74.390468085106392</v>
      </c>
      <c r="C46" s="34" t="s">
        <v>111</v>
      </c>
      <c r="D46" s="175"/>
    </row>
    <row r="47" spans="1:7">
      <c r="A47" s="172" t="s">
        <v>74</v>
      </c>
      <c r="B47" s="33">
        <f t="shared" si="0"/>
        <v>2026.6376170212766</v>
      </c>
      <c r="C47" s="34" t="s">
        <v>111</v>
      </c>
      <c r="D47" s="175"/>
    </row>
    <row r="48" spans="1:7">
      <c r="A48" s="172" t="s">
        <v>75</v>
      </c>
      <c r="B48" s="33">
        <f t="shared" si="0"/>
        <v>261.37191489361697</v>
      </c>
      <c r="C48" s="33">
        <f>B48*10</f>
        <v>2613.7191489361699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342.59999999999991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51121.527658193627</v>
      </c>
      <c r="C5" s="17">
        <f>IF(ISERROR('Eigen informatie GS &amp; warmtenet'!B58),0,'Eigen informatie GS &amp; warmtenet'!B58)</f>
        <v>0</v>
      </c>
      <c r="D5" s="30">
        <f>SUM(D6:D12)</f>
        <v>85146.813877848967</v>
      </c>
      <c r="E5" s="17">
        <f>SUM(E6:E12)</f>
        <v>1005.299414966716</v>
      </c>
      <c r="F5" s="17">
        <f>SUM(F6:F12)</f>
        <v>10344.981178539078</v>
      </c>
      <c r="G5" s="18"/>
      <c r="H5" s="17"/>
      <c r="I5" s="17"/>
      <c r="J5" s="17">
        <f>SUM(J6:J12)</f>
        <v>0</v>
      </c>
      <c r="K5" s="17"/>
      <c r="L5" s="17"/>
      <c r="M5" s="17"/>
      <c r="N5" s="17">
        <f>SUM(N6:N12)</f>
        <v>1668.8231783053041</v>
      </c>
      <c r="O5" s="17">
        <f>B38*B39*B40</f>
        <v>1.5633333333333335</v>
      </c>
      <c r="P5" s="17">
        <f>B46*B47*B48/1000-B46*B47*B48/1000/B49</f>
        <v>19.066666666666666</v>
      </c>
      <c r="R5" s="32"/>
    </row>
    <row r="6" spans="1:18">
      <c r="A6" s="32" t="s">
        <v>54</v>
      </c>
      <c r="B6" s="37">
        <f>B26</f>
        <v>17386.530225880197</v>
      </c>
      <c r="C6" s="33"/>
      <c r="D6" s="37">
        <f>IF(ISERROR(TER_kantoor_gas_kWh/1000),0,TER_kantoor_gas_kWh/1000)*0.902</f>
        <v>31456.191811649696</v>
      </c>
      <c r="E6" s="33">
        <f>$C$26*'E Balans VL '!I12/100/3.6*1000000</f>
        <v>608.59695211058147</v>
      </c>
      <c r="F6" s="33">
        <f>$C$26*('E Balans VL '!L12+'E Balans VL '!N12)/100/3.6*1000000</f>
        <v>2636.1712673895281</v>
      </c>
      <c r="G6" s="34"/>
      <c r="H6" s="33"/>
      <c r="I6" s="33"/>
      <c r="J6" s="33">
        <f>$C$26*('E Balans VL '!D12+'E Balans VL '!E12)/100/3.6*1000000</f>
        <v>0</v>
      </c>
      <c r="K6" s="33"/>
      <c r="L6" s="33"/>
      <c r="M6" s="33"/>
      <c r="N6" s="33">
        <f>$C$26*'E Balans VL '!Y12/100/3.6*1000000</f>
        <v>134.39243681185923</v>
      </c>
      <c r="O6" s="33"/>
      <c r="P6" s="33"/>
      <c r="R6" s="32"/>
    </row>
    <row r="7" spans="1:18">
      <c r="A7" s="32" t="s">
        <v>53</v>
      </c>
      <c r="B7" s="37">
        <f t="shared" ref="B7:B12" si="0">B27</f>
        <v>3981.9618206722698</v>
      </c>
      <c r="C7" s="33"/>
      <c r="D7" s="37">
        <f>IF(ISERROR(TER_horeca_gas_kWh/1000),0,TER_horeca_gas_kWh/1000)*0.902</f>
        <v>6769.2235487194703</v>
      </c>
      <c r="E7" s="33">
        <f>$C$27*'E Balans VL '!I9/100/3.6*1000000</f>
        <v>224.6355938833035</v>
      </c>
      <c r="F7" s="33">
        <f>$C$27*('E Balans VL '!L9+'E Balans VL '!N9)/100/3.6*1000000</f>
        <v>693.67978562075984</v>
      </c>
      <c r="G7" s="34"/>
      <c r="H7" s="33"/>
      <c r="I7" s="33"/>
      <c r="J7" s="33">
        <f>$C$27*('E Balans VL '!D9+'E Balans VL '!E9)/100/3.6*1000000</f>
        <v>0</v>
      </c>
      <c r="K7" s="33"/>
      <c r="L7" s="33"/>
      <c r="M7" s="33"/>
      <c r="N7" s="33">
        <f>$C$27*'E Balans VL '!Y9/100/3.6*1000000</f>
        <v>0</v>
      </c>
      <c r="O7" s="33"/>
      <c r="P7" s="33"/>
      <c r="R7" s="32"/>
    </row>
    <row r="8" spans="1:18">
      <c r="A8" s="6" t="s">
        <v>52</v>
      </c>
      <c r="B8" s="37">
        <f t="shared" si="0"/>
        <v>10850.833855282901</v>
      </c>
      <c r="C8" s="33"/>
      <c r="D8" s="37">
        <f>IF(ISERROR(TER_handel_gas_kWh/1000),0,TER_handel_gas_kWh/1000)*0.902</f>
        <v>8215.9012999059123</v>
      </c>
      <c r="E8" s="33">
        <f>$C$28*'E Balans VL '!I13/100/3.6*1000000</f>
        <v>55.707078584291658</v>
      </c>
      <c r="F8" s="33">
        <f>$C$28*('E Balans VL '!L13+'E Balans VL '!N13)/100/3.6*1000000</f>
        <v>1673.0309178902426</v>
      </c>
      <c r="G8" s="34"/>
      <c r="H8" s="33"/>
      <c r="I8" s="33"/>
      <c r="J8" s="33">
        <f>$C$28*('E Balans VL '!D13+'E Balans VL '!E13)/100/3.6*1000000</f>
        <v>0</v>
      </c>
      <c r="K8" s="33"/>
      <c r="L8" s="33"/>
      <c r="M8" s="33"/>
      <c r="N8" s="33">
        <f>$C$28*'E Balans VL '!Y13/100/3.6*1000000</f>
        <v>5.0750674463715866</v>
      </c>
      <c r="O8" s="33"/>
      <c r="P8" s="33"/>
      <c r="R8" s="32"/>
    </row>
    <row r="9" spans="1:18">
      <c r="A9" s="32" t="s">
        <v>51</v>
      </c>
      <c r="B9" s="37">
        <f t="shared" si="0"/>
        <v>7904.3418401791305</v>
      </c>
      <c r="C9" s="33"/>
      <c r="D9" s="37">
        <f>IF(ISERROR(TER_gezond_gas_kWh/1000),0,TER_gezond_gas_kWh/1000)*0.902</f>
        <v>16126.53119832805</v>
      </c>
      <c r="E9" s="33">
        <f>$C$29*'E Balans VL '!I10/100/3.6*1000000</f>
        <v>3.2762934000491817</v>
      </c>
      <c r="F9" s="33">
        <f>$C$29*('E Balans VL '!L10+'E Balans VL '!N10)/100/3.6*1000000</f>
        <v>1946.7260318523035</v>
      </c>
      <c r="G9" s="34"/>
      <c r="H9" s="33"/>
      <c r="I9" s="33"/>
      <c r="J9" s="33">
        <f>$C$29*('E Balans VL '!D10+'E Balans VL '!E10)/100/3.6*1000000</f>
        <v>0</v>
      </c>
      <c r="K9" s="33"/>
      <c r="L9" s="33"/>
      <c r="M9" s="33"/>
      <c r="N9" s="33">
        <f>$C$29*'E Balans VL '!Y10/100/3.6*1000000</f>
        <v>68.313077734176346</v>
      </c>
      <c r="O9" s="33"/>
      <c r="P9" s="33"/>
      <c r="R9" s="32"/>
    </row>
    <row r="10" spans="1:18">
      <c r="A10" s="32" t="s">
        <v>50</v>
      </c>
      <c r="B10" s="37">
        <f t="shared" si="0"/>
        <v>5882.8751474514402</v>
      </c>
      <c r="C10" s="33"/>
      <c r="D10" s="37">
        <f>IF(ISERROR(TER_ander_gas_kWh/1000),0,TER_ander_gas_kWh/1000)*0.902</f>
        <v>7116.1055060554863</v>
      </c>
      <c r="E10" s="33">
        <f>$C$30*'E Balans VL '!I14/100/3.6*1000000</f>
        <v>35.862152045262633</v>
      </c>
      <c r="F10" s="33">
        <f>$C$30*('E Balans VL '!L14+'E Balans VL '!N14)/100/3.6*1000000</f>
        <v>1559.6307878376017</v>
      </c>
      <c r="G10" s="34"/>
      <c r="H10" s="33"/>
      <c r="I10" s="33"/>
      <c r="J10" s="33">
        <f>$C$30*('E Balans VL '!D14+'E Balans VL '!E14)/100/3.6*1000000</f>
        <v>0</v>
      </c>
      <c r="K10" s="33"/>
      <c r="L10" s="33"/>
      <c r="M10" s="33"/>
      <c r="N10" s="33">
        <f>$C$30*'E Balans VL '!Y14/100/3.6*1000000</f>
        <v>1355.8756019121574</v>
      </c>
      <c r="O10" s="33"/>
      <c r="P10" s="33"/>
      <c r="R10" s="32"/>
    </row>
    <row r="11" spans="1:18">
      <c r="A11" s="32" t="s">
        <v>55</v>
      </c>
      <c r="B11" s="37">
        <f t="shared" si="0"/>
        <v>1570.2202289611701</v>
      </c>
      <c r="C11" s="33"/>
      <c r="D11" s="37">
        <f>IF(ISERROR(TER_onderwijs_gas_kWh/1000),0,TER_onderwijs_gas_kWh/1000)*0.902</f>
        <v>8404.4429752267351</v>
      </c>
      <c r="E11" s="33">
        <f>$C$31*'E Balans VL '!I11/100/3.6*1000000</f>
        <v>1.1965895766994972</v>
      </c>
      <c r="F11" s="33">
        <f>$C$31*('E Balans VL '!L11+'E Balans VL '!N11)/100/3.6*1000000</f>
        <v>1136.2974093252719</v>
      </c>
      <c r="G11" s="34"/>
      <c r="H11" s="33"/>
      <c r="I11" s="33"/>
      <c r="J11" s="33">
        <f>$C$31*('E Balans VL '!D11+'E Balans VL '!E11)/100/3.6*1000000</f>
        <v>0</v>
      </c>
      <c r="K11" s="33"/>
      <c r="L11" s="33"/>
      <c r="M11" s="33"/>
      <c r="N11" s="33">
        <f>$C$31*'E Balans VL '!Y11/100/3.6*1000000</f>
        <v>4.6278142905450279</v>
      </c>
      <c r="O11" s="33"/>
      <c r="P11" s="33"/>
      <c r="R11" s="32"/>
    </row>
    <row r="12" spans="1:18">
      <c r="A12" s="32" t="s">
        <v>260</v>
      </c>
      <c r="B12" s="37">
        <f t="shared" si="0"/>
        <v>3544.7645397665196</v>
      </c>
      <c r="C12" s="33"/>
      <c r="D12" s="37">
        <f>IF(ISERROR(TER_rest_gas_kWh/1000),0,TER_rest_gas_kWh/1000)*0.902</f>
        <v>7058.4175379636245</v>
      </c>
      <c r="E12" s="33">
        <f>$C$32*'E Balans VL '!I8/100/3.6*1000000</f>
        <v>76.024755366527955</v>
      </c>
      <c r="F12" s="33">
        <f>$C$32*('E Balans VL '!L8+'E Balans VL '!N8)/100/3.6*1000000</f>
        <v>699.44497862336857</v>
      </c>
      <c r="G12" s="34"/>
      <c r="H12" s="33"/>
      <c r="I12" s="33"/>
      <c r="J12" s="33">
        <f>$C$32*('E Balans VL '!D8+'E Balans VL '!E8)/100/3.6*1000000</f>
        <v>0</v>
      </c>
      <c r="K12" s="33"/>
      <c r="L12" s="33"/>
      <c r="M12" s="33"/>
      <c r="N12" s="33">
        <f>$C$32*'E Balans VL '!Y8/100/3.6*1000000</f>
        <v>100.53918011019441</v>
      </c>
      <c r="O12" s="33"/>
      <c r="P12" s="33"/>
      <c r="R12" s="32"/>
    </row>
    <row r="13" spans="1:18">
      <c r="A13" s="16" t="s">
        <v>496</v>
      </c>
      <c r="B13" s="248">
        <f ca="1">'lokale energieproductie'!N91+'lokale energieproductie'!N60</f>
        <v>630.00000000000011</v>
      </c>
      <c r="C13" s="248">
        <f ca="1">'lokale energieproductie'!O91+'lokale energieproductie'!O60</f>
        <v>900.00000000000023</v>
      </c>
      <c r="D13" s="311">
        <f ca="1">('lokale energieproductie'!P60+'lokale energieproductie'!P91)*(-1)</f>
        <v>-1800.0000000000005</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51751.527658193627</v>
      </c>
      <c r="C16" s="21">
        <f ca="1">C5+C13+C14</f>
        <v>900.00000000000023</v>
      </c>
      <c r="D16" s="21">
        <f t="shared" ref="D16:N16" ca="1" si="1">MAX((D5+D13+D14),0)</f>
        <v>83346.813877848967</v>
      </c>
      <c r="E16" s="21">
        <f t="shared" si="1"/>
        <v>1005.299414966716</v>
      </c>
      <c r="F16" s="21">
        <f t="shared" ca="1" si="1"/>
        <v>10344.981178539078</v>
      </c>
      <c r="G16" s="21">
        <f t="shared" si="1"/>
        <v>0</v>
      </c>
      <c r="H16" s="21">
        <f t="shared" si="1"/>
        <v>0</v>
      </c>
      <c r="I16" s="21">
        <f t="shared" si="1"/>
        <v>0</v>
      </c>
      <c r="J16" s="21">
        <f t="shared" si="1"/>
        <v>0</v>
      </c>
      <c r="K16" s="21">
        <f t="shared" si="1"/>
        <v>0</v>
      </c>
      <c r="L16" s="21">
        <f t="shared" ca="1" si="1"/>
        <v>0</v>
      </c>
      <c r="M16" s="21">
        <f t="shared" si="1"/>
        <v>0</v>
      </c>
      <c r="N16" s="21">
        <f t="shared" ca="1" si="1"/>
        <v>1668.8231783053041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0.2179111752442407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11277.236212681801</v>
      </c>
      <c r="C20" s="23">
        <f t="shared" ref="C20:P20" ca="1" si="2">C16*C18</f>
        <v>213.88235294117655</v>
      </c>
      <c r="D20" s="23">
        <f t="shared" ca="1" si="2"/>
        <v>16836.056403325492</v>
      </c>
      <c r="E20" s="23">
        <f t="shared" si="2"/>
        <v>228.20296719744454</v>
      </c>
      <c r="F20" s="23">
        <f t="shared" ca="1" si="2"/>
        <v>2762.1099746699338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17386.530225880197</v>
      </c>
      <c r="C26" s="39">
        <f>IF(ISERROR(B26*3.6/1000000/'E Balans VL '!Z12*100),0,B26*3.6/1000000/'E Balans VL '!Z12*100)</f>
        <v>0.36587069521362797</v>
      </c>
      <c r="D26" s="238" t="s">
        <v>719</v>
      </c>
      <c r="F26" s="6"/>
    </row>
    <row r="27" spans="1:18">
      <c r="A27" s="232" t="s">
        <v>53</v>
      </c>
      <c r="B27" s="33">
        <f>IF(ISERROR(TER_horeca_ele_kWh/1000),0,TER_horeca_ele_kWh/1000)</f>
        <v>3981.9618206722698</v>
      </c>
      <c r="C27" s="39">
        <f>IF(ISERROR(B27*3.6/1000000/'E Balans VL '!Z9*100),0,B27*3.6/1000000/'E Balans VL '!Z9*100)</f>
        <v>0.3371415181472241</v>
      </c>
      <c r="D27" s="238" t="s">
        <v>719</v>
      </c>
      <c r="F27" s="6"/>
    </row>
    <row r="28" spans="1:18">
      <c r="A28" s="172" t="s">
        <v>52</v>
      </c>
      <c r="B28" s="33">
        <f>IF(ISERROR(TER_handel_ele_kWh/1000),0,TER_handel_ele_kWh/1000)</f>
        <v>10850.833855282901</v>
      </c>
      <c r="C28" s="39">
        <f>IF(ISERROR(B28*3.6/1000000/'E Balans VL '!Z13*100),0,B28*3.6/1000000/'E Balans VL '!Z13*100)</f>
        <v>0.30040383484055649</v>
      </c>
      <c r="D28" s="238" t="s">
        <v>719</v>
      </c>
      <c r="F28" s="6"/>
    </row>
    <row r="29" spans="1:18">
      <c r="A29" s="232" t="s">
        <v>51</v>
      </c>
      <c r="B29" s="33">
        <f>IF(ISERROR(TER_gezond_ele_kWh/1000),0,TER_gezond_ele_kWh/1000)</f>
        <v>7904.3418401791305</v>
      </c>
      <c r="C29" s="39">
        <f>IF(ISERROR(B29*3.6/1000000/'E Balans VL '!Z10*100),0,B29*3.6/1000000/'E Balans VL '!Z10*100)</f>
        <v>1.0274768093772493</v>
      </c>
      <c r="D29" s="238" t="s">
        <v>719</v>
      </c>
      <c r="F29" s="6"/>
    </row>
    <row r="30" spans="1:18">
      <c r="A30" s="232" t="s">
        <v>50</v>
      </c>
      <c r="B30" s="33">
        <f>IF(ISERROR(TER_ander_ele_kWh/1000),0,TER_ander_ele_kWh/1000)</f>
        <v>5882.8751474514402</v>
      </c>
      <c r="C30" s="39">
        <f>IF(ISERROR(B30*3.6/1000000/'E Balans VL '!Z14*100),0,B30*3.6/1000000/'E Balans VL '!Z14*100)</f>
        <v>0.45597677401389081</v>
      </c>
      <c r="D30" s="238" t="s">
        <v>719</v>
      </c>
      <c r="F30" s="6"/>
    </row>
    <row r="31" spans="1:18">
      <c r="A31" s="232" t="s">
        <v>55</v>
      </c>
      <c r="B31" s="33">
        <f>IF(ISERROR(TER_onderwijs_ele_kWh/1000),0,TER_onderwijs_ele_kWh/1000)</f>
        <v>1570.2202289611701</v>
      </c>
      <c r="C31" s="39">
        <f>IF(ISERROR(B31*3.6/1000000/'E Balans VL '!Z11*100),0,B31*3.6/1000000/'E Balans VL '!Z11*100)</f>
        <v>0.30040988578675931</v>
      </c>
      <c r="D31" s="238" t="s">
        <v>719</v>
      </c>
    </row>
    <row r="32" spans="1:18">
      <c r="A32" s="232" t="s">
        <v>260</v>
      </c>
      <c r="B32" s="33">
        <f>IF(ISERROR(TER_rest_ele_kWh/1000),0,TER_rest_ele_kWh/1000)</f>
        <v>3544.7645397665196</v>
      </c>
      <c r="C32" s="39">
        <f>IF(ISERROR(B32*3.6/1000000/'E Balans VL '!Z8*100),0,B32*3.6/1000000/'E Balans VL '!Z8*100)</f>
        <v>2.9229305710233074E-2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3636.5472157007403</v>
      </c>
      <c r="C5" s="17">
        <f>IF(ISERROR('Eigen informatie GS &amp; warmtenet'!B59),0,'Eigen informatie GS &amp; warmtenet'!B59)</f>
        <v>0</v>
      </c>
      <c r="D5" s="30">
        <f>SUM(D6:D15)</f>
        <v>5518.9935815922609</v>
      </c>
      <c r="E5" s="17">
        <f>SUM(E6:E15)</f>
        <v>53.247998025036644</v>
      </c>
      <c r="F5" s="17">
        <f>SUM(F6:F15)</f>
        <v>1696.188661821647</v>
      </c>
      <c r="G5" s="18"/>
      <c r="H5" s="17"/>
      <c r="I5" s="17"/>
      <c r="J5" s="17">
        <f>SUM(J6:J15)</f>
        <v>8.0416219475214028</v>
      </c>
      <c r="K5" s="17"/>
      <c r="L5" s="17"/>
      <c r="M5" s="17"/>
      <c r="N5" s="17">
        <f>SUM(N6:N15)</f>
        <v>153.24099494825518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1730.5344788039399</v>
      </c>
      <c r="C9" s="33"/>
      <c r="D9" s="37">
        <f>IF( ISERROR(IND_andere_gas_kWh/1000),0,IND_andere_gas_kWh/1000)*0.902</f>
        <v>3140.5617371311887</v>
      </c>
      <c r="E9" s="33">
        <f>C31*'E Balans VL '!I19/100/3.6*1000000</f>
        <v>29.066446543935662</v>
      </c>
      <c r="F9" s="33">
        <f>C31*'E Balans VL '!L19/100/3.6*1000000+C31*'E Balans VL '!N19/100/3.6*1000000</f>
        <v>1352.833291644534</v>
      </c>
      <c r="G9" s="34"/>
      <c r="H9" s="33"/>
      <c r="I9" s="33"/>
      <c r="J9" s="40">
        <f>C31*'E Balans VL '!D19/100/3.6*1000000+C31*'E Balans VL '!E19/100/3.6*1000000</f>
        <v>0.15607893389416452</v>
      </c>
      <c r="K9" s="33"/>
      <c r="L9" s="33"/>
      <c r="M9" s="33"/>
      <c r="N9" s="33">
        <f>C31*'E Balans VL '!Y19/100/3.6*1000000</f>
        <v>128.26036886081928</v>
      </c>
      <c r="O9" s="33"/>
      <c r="P9" s="33"/>
      <c r="R9" s="32"/>
    </row>
    <row r="10" spans="1:18">
      <c r="A10" s="6" t="s">
        <v>41</v>
      </c>
      <c r="B10" s="37">
        <f t="shared" si="0"/>
        <v>1078.3827078277202</v>
      </c>
      <c r="C10" s="33"/>
      <c r="D10" s="37">
        <f>IF( ISERROR(IND_voed_gas_kWh/1000),0,IND_voed_gas_kWh/1000)*0.902</f>
        <v>1420.3504775315662</v>
      </c>
      <c r="E10" s="33">
        <f>C32*'E Balans VL '!I20/100/3.6*1000000</f>
        <v>9.8387157043074236</v>
      </c>
      <c r="F10" s="33">
        <f>C32*'E Balans VL '!L20/100/3.6*1000000+C32*'E Balans VL '!N20/100/3.6*1000000</f>
        <v>173.97686060977333</v>
      </c>
      <c r="G10" s="34"/>
      <c r="H10" s="33"/>
      <c r="I10" s="33"/>
      <c r="J10" s="40">
        <f>C32*'E Balans VL '!D20/100/3.6*1000000+C32*'E Balans VL '!E20/100/3.6*1000000</f>
        <v>4.4414870127612565</v>
      </c>
      <c r="K10" s="33"/>
      <c r="L10" s="33"/>
      <c r="M10" s="33"/>
      <c r="N10" s="33">
        <f>C32*'E Balans VL '!Y20/100/3.6*1000000</f>
        <v>15.775888686889042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316.13799852376701</v>
      </c>
      <c r="C13" s="33"/>
      <c r="D13" s="37">
        <f>IF( ISERROR(IND_papier_gas_kWh/1000),0,IND_papier_gas_kWh/1000)*0.902</f>
        <v>228.47053846490485</v>
      </c>
      <c r="E13" s="33">
        <f>C35*'E Balans VL '!I23/100/3.6*1000000</f>
        <v>9.7267411678808884</v>
      </c>
      <c r="F13" s="33">
        <f>C35*'E Balans VL '!L23/100/3.6*1000000+C35*'E Balans VL '!N23/100/3.6*1000000</f>
        <v>67.127145456880044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511.49203054531301</v>
      </c>
      <c r="C15" s="33"/>
      <c r="D15" s="37">
        <f>IF( ISERROR(IND_rest_gas_kWh/1000),0,IND_rest_gas_kWh/1000)*0.902</f>
        <v>729.61082846460056</v>
      </c>
      <c r="E15" s="33">
        <f>C37*'E Balans VL '!I15/100/3.6*1000000</f>
        <v>4.6160946089126673</v>
      </c>
      <c r="F15" s="33">
        <f>C37*'E Balans VL '!L15/100/3.6*1000000+C37*'E Balans VL '!N15/100/3.6*1000000</f>
        <v>102.25136411045948</v>
      </c>
      <c r="G15" s="34"/>
      <c r="H15" s="33"/>
      <c r="I15" s="33"/>
      <c r="J15" s="40">
        <f>C37*'E Balans VL '!D15/100/3.6*1000000+C37*'E Balans VL '!E15/100/3.6*1000000</f>
        <v>3.4440560008659817</v>
      </c>
      <c r="K15" s="33"/>
      <c r="L15" s="33"/>
      <c r="M15" s="33"/>
      <c r="N15" s="33">
        <f>C37*'E Balans VL '!Y15/100/3.6*1000000</f>
        <v>9.2047374005468505</v>
      </c>
      <c r="O15" s="33"/>
      <c r="P15" s="33"/>
      <c r="R15" s="32"/>
    </row>
    <row r="16" spans="1:18">
      <c r="A16" s="16" t="s">
        <v>496</v>
      </c>
      <c r="B16" s="248">
        <f>'lokale energieproductie'!N90+'lokale energieproductie'!N59</f>
        <v>534.15000000000009</v>
      </c>
      <c r="C16" s="248">
        <f>'lokale energieproductie'!O90+'lokale energieproductie'!O59</f>
        <v>763.07142857142867</v>
      </c>
      <c r="D16" s="311">
        <f>('lokale energieproductie'!P59+'lokale energieproductie'!P90)*(-1)</f>
        <v>-1526.1428571428573</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4170.6972157007403</v>
      </c>
      <c r="C18" s="21">
        <f>C5+C16</f>
        <v>763.07142857142867</v>
      </c>
      <c r="D18" s="21">
        <f>MAX((D5+D16),0)</f>
        <v>3992.8507244494035</v>
      </c>
      <c r="E18" s="21">
        <f>MAX((E5+E16),0)</f>
        <v>53.247998025036644</v>
      </c>
      <c r="F18" s="21">
        <f>MAX((F5+F16),0)</f>
        <v>1696.188661821647</v>
      </c>
      <c r="G18" s="21"/>
      <c r="H18" s="21"/>
      <c r="I18" s="21"/>
      <c r="J18" s="21">
        <f>MAX((J5+J16),0)</f>
        <v>8.0416219475214028</v>
      </c>
      <c r="K18" s="21"/>
      <c r="L18" s="21">
        <f>MAX((L5+L16),0)</f>
        <v>0</v>
      </c>
      <c r="M18" s="21"/>
      <c r="N18" s="21">
        <f>MAX((N5+N16),0)</f>
        <v>153.24099494825518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0.2179111752442407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908.84153186123081</v>
      </c>
      <c r="C22" s="23">
        <f ca="1">C18*C20</f>
        <v>181.34168067226895</v>
      </c>
      <c r="D22" s="23">
        <f>D18*D20</f>
        <v>806.55584633877959</v>
      </c>
      <c r="E22" s="23">
        <f>E18*E20</f>
        <v>12.087295551683319</v>
      </c>
      <c r="F22" s="23">
        <f>F18*F20</f>
        <v>452.88237270637978</v>
      </c>
      <c r="G22" s="23"/>
      <c r="H22" s="23"/>
      <c r="I22" s="23"/>
      <c r="J22" s="23">
        <f>J18*J20</f>
        <v>2.8467341694225765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1730.5344788039399</v>
      </c>
      <c r="C31" s="39">
        <f>IF(ISERROR(B31*3.6/1000000/'E Balans VL '!Z19*100),0,B31*3.6/1000000/'E Balans VL '!Z19*100)</f>
        <v>7.6707735429213969E-2</v>
      </c>
      <c r="D31" s="238" t="s">
        <v>719</v>
      </c>
    </row>
    <row r="32" spans="1:18">
      <c r="A32" s="172" t="s">
        <v>41</v>
      </c>
      <c r="B32" s="37">
        <f>IF( ISERROR(IND_voed_ele_kWh/1000),0,IND_voed_ele_kWh/1000)</f>
        <v>1078.3827078277202</v>
      </c>
      <c r="C32" s="39">
        <f>IF(ISERROR(B32*3.6/1000000/'E Balans VL '!Z20*100),0,B32*3.6/1000000/'E Balans VL '!Z20*100)</f>
        <v>3.6021075921060103E-2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316.13799852376701</v>
      </c>
      <c r="C35" s="39">
        <f>IF(ISERROR(B35*3.6/1000000/'E Balans VL '!Z22*100),0,B35*3.6/1000000/'E Balans VL '!Z22*100)</f>
        <v>6.1485368134352202E-2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511.49203054531301</v>
      </c>
      <c r="C37" s="39">
        <f>IF(ISERROR(B37*3.6/1000000/'E Balans VL '!Z15*100),0,B37*3.6/1000000/'E Balans VL '!Z15*100)</f>
        <v>3.8046674154602199E-3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125.0850164728998</v>
      </c>
      <c r="C5" s="17">
        <f>'Eigen informatie GS &amp; warmtenet'!B60</f>
        <v>0</v>
      </c>
      <c r="D5" s="30">
        <f>IF(ISERROR(SUM(LB_lb_gas_kWh,LB_rest_gas_kWh)/1000),0,SUM(LB_lb_gas_kWh,LB_rest_gas_kWh)/1000)*0.902</f>
        <v>239.59405285347958</v>
      </c>
      <c r="E5" s="17">
        <f>B17*'E Balans VL '!I25/3.6*1000000/100</f>
        <v>1.3099173723059649</v>
      </c>
      <c r="F5" s="17">
        <f>B17*('E Balans VL '!L25/3.6*1000000+'E Balans VL '!N25/3.6*1000000)/100</f>
        <v>535.45891493106126</v>
      </c>
      <c r="G5" s="18"/>
      <c r="H5" s="17"/>
      <c r="I5" s="17"/>
      <c r="J5" s="17">
        <f>('E Balans VL '!D25+'E Balans VL '!E25)/3.6*1000000*landbouw!B17/100</f>
        <v>11.171213127159142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125.0850164728998</v>
      </c>
      <c r="C8" s="21">
        <f>C5+C6</f>
        <v>0</v>
      </c>
      <c r="D8" s="21">
        <f>MAX((D5+D6),0)</f>
        <v>239.59405285347958</v>
      </c>
      <c r="E8" s="21">
        <f>MAX((E5+E6),0)</f>
        <v>1.3099173723059649</v>
      </c>
      <c r="F8" s="21">
        <f>MAX((F5+F6),0)</f>
        <v>535.45891493106126</v>
      </c>
      <c r="G8" s="21"/>
      <c r="H8" s="21"/>
      <c r="I8" s="21"/>
      <c r="J8" s="21">
        <f>MAX((J5+J6),0)</f>
        <v>11.171213127159142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0.2179111752442407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27.257422945054802</v>
      </c>
      <c r="C12" s="23">
        <f ca="1">C8*C10</f>
        <v>0</v>
      </c>
      <c r="D12" s="23">
        <f>D8*D10</f>
        <v>48.397998676402878</v>
      </c>
      <c r="E12" s="23">
        <f>E8*E10</f>
        <v>0.29735124351345404</v>
      </c>
      <c r="F12" s="23">
        <f>F8*F10</f>
        <v>142.96753028659336</v>
      </c>
      <c r="G12" s="23"/>
      <c r="H12" s="23"/>
      <c r="I12" s="23"/>
      <c r="J12" s="23">
        <f>J8*J10</f>
        <v>3.9546094470143358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1.9252998622209118E-2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0.57478023005629386</v>
      </c>
      <c r="C26" s="248">
        <f>B26*'GWP N2O_CH4'!B5</f>
        <v>12.070384831182171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9.4745479332137547E-2</v>
      </c>
      <c r="C27" s="248">
        <f>B27*'GWP N2O_CH4'!B5</f>
        <v>1.9896550659748884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4.7132108050238356E-3</v>
      </c>
      <c r="C28" s="248">
        <f>B28*'GWP N2O_CH4'!B4</f>
        <v>1.4610953495573891</v>
      </c>
      <c r="D28" s="50"/>
    </row>
    <row r="29" spans="1:4">
      <c r="A29" s="41" t="s">
        <v>277</v>
      </c>
      <c r="B29" s="248">
        <f>B34*'ha_N2O bodem landbouw'!B4</f>
        <v>2.9870247054485328</v>
      </c>
      <c r="C29" s="248">
        <f>B29*'GWP N2O_CH4'!B4</f>
        <v>925.97765868904514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4.9364506325199091E-4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5.7284807757281423E-6</v>
      </c>
      <c r="C5" s="446" t="s">
        <v>211</v>
      </c>
      <c r="D5" s="431">
        <f>SUM(D6:D11)</f>
        <v>2.9974743198414819E-5</v>
      </c>
      <c r="E5" s="431">
        <f>SUM(E6:E11)</f>
        <v>3.1035660302270954E-3</v>
      </c>
      <c r="F5" s="444" t="s">
        <v>211</v>
      </c>
      <c r="G5" s="431">
        <f>SUM(G6:G11)</f>
        <v>0.49625822994277108</v>
      </c>
      <c r="H5" s="431">
        <f>SUM(H6:H11)</f>
        <v>9.989614604431292E-2</v>
      </c>
      <c r="I5" s="446" t="s">
        <v>211</v>
      </c>
      <c r="J5" s="446" t="s">
        <v>211</v>
      </c>
      <c r="K5" s="446" t="s">
        <v>211</v>
      </c>
      <c r="L5" s="446" t="s">
        <v>211</v>
      </c>
      <c r="M5" s="431">
        <f>SUM(M6:M11)</f>
        <v>2.6051277221184041E-2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3.4495656315174985E-6</v>
      </c>
      <c r="C6" s="432"/>
      <c r="D6" s="432">
        <f>vkm_2011_GW_PW*SUMIFS(TableVerdeelsleutelVkm[CNG],TableVerdeelsleutelVkm[Voertuigtype],"Lichte voertuigen")*SUMIFS(TableECFTransport[EnergieConsumptieFactor (PJ per km)],TableECFTransport[Index],CONCATENATE($A6,"_CNG_CNG"))</f>
        <v>1.4870676460405649E-5</v>
      </c>
      <c r="E6" s="434">
        <f>vkm_2011_GW_PW*SUMIFS(TableVerdeelsleutelVkm[LPG],TableVerdeelsleutelVkm[Voertuigtype],"Lichte voertuigen")*SUMIFS(TableECFTransport[EnergieConsumptieFactor (PJ per km)],TableECFTransport[Index],CONCATENATE($A6,"_LPG_LPG"))</f>
        <v>1.5472026411494982E-3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0.19031017236413222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5.0104724581954203E-2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1.0536133377363335E-2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5.9891533839817115E-2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2.0535976997923412E-5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2.5872020446053579E-3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1.5074616496000259E-6</v>
      </c>
      <c r="C8" s="432"/>
      <c r="D8" s="434">
        <f>vkm_2011_NGW_PW*SUMIFS(TableVerdeelsleutelVkm[CNG],TableVerdeelsleutelVkm[Voertuigtype],"Lichte voertuigen")*SUMIFS(TableECFTransport[EnergieConsumptieFactor (PJ per km)],TableECFTransport[Index],CONCATENATE($A8,"_CNG_CNG"))</f>
        <v>1.1658452831794785E-5</v>
      </c>
      <c r="E8" s="434">
        <f>vkm_2011_NGW_PW*SUMIFS(TableVerdeelsleutelVkm[LPG],TableVerdeelsleutelVkm[Voertuigtype],"Lichte voertuigen")*SUMIFS(TableECFTransport[EnergieConsumptieFactor (PJ per km)],TableECFTransport[Index],CONCATENATE($A8,"_LPG_LPG"))</f>
        <v>1.1075502773683393E-3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0.12921268889278292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3.7496940948850817E-2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7.3145030545684556E-3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4.4993687352431755E-3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1.3402437429578312E-6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1.943549290167002E-4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7.714534946106177E-7</v>
      </c>
      <c r="C10" s="432"/>
      <c r="D10" s="434">
        <f>vkm_2011_SW_PW*SUMIFS(TableVerdeelsleutelVkm[CNG],TableVerdeelsleutelVkm[Voertuigtype],"Lichte voertuigen")*SUMIFS(TableECFTransport[EnergieConsumptieFactor (PJ per km)],TableECFTransport[Index],CONCATENATE($A10,"_CNG_CNG"))</f>
        <v>3.4456139062143869E-6</v>
      </c>
      <c r="E10" s="434">
        <f>vkm_2011_SW_PW*SUMIFS(TableVerdeelsleutelVkm[LPG],TableVerdeelsleutelVkm[Voertuigtype],"Lichte voertuigen")*SUMIFS(TableECFTransport[EnergieConsumptieFactor (PJ per km)],TableECFTransport[Index],CONCATENATE($A10,"_LPG_LPG"))</f>
        <v>4.4881311170925768E-4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5.0752415207598961E-2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1.2250071112782928E-2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2.7583571954681663E-3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6.15920509031967E-2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2.2533179984094119E-5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2.6607266201620246E-3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1.5912446599244841</v>
      </c>
      <c r="C14" s="21"/>
      <c r="D14" s="21">
        <f t="shared" ref="D14:M14" si="0">((D5)*10^9/3600)+D12</f>
        <v>8.326317555115228</v>
      </c>
      <c r="E14" s="21">
        <f t="shared" si="0"/>
        <v>862.1016750630821</v>
      </c>
      <c r="F14" s="21"/>
      <c r="G14" s="21">
        <f t="shared" si="0"/>
        <v>137849.50831743641</v>
      </c>
      <c r="H14" s="21">
        <f t="shared" si="0"/>
        <v>27748.929456753591</v>
      </c>
      <c r="I14" s="21"/>
      <c r="J14" s="21"/>
      <c r="K14" s="21"/>
      <c r="L14" s="21"/>
      <c r="M14" s="21">
        <f t="shared" si="0"/>
        <v>7236.4658947733451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0.2179111752442407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0.34674999394526645</v>
      </c>
      <c r="C18" s="23"/>
      <c r="D18" s="23">
        <f t="shared" ref="D18:M18" si="1">D14*D16</f>
        <v>1.6819161461332761</v>
      </c>
      <c r="E18" s="23">
        <f t="shared" si="1"/>
        <v>195.69708023931963</v>
      </c>
      <c r="F18" s="23"/>
      <c r="G18" s="23">
        <f t="shared" si="1"/>
        <v>36805.818720755524</v>
      </c>
      <c r="H18" s="23">
        <f t="shared" si="1"/>
        <v>6909.4834347316437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1.4526526860233974E-2</v>
      </c>
      <c r="H50" s="322">
        <f t="shared" si="2"/>
        <v>0</v>
      </c>
      <c r="I50" s="322">
        <f t="shared" si="2"/>
        <v>0</v>
      </c>
      <c r="J50" s="322">
        <f t="shared" si="2"/>
        <v>0</v>
      </c>
      <c r="K50" s="322">
        <f t="shared" si="2"/>
        <v>0</v>
      </c>
      <c r="L50" s="322">
        <f t="shared" si="2"/>
        <v>0</v>
      </c>
      <c r="M50" s="322">
        <f t="shared" si="2"/>
        <v>6.1920272989623309E-4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1.4526526860233974E-2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6.1920272989623309E-4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4035.1463500649925</v>
      </c>
      <c r="H54" s="21">
        <f t="shared" si="3"/>
        <v>0</v>
      </c>
      <c r="I54" s="21">
        <f t="shared" si="3"/>
        <v>0</v>
      </c>
      <c r="J54" s="21">
        <f t="shared" si="3"/>
        <v>0</v>
      </c>
      <c r="K54" s="21">
        <f t="shared" si="3"/>
        <v>0</v>
      </c>
      <c r="L54" s="21">
        <f t="shared" si="3"/>
        <v>0</v>
      </c>
      <c r="M54" s="21">
        <f t="shared" si="3"/>
        <v>172.00075830450919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0.2179111752442407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1077.3840754673531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53818.766658193628</v>
      </c>
      <c r="D10" s="687">
        <f ca="1">tertiair!C16</f>
        <v>900.00000000000023</v>
      </c>
      <c r="E10" s="687">
        <f ca="1">tertiair!D16</f>
        <v>83346.813877848967</v>
      </c>
      <c r="F10" s="687">
        <f>tertiair!E16</f>
        <v>1005.299414966716</v>
      </c>
      <c r="G10" s="687">
        <f ca="1">tertiair!F16</f>
        <v>10344.981178539078</v>
      </c>
      <c r="H10" s="687">
        <f>tertiair!G16</f>
        <v>0</v>
      </c>
      <c r="I10" s="687">
        <f>tertiair!H16</f>
        <v>0</v>
      </c>
      <c r="J10" s="687">
        <f>tertiair!I16</f>
        <v>0</v>
      </c>
      <c r="K10" s="687">
        <f>tertiair!J16</f>
        <v>0</v>
      </c>
      <c r="L10" s="687">
        <f>tertiair!K16</f>
        <v>0</v>
      </c>
      <c r="M10" s="687">
        <f ca="1">tertiair!L16</f>
        <v>0</v>
      </c>
      <c r="N10" s="687">
        <f>tertiair!M16</f>
        <v>0</v>
      </c>
      <c r="O10" s="687">
        <f ca="1">tertiair!N16</f>
        <v>1668.8231783053041</v>
      </c>
      <c r="P10" s="687">
        <f>tertiair!O16</f>
        <v>1.5633333333333335</v>
      </c>
      <c r="Q10" s="688">
        <f>tertiair!P16</f>
        <v>19.066666666666666</v>
      </c>
      <c r="R10" s="690">
        <f ca="1">SUM(C10:Q10)</f>
        <v>151105.3143078537</v>
      </c>
      <c r="S10" s="67"/>
    </row>
    <row r="11" spans="1:19" s="456" customFormat="1">
      <c r="A11" s="802" t="s">
        <v>225</v>
      </c>
      <c r="B11" s="807"/>
      <c r="C11" s="687">
        <f>huishoudens!B8</f>
        <v>75360.739217613504</v>
      </c>
      <c r="D11" s="687">
        <f>huishoudens!C8</f>
        <v>0</v>
      </c>
      <c r="E11" s="687">
        <f>huishoudens!D8</f>
        <v>240463.10838078641</v>
      </c>
      <c r="F11" s="687">
        <f>huishoudens!E8</f>
        <v>1530.1882344490875</v>
      </c>
      <c r="G11" s="687">
        <f>huishoudens!F8</f>
        <v>7812.0014678538409</v>
      </c>
      <c r="H11" s="687">
        <f>huishoudens!G8</f>
        <v>0</v>
      </c>
      <c r="I11" s="687">
        <f>huishoudens!H8</f>
        <v>0</v>
      </c>
      <c r="J11" s="687">
        <f>huishoudens!I8</f>
        <v>0</v>
      </c>
      <c r="K11" s="687">
        <f>huishoudens!J8</f>
        <v>0</v>
      </c>
      <c r="L11" s="687">
        <f>huishoudens!K8</f>
        <v>0</v>
      </c>
      <c r="M11" s="687">
        <f>huishoudens!L8</f>
        <v>0</v>
      </c>
      <c r="N11" s="687">
        <f>huishoudens!M8</f>
        <v>0</v>
      </c>
      <c r="O11" s="687">
        <f>huishoudens!N8</f>
        <v>15555.586405166845</v>
      </c>
      <c r="P11" s="687">
        <f>huishoudens!O8</f>
        <v>95.36333333333333</v>
      </c>
      <c r="Q11" s="688">
        <f>huishoudens!P8</f>
        <v>305.06666666666666</v>
      </c>
      <c r="R11" s="690">
        <f>SUM(C11:Q11)</f>
        <v>341122.05370586965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4170.6972157007403</v>
      </c>
      <c r="D13" s="687">
        <f>industrie!C18</f>
        <v>763.07142857142867</v>
      </c>
      <c r="E13" s="687">
        <f>industrie!D18</f>
        <v>3992.8507244494035</v>
      </c>
      <c r="F13" s="687">
        <f>industrie!E18</f>
        <v>53.247998025036644</v>
      </c>
      <c r="G13" s="687">
        <f>industrie!F18</f>
        <v>1696.188661821647</v>
      </c>
      <c r="H13" s="687">
        <f>industrie!G18</f>
        <v>0</v>
      </c>
      <c r="I13" s="687">
        <f>industrie!H18</f>
        <v>0</v>
      </c>
      <c r="J13" s="687">
        <f>industrie!I18</f>
        <v>0</v>
      </c>
      <c r="K13" s="687">
        <f>industrie!J18</f>
        <v>8.0416219475214028</v>
      </c>
      <c r="L13" s="687">
        <f>industrie!K18</f>
        <v>0</v>
      </c>
      <c r="M13" s="687">
        <f>industrie!L18</f>
        <v>0</v>
      </c>
      <c r="N13" s="687">
        <f>industrie!M18</f>
        <v>0</v>
      </c>
      <c r="O13" s="687">
        <f>industrie!N18</f>
        <v>153.24099494825518</v>
      </c>
      <c r="P13" s="687">
        <f>industrie!O18</f>
        <v>0</v>
      </c>
      <c r="Q13" s="688">
        <f>industrie!P18</f>
        <v>0</v>
      </c>
      <c r="R13" s="690">
        <f>SUM(C13:Q13)</f>
        <v>10837.338645464033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133350.20309150789</v>
      </c>
      <c r="D16" s="720">
        <f t="shared" ref="D16:R16" ca="1" si="0">SUM(D9:D15)</f>
        <v>1663.0714285714289</v>
      </c>
      <c r="E16" s="720">
        <f t="shared" ca="1" si="0"/>
        <v>327802.77298308478</v>
      </c>
      <c r="F16" s="720">
        <f t="shared" si="0"/>
        <v>2588.7356474408402</v>
      </c>
      <c r="G16" s="720">
        <f t="shared" ca="1" si="0"/>
        <v>19853.171308214569</v>
      </c>
      <c r="H16" s="720">
        <f t="shared" si="0"/>
        <v>0</v>
      </c>
      <c r="I16" s="720">
        <f t="shared" si="0"/>
        <v>0</v>
      </c>
      <c r="J16" s="720">
        <f t="shared" si="0"/>
        <v>0</v>
      </c>
      <c r="K16" s="720">
        <f t="shared" si="0"/>
        <v>8.0416219475214028</v>
      </c>
      <c r="L16" s="720">
        <f t="shared" si="0"/>
        <v>0</v>
      </c>
      <c r="M16" s="720">
        <f t="shared" ca="1" si="0"/>
        <v>0</v>
      </c>
      <c r="N16" s="720">
        <f t="shared" si="0"/>
        <v>0</v>
      </c>
      <c r="O16" s="720">
        <f t="shared" ca="1" si="0"/>
        <v>17377.650578420402</v>
      </c>
      <c r="P16" s="720">
        <f t="shared" si="0"/>
        <v>96.926666666666662</v>
      </c>
      <c r="Q16" s="720">
        <f t="shared" si="0"/>
        <v>324.13333333333333</v>
      </c>
      <c r="R16" s="720">
        <f t="shared" ca="1" si="0"/>
        <v>503064.70665918739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4035.1463500649925</v>
      </c>
      <c r="I19" s="687">
        <f>transport!H54</f>
        <v>0</v>
      </c>
      <c r="J19" s="687">
        <f>transport!I54</f>
        <v>0</v>
      </c>
      <c r="K19" s="687">
        <f>transport!J54</f>
        <v>0</v>
      </c>
      <c r="L19" s="687">
        <f>transport!K54</f>
        <v>0</v>
      </c>
      <c r="M19" s="687">
        <f>transport!L54</f>
        <v>0</v>
      </c>
      <c r="N19" s="687">
        <f>transport!M54</f>
        <v>172.00075830450919</v>
      </c>
      <c r="O19" s="687">
        <f>transport!N54</f>
        <v>0</v>
      </c>
      <c r="P19" s="687">
        <f>transport!O54</f>
        <v>0</v>
      </c>
      <c r="Q19" s="688">
        <f>transport!P54</f>
        <v>0</v>
      </c>
      <c r="R19" s="690">
        <f>SUM(C19:Q19)</f>
        <v>4207.1471083695014</v>
      </c>
      <c r="S19" s="67"/>
    </row>
    <row r="20" spans="1:19" s="456" customFormat="1">
      <c r="A20" s="802" t="s">
        <v>307</v>
      </c>
      <c r="B20" s="807"/>
      <c r="C20" s="687">
        <f>transport!B14</f>
        <v>1.5912446599244841</v>
      </c>
      <c r="D20" s="687">
        <f>transport!C14</f>
        <v>0</v>
      </c>
      <c r="E20" s="687">
        <f>transport!D14</f>
        <v>8.326317555115228</v>
      </c>
      <c r="F20" s="687">
        <f>transport!E14</f>
        <v>862.1016750630821</v>
      </c>
      <c r="G20" s="687">
        <f>transport!F14</f>
        <v>0</v>
      </c>
      <c r="H20" s="687">
        <f>transport!G14</f>
        <v>137849.50831743641</v>
      </c>
      <c r="I20" s="687">
        <f>transport!H14</f>
        <v>27748.929456753591</v>
      </c>
      <c r="J20" s="687">
        <f>transport!I14</f>
        <v>0</v>
      </c>
      <c r="K20" s="687">
        <f>transport!J14</f>
        <v>0</v>
      </c>
      <c r="L20" s="687">
        <f>transport!K14</f>
        <v>0</v>
      </c>
      <c r="M20" s="687">
        <f>transport!L14</f>
        <v>0</v>
      </c>
      <c r="N20" s="687">
        <f>transport!M14</f>
        <v>7236.4658947733451</v>
      </c>
      <c r="O20" s="687">
        <f>transport!N14</f>
        <v>0</v>
      </c>
      <c r="P20" s="687">
        <f>transport!O14</f>
        <v>0</v>
      </c>
      <c r="Q20" s="688">
        <f>transport!P14</f>
        <v>0</v>
      </c>
      <c r="R20" s="690">
        <f>SUM(C20:Q20)</f>
        <v>173706.92290624147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1.5912446599244841</v>
      </c>
      <c r="D22" s="805">
        <f t="shared" ref="D22:R22" si="1">SUM(D18:D21)</f>
        <v>0</v>
      </c>
      <c r="E22" s="805">
        <f t="shared" si="1"/>
        <v>8.326317555115228</v>
      </c>
      <c r="F22" s="805">
        <f t="shared" si="1"/>
        <v>862.1016750630821</v>
      </c>
      <c r="G22" s="805">
        <f t="shared" si="1"/>
        <v>0</v>
      </c>
      <c r="H22" s="805">
        <f t="shared" si="1"/>
        <v>141884.6546675014</v>
      </c>
      <c r="I22" s="805">
        <f t="shared" si="1"/>
        <v>27748.929456753591</v>
      </c>
      <c r="J22" s="805">
        <f t="shared" si="1"/>
        <v>0</v>
      </c>
      <c r="K22" s="805">
        <f t="shared" si="1"/>
        <v>0</v>
      </c>
      <c r="L22" s="805">
        <f t="shared" si="1"/>
        <v>0</v>
      </c>
      <c r="M22" s="805">
        <f t="shared" si="1"/>
        <v>0</v>
      </c>
      <c r="N22" s="805">
        <f t="shared" si="1"/>
        <v>7408.4666530778541</v>
      </c>
      <c r="O22" s="805">
        <f t="shared" si="1"/>
        <v>0</v>
      </c>
      <c r="P22" s="805">
        <f t="shared" si="1"/>
        <v>0</v>
      </c>
      <c r="Q22" s="805">
        <f t="shared" si="1"/>
        <v>0</v>
      </c>
      <c r="R22" s="805">
        <f t="shared" si="1"/>
        <v>177914.07001461097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125.0850164728998</v>
      </c>
      <c r="D24" s="687">
        <f>+landbouw!C8</f>
        <v>0</v>
      </c>
      <c r="E24" s="687">
        <f>+landbouw!D8</f>
        <v>239.59405285347958</v>
      </c>
      <c r="F24" s="687">
        <f>+landbouw!E8</f>
        <v>1.3099173723059649</v>
      </c>
      <c r="G24" s="687">
        <f>+landbouw!F8</f>
        <v>535.45891493106126</v>
      </c>
      <c r="H24" s="687">
        <f>+landbouw!G8</f>
        <v>0</v>
      </c>
      <c r="I24" s="687">
        <f>+landbouw!H8</f>
        <v>0</v>
      </c>
      <c r="J24" s="687">
        <f>+landbouw!I8</f>
        <v>0</v>
      </c>
      <c r="K24" s="687">
        <f>+landbouw!J8</f>
        <v>11.171213127159142</v>
      </c>
      <c r="L24" s="687">
        <f>+landbouw!K8</f>
        <v>0</v>
      </c>
      <c r="M24" s="687">
        <f>+landbouw!L8</f>
        <v>0</v>
      </c>
      <c r="N24" s="687">
        <f>+landbouw!M8</f>
        <v>0</v>
      </c>
      <c r="O24" s="687">
        <f>+landbouw!N8</f>
        <v>0</v>
      </c>
      <c r="P24" s="687">
        <f>+landbouw!O8</f>
        <v>0</v>
      </c>
      <c r="Q24" s="688">
        <f>+landbouw!P8</f>
        <v>0</v>
      </c>
      <c r="R24" s="690">
        <f>SUM(C24:Q24)</f>
        <v>912.61911475690579</v>
      </c>
      <c r="S24" s="67"/>
    </row>
    <row r="25" spans="1:19" s="456" customFormat="1" ht="15" thickBot="1">
      <c r="A25" s="824" t="s">
        <v>925</v>
      </c>
      <c r="B25" s="988"/>
      <c r="C25" s="989">
        <f>IF(Onbekend_ele_kWh="---",0,Onbekend_ele_kWh)/1000+IF(REST_rest_ele_kWh="---",0,REST_rest_ele_kWh)/1000</f>
        <v>3596.6769704053604</v>
      </c>
      <c r="D25" s="989"/>
      <c r="E25" s="989">
        <f>IF(onbekend_gas_kWh="---",0,onbekend_gas_kWh)/1000+IF(REST_rest_gas_kWh="---",0,REST_rest_gas_kWh)/1000</f>
        <v>9479.4808990918191</v>
      </c>
      <c r="F25" s="989"/>
      <c r="G25" s="989"/>
      <c r="H25" s="989"/>
      <c r="I25" s="989"/>
      <c r="J25" s="989"/>
      <c r="K25" s="989"/>
      <c r="L25" s="989"/>
      <c r="M25" s="989"/>
      <c r="N25" s="989"/>
      <c r="O25" s="989"/>
      <c r="P25" s="989"/>
      <c r="Q25" s="990"/>
      <c r="R25" s="690">
        <f>SUM(C25:Q25)</f>
        <v>13076.157869497179</v>
      </c>
      <c r="S25" s="67"/>
    </row>
    <row r="26" spans="1:19" s="456" customFormat="1" ht="15.75" thickBot="1">
      <c r="A26" s="693" t="s">
        <v>926</v>
      </c>
      <c r="B26" s="810"/>
      <c r="C26" s="805">
        <f>SUM(C24:C25)</f>
        <v>3721.7619868782604</v>
      </c>
      <c r="D26" s="805">
        <f t="shared" ref="D26:R26" si="2">SUM(D24:D25)</f>
        <v>0</v>
      </c>
      <c r="E26" s="805">
        <f t="shared" si="2"/>
        <v>9719.0749519452984</v>
      </c>
      <c r="F26" s="805">
        <f t="shared" si="2"/>
        <v>1.3099173723059649</v>
      </c>
      <c r="G26" s="805">
        <f t="shared" si="2"/>
        <v>535.45891493106126</v>
      </c>
      <c r="H26" s="805">
        <f t="shared" si="2"/>
        <v>0</v>
      </c>
      <c r="I26" s="805">
        <f t="shared" si="2"/>
        <v>0</v>
      </c>
      <c r="J26" s="805">
        <f t="shared" si="2"/>
        <v>0</v>
      </c>
      <c r="K26" s="805">
        <f t="shared" si="2"/>
        <v>11.171213127159142</v>
      </c>
      <c r="L26" s="805">
        <f t="shared" si="2"/>
        <v>0</v>
      </c>
      <c r="M26" s="805">
        <f t="shared" si="2"/>
        <v>0</v>
      </c>
      <c r="N26" s="805">
        <f t="shared" si="2"/>
        <v>0</v>
      </c>
      <c r="O26" s="805">
        <f t="shared" si="2"/>
        <v>0</v>
      </c>
      <c r="P26" s="805">
        <f t="shared" si="2"/>
        <v>0</v>
      </c>
      <c r="Q26" s="805">
        <f t="shared" si="2"/>
        <v>0</v>
      </c>
      <c r="R26" s="805">
        <f t="shared" si="2"/>
        <v>13988.776984254086</v>
      </c>
      <c r="S26" s="67"/>
    </row>
    <row r="27" spans="1:19" s="456" customFormat="1" ht="17.25" thickTop="1" thickBot="1">
      <c r="A27" s="694" t="s">
        <v>116</v>
      </c>
      <c r="B27" s="797"/>
      <c r="C27" s="695">
        <f ca="1">C22+C16+C26</f>
        <v>137073.55632304607</v>
      </c>
      <c r="D27" s="695">
        <f t="shared" ref="D27:R27" ca="1" si="3">D22+D16+D26</f>
        <v>1663.0714285714289</v>
      </c>
      <c r="E27" s="695">
        <f t="shared" ca="1" si="3"/>
        <v>337530.17425258516</v>
      </c>
      <c r="F27" s="695">
        <f t="shared" si="3"/>
        <v>3452.147239876228</v>
      </c>
      <c r="G27" s="695">
        <f t="shared" ca="1" si="3"/>
        <v>20388.630223145628</v>
      </c>
      <c r="H27" s="695">
        <f t="shared" si="3"/>
        <v>141884.6546675014</v>
      </c>
      <c r="I27" s="695">
        <f t="shared" si="3"/>
        <v>27748.929456753591</v>
      </c>
      <c r="J27" s="695">
        <f t="shared" si="3"/>
        <v>0</v>
      </c>
      <c r="K27" s="695">
        <f t="shared" si="3"/>
        <v>19.212835074680545</v>
      </c>
      <c r="L27" s="695">
        <f t="shared" si="3"/>
        <v>0</v>
      </c>
      <c r="M27" s="695">
        <f t="shared" ca="1" si="3"/>
        <v>0</v>
      </c>
      <c r="N27" s="695">
        <f t="shared" si="3"/>
        <v>7408.4666530778541</v>
      </c>
      <c r="O27" s="695">
        <f t="shared" ca="1" si="3"/>
        <v>17377.650578420402</v>
      </c>
      <c r="P27" s="695">
        <f t="shared" si="3"/>
        <v>96.926666666666662</v>
      </c>
      <c r="Q27" s="695">
        <f t="shared" si="3"/>
        <v>324.13333333333333</v>
      </c>
      <c r="R27" s="695">
        <f t="shared" ca="1" si="3"/>
        <v>694967.55365805246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11727.710692682529</v>
      </c>
      <c r="D40" s="687">
        <f ca="1">tertiair!C20</f>
        <v>213.88235294117655</v>
      </c>
      <c r="E40" s="687">
        <f ca="1">tertiair!D20</f>
        <v>16836.056403325492</v>
      </c>
      <c r="F40" s="687">
        <f>tertiair!E20</f>
        <v>228.20296719744454</v>
      </c>
      <c r="G40" s="687">
        <f ca="1">tertiair!F20</f>
        <v>2762.1099746699338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31767.962390816574</v>
      </c>
    </row>
    <row r="41" spans="1:18">
      <c r="A41" s="815" t="s">
        <v>225</v>
      </c>
      <c r="B41" s="822"/>
      <c r="C41" s="687">
        <f ca="1">huishoudens!B12</f>
        <v>16421.947250184898</v>
      </c>
      <c r="D41" s="687">
        <f ca="1">huishoudens!C12</f>
        <v>0</v>
      </c>
      <c r="E41" s="687">
        <f>huishoudens!D12</f>
        <v>48573.547892918854</v>
      </c>
      <c r="F41" s="687">
        <f>huishoudens!E12</f>
        <v>347.35272921994289</v>
      </c>
      <c r="G41" s="687">
        <f>huishoudens!F12</f>
        <v>2085.8043919169759</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67428.652264240663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908.84153186123081</v>
      </c>
      <c r="D43" s="687">
        <f ca="1">industrie!C22</f>
        <v>181.34168067226895</v>
      </c>
      <c r="E43" s="687">
        <f>industrie!D22</f>
        <v>806.55584633877959</v>
      </c>
      <c r="F43" s="687">
        <f>industrie!E22</f>
        <v>12.087295551683319</v>
      </c>
      <c r="G43" s="687">
        <f>industrie!F22</f>
        <v>452.88237270637978</v>
      </c>
      <c r="H43" s="687">
        <f>industrie!G22</f>
        <v>0</v>
      </c>
      <c r="I43" s="687">
        <f>industrie!H22</f>
        <v>0</v>
      </c>
      <c r="J43" s="687">
        <f>industrie!I22</f>
        <v>0</v>
      </c>
      <c r="K43" s="687">
        <f>industrie!J22</f>
        <v>2.8467341694225765</v>
      </c>
      <c r="L43" s="687">
        <f>industrie!K22</f>
        <v>0</v>
      </c>
      <c r="M43" s="687">
        <f>industrie!L22</f>
        <v>0</v>
      </c>
      <c r="N43" s="687">
        <f>industrie!M22</f>
        <v>0</v>
      </c>
      <c r="O43" s="687">
        <f>industrie!N22</f>
        <v>0</v>
      </c>
      <c r="P43" s="687">
        <f>industrie!O22</f>
        <v>0</v>
      </c>
      <c r="Q43" s="762">
        <f>industrie!P22</f>
        <v>0</v>
      </c>
      <c r="R43" s="842">
        <f t="shared" ca="1" si="4"/>
        <v>2364.5554612997653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29058.499474728658</v>
      </c>
      <c r="D46" s="720">
        <f t="shared" ref="D46:Q46" ca="1" si="5">SUM(D39:D45)</f>
        <v>395.2240336134455</v>
      </c>
      <c r="E46" s="720">
        <f t="shared" ca="1" si="5"/>
        <v>66216.160142583132</v>
      </c>
      <c r="F46" s="720">
        <f t="shared" si="5"/>
        <v>587.64299196907075</v>
      </c>
      <c r="G46" s="720">
        <f t="shared" ca="1" si="5"/>
        <v>5300.7967392932896</v>
      </c>
      <c r="H46" s="720">
        <f t="shared" si="5"/>
        <v>0</v>
      </c>
      <c r="I46" s="720">
        <f t="shared" si="5"/>
        <v>0</v>
      </c>
      <c r="J46" s="720">
        <f t="shared" si="5"/>
        <v>0</v>
      </c>
      <c r="K46" s="720">
        <f t="shared" si="5"/>
        <v>2.8467341694225765</v>
      </c>
      <c r="L46" s="720">
        <f t="shared" si="5"/>
        <v>0</v>
      </c>
      <c r="M46" s="720">
        <f t="shared" ca="1" si="5"/>
        <v>0</v>
      </c>
      <c r="N46" s="720">
        <f t="shared" si="5"/>
        <v>0</v>
      </c>
      <c r="O46" s="720">
        <f t="shared" ca="1" si="5"/>
        <v>0</v>
      </c>
      <c r="P46" s="720">
        <f t="shared" si="5"/>
        <v>0</v>
      </c>
      <c r="Q46" s="720">
        <f t="shared" si="5"/>
        <v>0</v>
      </c>
      <c r="R46" s="720">
        <f ca="1">SUM(R39:R45)</f>
        <v>101561.170116357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1077.3840754673531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1077.3840754673531</v>
      </c>
    </row>
    <row r="50" spans="1:18">
      <c r="A50" s="818" t="s">
        <v>307</v>
      </c>
      <c r="B50" s="828"/>
      <c r="C50" s="995">
        <f ca="1">transport!B18</f>
        <v>0.34674999394526645</v>
      </c>
      <c r="D50" s="995">
        <f>transport!C18</f>
        <v>0</v>
      </c>
      <c r="E50" s="995">
        <f>transport!D18</f>
        <v>1.6819161461332761</v>
      </c>
      <c r="F50" s="995">
        <f>transport!E18</f>
        <v>195.69708023931963</v>
      </c>
      <c r="G50" s="995">
        <f>transport!F18</f>
        <v>0</v>
      </c>
      <c r="H50" s="995">
        <f>transport!G18</f>
        <v>36805.818720755524</v>
      </c>
      <c r="I50" s="995">
        <f>transport!H18</f>
        <v>6909.4834347316437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43913.027901866568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0.34674999394526645</v>
      </c>
      <c r="D52" s="720">
        <f t="shared" ref="D52:Q52" ca="1" si="6">SUM(D48:D51)</f>
        <v>0</v>
      </c>
      <c r="E52" s="720">
        <f t="shared" si="6"/>
        <v>1.6819161461332761</v>
      </c>
      <c r="F52" s="720">
        <f t="shared" si="6"/>
        <v>195.69708023931963</v>
      </c>
      <c r="G52" s="720">
        <f t="shared" si="6"/>
        <v>0</v>
      </c>
      <c r="H52" s="720">
        <f t="shared" si="6"/>
        <v>37883.202796222875</v>
      </c>
      <c r="I52" s="720">
        <f t="shared" si="6"/>
        <v>6909.4834347316437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44990.411977333919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27.257422945054802</v>
      </c>
      <c r="D54" s="995">
        <f ca="1">+landbouw!C12</f>
        <v>0</v>
      </c>
      <c r="E54" s="995">
        <f>+landbouw!D12</f>
        <v>48.397998676402878</v>
      </c>
      <c r="F54" s="995">
        <f>+landbouw!E12</f>
        <v>0.29735124351345404</v>
      </c>
      <c r="G54" s="995">
        <f>+landbouw!F12</f>
        <v>142.96753028659336</v>
      </c>
      <c r="H54" s="995">
        <f>+landbouw!G12</f>
        <v>0</v>
      </c>
      <c r="I54" s="995">
        <f>+landbouw!H12</f>
        <v>0</v>
      </c>
      <c r="J54" s="995">
        <f>+landbouw!I12</f>
        <v>0</v>
      </c>
      <c r="K54" s="995">
        <f>+landbouw!J12</f>
        <v>3.9546094470143358</v>
      </c>
      <c r="L54" s="995">
        <f>+landbouw!K12</f>
        <v>0</v>
      </c>
      <c r="M54" s="995">
        <f>+landbouw!L12</f>
        <v>0</v>
      </c>
      <c r="N54" s="995">
        <f>+landbouw!M12</f>
        <v>0</v>
      </c>
      <c r="O54" s="995">
        <f>+landbouw!N12</f>
        <v>0</v>
      </c>
      <c r="P54" s="995">
        <f>+landbouw!O12</f>
        <v>0</v>
      </c>
      <c r="Q54" s="996">
        <f>+landbouw!P12</f>
        <v>0</v>
      </c>
      <c r="R54" s="719">
        <f ca="1">SUM(C54:Q54)</f>
        <v>222.87491259857885</v>
      </c>
    </row>
    <row r="55" spans="1:18" ht="15" thickBot="1">
      <c r="A55" s="818" t="s">
        <v>925</v>
      </c>
      <c r="B55" s="828"/>
      <c r="C55" s="995">
        <f ca="1">C25*'EF ele_warmte'!B12</f>
        <v>783.75610559492725</v>
      </c>
      <c r="D55" s="995"/>
      <c r="E55" s="995">
        <f>E25*EF_CO2_aardgas</f>
        <v>1914.8551416165476</v>
      </c>
      <c r="F55" s="995"/>
      <c r="G55" s="995"/>
      <c r="H55" s="995"/>
      <c r="I55" s="995"/>
      <c r="J55" s="995"/>
      <c r="K55" s="995"/>
      <c r="L55" s="995"/>
      <c r="M55" s="995"/>
      <c r="N55" s="995"/>
      <c r="O55" s="995"/>
      <c r="P55" s="995"/>
      <c r="Q55" s="996"/>
      <c r="R55" s="719">
        <f ca="1">SUM(C55:Q55)</f>
        <v>2698.6112472114746</v>
      </c>
    </row>
    <row r="56" spans="1:18" ht="15.75" thickBot="1">
      <c r="A56" s="816" t="s">
        <v>926</v>
      </c>
      <c r="B56" s="829"/>
      <c r="C56" s="720">
        <f ca="1">SUM(C54:C55)</f>
        <v>811.01352853998208</v>
      </c>
      <c r="D56" s="720">
        <f t="shared" ref="D56:Q56" ca="1" si="7">SUM(D54:D55)</f>
        <v>0</v>
      </c>
      <c r="E56" s="720">
        <f t="shared" si="7"/>
        <v>1963.2531402929505</v>
      </c>
      <c r="F56" s="720">
        <f t="shared" si="7"/>
        <v>0.29735124351345404</v>
      </c>
      <c r="G56" s="720">
        <f t="shared" si="7"/>
        <v>142.96753028659336</v>
      </c>
      <c r="H56" s="720">
        <f t="shared" si="7"/>
        <v>0</v>
      </c>
      <c r="I56" s="720">
        <f t="shared" si="7"/>
        <v>0</v>
      </c>
      <c r="J56" s="720">
        <f t="shared" si="7"/>
        <v>0</v>
      </c>
      <c r="K56" s="720">
        <f t="shared" si="7"/>
        <v>3.9546094470143358</v>
      </c>
      <c r="L56" s="720">
        <f t="shared" si="7"/>
        <v>0</v>
      </c>
      <c r="M56" s="720">
        <f t="shared" si="7"/>
        <v>0</v>
      </c>
      <c r="N56" s="720">
        <f t="shared" si="7"/>
        <v>0</v>
      </c>
      <c r="O56" s="720">
        <f t="shared" si="7"/>
        <v>0</v>
      </c>
      <c r="P56" s="720">
        <f t="shared" si="7"/>
        <v>0</v>
      </c>
      <c r="Q56" s="721">
        <f t="shared" si="7"/>
        <v>0</v>
      </c>
      <c r="R56" s="722">
        <f ca="1">SUM(R54:R55)</f>
        <v>2921.4861598100533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29869.859753262586</v>
      </c>
      <c r="D61" s="728">
        <f t="shared" ref="D61:Q61" ca="1" si="8">D46+D52+D56</f>
        <v>395.2240336134455</v>
      </c>
      <c r="E61" s="728">
        <f t="shared" ca="1" si="8"/>
        <v>68181.095199022209</v>
      </c>
      <c r="F61" s="728">
        <f t="shared" si="8"/>
        <v>783.63742345190394</v>
      </c>
      <c r="G61" s="728">
        <f t="shared" ca="1" si="8"/>
        <v>5443.7642695798831</v>
      </c>
      <c r="H61" s="728">
        <f t="shared" si="8"/>
        <v>37883.202796222875</v>
      </c>
      <c r="I61" s="728">
        <f t="shared" si="8"/>
        <v>6909.4834347316437</v>
      </c>
      <c r="J61" s="728">
        <f t="shared" si="8"/>
        <v>0</v>
      </c>
      <c r="K61" s="728">
        <f t="shared" si="8"/>
        <v>6.8013436164369123</v>
      </c>
      <c r="L61" s="728">
        <f t="shared" si="8"/>
        <v>0</v>
      </c>
      <c r="M61" s="728">
        <f t="shared" ca="1" si="8"/>
        <v>0</v>
      </c>
      <c r="N61" s="728">
        <f t="shared" si="8"/>
        <v>0</v>
      </c>
      <c r="O61" s="728">
        <f t="shared" ca="1" si="8"/>
        <v>0</v>
      </c>
      <c r="P61" s="728">
        <f t="shared" si="8"/>
        <v>0</v>
      </c>
      <c r="Q61" s="728">
        <f t="shared" si="8"/>
        <v>0</v>
      </c>
      <c r="R61" s="728">
        <f ca="1">R46+R52+R56</f>
        <v>149473.06825350097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0.21791117524424067</v>
      </c>
      <c r="D63" s="772">
        <f t="shared" ca="1" si="9"/>
        <v>0.23764705882352943</v>
      </c>
      <c r="E63" s="997">
        <f t="shared" ca="1" si="9"/>
        <v>0.20200000000000001</v>
      </c>
      <c r="F63" s="772">
        <f t="shared" si="9"/>
        <v>0.22700000000000006</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2003.5107133936835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1164.1500000000001</v>
      </c>
      <c r="D76" s="1007">
        <f>'lokale energieproductie'!C8</f>
        <v>1369.5882352941178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276.65682352941184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2003.5107133936835</v>
      </c>
      <c r="C78" s="743">
        <f>SUM(C72:C77)</f>
        <v>1164.1500000000001</v>
      </c>
      <c r="D78" s="744">
        <f t="shared" ref="D78:H78" si="10">SUM(D76:D77)</f>
        <v>1369.5882352941178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276.65682352941184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1663.0714285714289</v>
      </c>
      <c r="D87" s="765">
        <f>'lokale energieproductie'!C17</f>
        <v>1956.55462184874</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395.2240336134455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1663.0714285714289</v>
      </c>
      <c r="D90" s="743">
        <f t="shared" ref="D90:H90" si="12">SUM(D87:D89)</f>
        <v>1956.55462184874</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395.2240336134455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2003.5107133936835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1164.1500000000001</v>
      </c>
      <c r="C8" s="557">
        <f>B101</f>
        <v>1369.5882352941178</v>
      </c>
      <c r="D8" s="985"/>
      <c r="E8" s="985">
        <f>E101</f>
        <v>0</v>
      </c>
      <c r="F8" s="986"/>
      <c r="G8" s="558"/>
      <c r="H8" s="985">
        <f>I101</f>
        <v>0</v>
      </c>
      <c r="I8" s="985">
        <f>G101+F101</f>
        <v>0</v>
      </c>
      <c r="J8" s="985">
        <f>H101+D101+C101</f>
        <v>0</v>
      </c>
      <c r="K8" s="985"/>
      <c r="L8" s="985"/>
      <c r="M8" s="985"/>
      <c r="N8" s="559"/>
      <c r="O8" s="560">
        <f>C8*$C$12+D8*$D$12+E8*$E$12+F8*$F$12+G8*$G$12+H8*$H$12+I8*$I$12+J8*$J$12</f>
        <v>276.65682352941184</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3167.6607133936836</v>
      </c>
      <c r="C10" s="569">
        <f t="shared" ref="C10:L10" si="0">SUM(C8:C9)</f>
        <v>1369.5882352941178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276.65682352941184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1663.0714285714289</v>
      </c>
      <c r="C17" s="581">
        <f>B102</f>
        <v>1956.55462184874</v>
      </c>
      <c r="D17" s="582"/>
      <c r="E17" s="582">
        <f>E102</f>
        <v>0</v>
      </c>
      <c r="F17" s="583"/>
      <c r="G17" s="584"/>
      <c r="H17" s="581">
        <f>I102</f>
        <v>0</v>
      </c>
      <c r="I17" s="582">
        <f>G102+F102</f>
        <v>0</v>
      </c>
      <c r="J17" s="582">
        <f>H102+D102+C102</f>
        <v>0</v>
      </c>
      <c r="K17" s="582"/>
      <c r="L17" s="582"/>
      <c r="M17" s="582"/>
      <c r="N17" s="981"/>
      <c r="O17" s="585">
        <f>C17*$C$22+E17*$E$22+H17*$H$22+I17*$I$22+J17*$J$22+D17*$D$22+F17*$F$22+G17*$G$22+K17*$K$22+L17*$L$22</f>
        <v>395.2240336134455</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1663.0714285714289</v>
      </c>
      <c r="C20" s="568">
        <f>SUM(C17:C19)</f>
        <v>1956.55462184874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395.2240336134455</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11008</v>
      </c>
      <c r="C28" s="788">
        <v>2930</v>
      </c>
      <c r="D28" s="641" t="s">
        <v>965</v>
      </c>
      <c r="E28" s="640" t="s">
        <v>966</v>
      </c>
      <c r="F28" s="640" t="s">
        <v>967</v>
      </c>
      <c r="G28" s="640" t="s">
        <v>968</v>
      </c>
      <c r="H28" s="640" t="s">
        <v>969</v>
      </c>
      <c r="I28" s="640" t="s">
        <v>966</v>
      </c>
      <c r="J28" s="787">
        <v>39084</v>
      </c>
      <c r="K28" s="787">
        <v>39630</v>
      </c>
      <c r="L28" s="640" t="s">
        <v>970</v>
      </c>
      <c r="M28" s="640">
        <v>53.7</v>
      </c>
      <c r="N28" s="640">
        <v>241.65000000000003</v>
      </c>
      <c r="O28" s="640">
        <v>345.21428571428578</v>
      </c>
      <c r="P28" s="640">
        <v>690.42857142857156</v>
      </c>
      <c r="Q28" s="640">
        <v>0</v>
      </c>
      <c r="R28" s="640">
        <v>0</v>
      </c>
      <c r="S28" s="640">
        <v>0</v>
      </c>
      <c r="T28" s="640">
        <v>0</v>
      </c>
      <c r="U28" s="640">
        <v>0</v>
      </c>
      <c r="V28" s="640">
        <v>0</v>
      </c>
      <c r="W28" s="640">
        <v>0</v>
      </c>
      <c r="X28" s="640">
        <v>900</v>
      </c>
      <c r="Y28" s="640" t="s">
        <v>33</v>
      </c>
      <c r="Z28" s="642" t="s">
        <v>391</v>
      </c>
    </row>
    <row r="29" spans="1:26" s="594" customFormat="1" ht="25.5">
      <c r="A29" s="593"/>
      <c r="B29" s="788">
        <v>11008</v>
      </c>
      <c r="C29" s="788">
        <v>2930</v>
      </c>
      <c r="D29" s="641" t="s">
        <v>971</v>
      </c>
      <c r="E29" s="640" t="s">
        <v>972</v>
      </c>
      <c r="F29" s="640" t="s">
        <v>973</v>
      </c>
      <c r="G29" s="640" t="s">
        <v>968</v>
      </c>
      <c r="H29" s="640" t="s">
        <v>969</v>
      </c>
      <c r="I29" s="640" t="s">
        <v>974</v>
      </c>
      <c r="J29" s="787">
        <v>37622</v>
      </c>
      <c r="K29" s="787">
        <v>40391</v>
      </c>
      <c r="L29" s="640" t="s">
        <v>970</v>
      </c>
      <c r="M29" s="640">
        <v>65</v>
      </c>
      <c r="N29" s="640">
        <v>292.5</v>
      </c>
      <c r="O29" s="640">
        <v>417.85714285714289</v>
      </c>
      <c r="P29" s="640">
        <v>835.71428571428578</v>
      </c>
      <c r="Q29" s="640">
        <v>0</v>
      </c>
      <c r="R29" s="640">
        <v>0</v>
      </c>
      <c r="S29" s="640">
        <v>0</v>
      </c>
      <c r="T29" s="640">
        <v>0</v>
      </c>
      <c r="U29" s="640">
        <v>0</v>
      </c>
      <c r="V29" s="640">
        <v>0</v>
      </c>
      <c r="W29" s="640">
        <v>0</v>
      </c>
      <c r="X29" s="640">
        <v>900</v>
      </c>
      <c r="Y29" s="640" t="s">
        <v>33</v>
      </c>
      <c r="Z29" s="642" t="s">
        <v>391</v>
      </c>
    </row>
    <row r="30" spans="1:26" s="594" customFormat="1" ht="51">
      <c r="A30" s="593"/>
      <c r="B30" s="788">
        <v>11008</v>
      </c>
      <c r="C30" s="788">
        <v>2930</v>
      </c>
      <c r="D30" s="641" t="s">
        <v>975</v>
      </c>
      <c r="E30" s="640" t="s">
        <v>976</v>
      </c>
      <c r="F30" s="640" t="s">
        <v>977</v>
      </c>
      <c r="G30" s="640" t="s">
        <v>968</v>
      </c>
      <c r="H30" s="640" t="s">
        <v>969</v>
      </c>
      <c r="I30" s="640" t="s">
        <v>976</v>
      </c>
      <c r="J30" s="787">
        <v>39599</v>
      </c>
      <c r="K30" s="787">
        <v>39661</v>
      </c>
      <c r="L30" s="640" t="s">
        <v>970</v>
      </c>
      <c r="M30" s="640">
        <v>140</v>
      </c>
      <c r="N30" s="640">
        <v>630.00000000000011</v>
      </c>
      <c r="O30" s="640">
        <v>900.00000000000023</v>
      </c>
      <c r="P30" s="640">
        <v>1800.0000000000005</v>
      </c>
      <c r="Q30" s="640">
        <v>0</v>
      </c>
      <c r="R30" s="640">
        <v>0</v>
      </c>
      <c r="S30" s="640">
        <v>0</v>
      </c>
      <c r="T30" s="640">
        <v>0</v>
      </c>
      <c r="U30" s="640">
        <v>0</v>
      </c>
      <c r="V30" s="640">
        <v>0</v>
      </c>
      <c r="W30" s="640">
        <v>0</v>
      </c>
      <c r="X30" s="640">
        <v>1500</v>
      </c>
      <c r="Y30" s="640" t="s">
        <v>51</v>
      </c>
      <c r="Z30" s="642" t="s">
        <v>156</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258.7</v>
      </c>
      <c r="N58" s="598">
        <f>SUM(N28:N57)</f>
        <v>1164.1500000000001</v>
      </c>
      <c r="O58" s="598">
        <f t="shared" ref="O58:W58" si="2">SUM(O28:O57)</f>
        <v>1663.0714285714289</v>
      </c>
      <c r="P58" s="598">
        <f t="shared" si="2"/>
        <v>3326.1428571428578</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118.7</v>
      </c>
      <c r="N59" s="598">
        <f t="shared" si="3"/>
        <v>534.15000000000009</v>
      </c>
      <c r="O59" s="598">
        <f t="shared" si="3"/>
        <v>763.07142857142867</v>
      </c>
      <c r="P59" s="598">
        <f t="shared" si="3"/>
        <v>1526.1428571428573</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140</v>
      </c>
      <c r="N60" s="598">
        <f ca="1">SUMIF($Z$28:AD57,"tertiair",N28:N57)</f>
        <v>630.00000000000011</v>
      </c>
      <c r="O60" s="598">
        <f ca="1">SUMIF($Z$28:AE57,"tertiair",O28:O57)</f>
        <v>900.00000000000023</v>
      </c>
      <c r="P60" s="598">
        <f ca="1">SUMIF($Z$28:AF57,"tertiair",P28:P57)</f>
        <v>1800.0000000000005</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1369.5882352941178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1956.55462184874</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75360.739217613504</v>
      </c>
      <c r="C4" s="460">
        <f>huishoudens!C8</f>
        <v>0</v>
      </c>
      <c r="D4" s="460">
        <f>huishoudens!D8</f>
        <v>240463.10838078641</v>
      </c>
      <c r="E4" s="460">
        <f>huishoudens!E8</f>
        <v>1530.1882344490875</v>
      </c>
      <c r="F4" s="460">
        <f>huishoudens!F8</f>
        <v>7812.0014678538409</v>
      </c>
      <c r="G4" s="460">
        <f>huishoudens!G8</f>
        <v>0</v>
      </c>
      <c r="H4" s="460">
        <f>huishoudens!H8</f>
        <v>0</v>
      </c>
      <c r="I4" s="460">
        <f>huishoudens!I8</f>
        <v>0</v>
      </c>
      <c r="J4" s="460">
        <f>huishoudens!J8</f>
        <v>0</v>
      </c>
      <c r="K4" s="460">
        <f>huishoudens!K8</f>
        <v>0</v>
      </c>
      <c r="L4" s="460">
        <f>huishoudens!L8</f>
        <v>0</v>
      </c>
      <c r="M4" s="460">
        <f>huishoudens!M8</f>
        <v>0</v>
      </c>
      <c r="N4" s="460">
        <f>huishoudens!N8</f>
        <v>15555.586405166845</v>
      </c>
      <c r="O4" s="460">
        <f>huishoudens!O8</f>
        <v>95.36333333333333</v>
      </c>
      <c r="P4" s="461">
        <f>huishoudens!P8</f>
        <v>305.06666666666666</v>
      </c>
      <c r="Q4" s="462">
        <f>SUM(B4:P4)</f>
        <v>341122.05370586965</v>
      </c>
    </row>
    <row r="5" spans="1:17">
      <c r="A5" s="459" t="s">
        <v>156</v>
      </c>
      <c r="B5" s="460">
        <f ca="1">tertiair!B16</f>
        <v>51751.527658193627</v>
      </c>
      <c r="C5" s="460">
        <f ca="1">tertiair!C16</f>
        <v>900.00000000000023</v>
      </c>
      <c r="D5" s="460">
        <f ca="1">tertiair!D16</f>
        <v>83346.813877848967</v>
      </c>
      <c r="E5" s="460">
        <f>tertiair!E16</f>
        <v>1005.299414966716</v>
      </c>
      <c r="F5" s="460">
        <f ca="1">tertiair!F16</f>
        <v>10344.981178539078</v>
      </c>
      <c r="G5" s="460">
        <f>tertiair!G16</f>
        <v>0</v>
      </c>
      <c r="H5" s="460">
        <f>tertiair!H16</f>
        <v>0</v>
      </c>
      <c r="I5" s="460">
        <f>tertiair!I16</f>
        <v>0</v>
      </c>
      <c r="J5" s="460">
        <f>tertiair!J16</f>
        <v>0</v>
      </c>
      <c r="K5" s="460">
        <f>tertiair!K16</f>
        <v>0</v>
      </c>
      <c r="L5" s="460">
        <f ca="1">tertiair!L16</f>
        <v>0</v>
      </c>
      <c r="M5" s="460">
        <f>tertiair!M16</f>
        <v>0</v>
      </c>
      <c r="N5" s="460">
        <f ca="1">tertiair!N16</f>
        <v>1668.8231783053041</v>
      </c>
      <c r="O5" s="460">
        <f>tertiair!O16</f>
        <v>1.5633333333333335</v>
      </c>
      <c r="P5" s="461">
        <f>tertiair!P16</f>
        <v>19.066666666666666</v>
      </c>
      <c r="Q5" s="459">
        <f t="shared" ref="Q5:Q14" ca="1" si="0">SUM(B5:P5)</f>
        <v>149038.07530785369</v>
      </c>
    </row>
    <row r="6" spans="1:17">
      <c r="A6" s="459" t="s">
        <v>194</v>
      </c>
      <c r="B6" s="460">
        <f>'openbare verlichting'!B8</f>
        <v>2067.239</v>
      </c>
      <c r="C6" s="460"/>
      <c r="D6" s="460"/>
      <c r="E6" s="460"/>
      <c r="F6" s="460"/>
      <c r="G6" s="460"/>
      <c r="H6" s="460"/>
      <c r="I6" s="460"/>
      <c r="J6" s="460"/>
      <c r="K6" s="460"/>
      <c r="L6" s="460"/>
      <c r="M6" s="460"/>
      <c r="N6" s="460"/>
      <c r="O6" s="460"/>
      <c r="P6" s="461"/>
      <c r="Q6" s="459">
        <f t="shared" si="0"/>
        <v>2067.239</v>
      </c>
    </row>
    <row r="7" spans="1:17">
      <c r="A7" s="459" t="s">
        <v>112</v>
      </c>
      <c r="B7" s="460">
        <f>landbouw!B8</f>
        <v>125.0850164728998</v>
      </c>
      <c r="C7" s="460">
        <f>landbouw!C8</f>
        <v>0</v>
      </c>
      <c r="D7" s="460">
        <f>landbouw!D8</f>
        <v>239.59405285347958</v>
      </c>
      <c r="E7" s="460">
        <f>landbouw!E8</f>
        <v>1.3099173723059649</v>
      </c>
      <c r="F7" s="460">
        <f>landbouw!F8</f>
        <v>535.45891493106126</v>
      </c>
      <c r="G7" s="460">
        <f>landbouw!G8</f>
        <v>0</v>
      </c>
      <c r="H7" s="460">
        <f>landbouw!H8</f>
        <v>0</v>
      </c>
      <c r="I7" s="460">
        <f>landbouw!I8</f>
        <v>0</v>
      </c>
      <c r="J7" s="460">
        <f>landbouw!J8</f>
        <v>11.171213127159142</v>
      </c>
      <c r="K7" s="460">
        <f>landbouw!K8</f>
        <v>0</v>
      </c>
      <c r="L7" s="460">
        <f>landbouw!L8</f>
        <v>0</v>
      </c>
      <c r="M7" s="460">
        <f>landbouw!M8</f>
        <v>0</v>
      </c>
      <c r="N7" s="460">
        <f>landbouw!N8</f>
        <v>0</v>
      </c>
      <c r="O7" s="460">
        <f>landbouw!O8</f>
        <v>0</v>
      </c>
      <c r="P7" s="461">
        <f>landbouw!P8</f>
        <v>0</v>
      </c>
      <c r="Q7" s="459">
        <f t="shared" si="0"/>
        <v>912.61911475690579</v>
      </c>
    </row>
    <row r="8" spans="1:17">
      <c r="A8" s="459" t="s">
        <v>655</v>
      </c>
      <c r="B8" s="460">
        <f>industrie!B18</f>
        <v>4170.6972157007403</v>
      </c>
      <c r="C8" s="460">
        <f>industrie!C18</f>
        <v>763.07142857142867</v>
      </c>
      <c r="D8" s="460">
        <f>industrie!D18</f>
        <v>3992.8507244494035</v>
      </c>
      <c r="E8" s="460">
        <f>industrie!E18</f>
        <v>53.247998025036644</v>
      </c>
      <c r="F8" s="460">
        <f>industrie!F18</f>
        <v>1696.188661821647</v>
      </c>
      <c r="G8" s="460">
        <f>industrie!G18</f>
        <v>0</v>
      </c>
      <c r="H8" s="460">
        <f>industrie!H18</f>
        <v>0</v>
      </c>
      <c r="I8" s="460">
        <f>industrie!I18</f>
        <v>0</v>
      </c>
      <c r="J8" s="460">
        <f>industrie!J18</f>
        <v>8.0416219475214028</v>
      </c>
      <c r="K8" s="460">
        <f>industrie!K18</f>
        <v>0</v>
      </c>
      <c r="L8" s="460">
        <f>industrie!L18</f>
        <v>0</v>
      </c>
      <c r="M8" s="460">
        <f>industrie!M18</f>
        <v>0</v>
      </c>
      <c r="N8" s="460">
        <f>industrie!N18</f>
        <v>153.24099494825518</v>
      </c>
      <c r="O8" s="460">
        <f>industrie!O18</f>
        <v>0</v>
      </c>
      <c r="P8" s="461">
        <f>industrie!P18</f>
        <v>0</v>
      </c>
      <c r="Q8" s="459">
        <f t="shared" si="0"/>
        <v>10837.338645464033</v>
      </c>
    </row>
    <row r="9" spans="1:17" s="465" customFormat="1">
      <c r="A9" s="463" t="s">
        <v>573</v>
      </c>
      <c r="B9" s="464">
        <f>transport!B14</f>
        <v>1.5912446599244841</v>
      </c>
      <c r="C9" s="464">
        <f>transport!C14</f>
        <v>0</v>
      </c>
      <c r="D9" s="464">
        <f>transport!D14</f>
        <v>8.326317555115228</v>
      </c>
      <c r="E9" s="464">
        <f>transport!E14</f>
        <v>862.1016750630821</v>
      </c>
      <c r="F9" s="464">
        <f>transport!F14</f>
        <v>0</v>
      </c>
      <c r="G9" s="464">
        <f>transport!G14</f>
        <v>137849.50831743641</v>
      </c>
      <c r="H9" s="464">
        <f>transport!H14</f>
        <v>27748.929456753591</v>
      </c>
      <c r="I9" s="464">
        <f>transport!I14</f>
        <v>0</v>
      </c>
      <c r="J9" s="464">
        <f>transport!J14</f>
        <v>0</v>
      </c>
      <c r="K9" s="464">
        <f>transport!K14</f>
        <v>0</v>
      </c>
      <c r="L9" s="464">
        <f>transport!L14</f>
        <v>0</v>
      </c>
      <c r="M9" s="464">
        <f>transport!M14</f>
        <v>7236.4658947733451</v>
      </c>
      <c r="N9" s="464">
        <f>transport!N14</f>
        <v>0</v>
      </c>
      <c r="O9" s="464">
        <f>transport!O14</f>
        <v>0</v>
      </c>
      <c r="P9" s="464">
        <f>transport!P14</f>
        <v>0</v>
      </c>
      <c r="Q9" s="463">
        <f>SUM(B9:P9)</f>
        <v>173706.92290624147</v>
      </c>
    </row>
    <row r="10" spans="1:17">
      <c r="A10" s="459" t="s">
        <v>563</v>
      </c>
      <c r="B10" s="460">
        <f>transport!B54</f>
        <v>0</v>
      </c>
      <c r="C10" s="460">
        <f>transport!C54</f>
        <v>0</v>
      </c>
      <c r="D10" s="460">
        <f>transport!D54</f>
        <v>0</v>
      </c>
      <c r="E10" s="460">
        <f>transport!E54</f>
        <v>0</v>
      </c>
      <c r="F10" s="460">
        <f>transport!F54</f>
        <v>0</v>
      </c>
      <c r="G10" s="460">
        <f>transport!G54</f>
        <v>4035.1463500649925</v>
      </c>
      <c r="H10" s="460">
        <f>transport!H54</f>
        <v>0</v>
      </c>
      <c r="I10" s="460">
        <f>transport!I54</f>
        <v>0</v>
      </c>
      <c r="J10" s="460">
        <f>transport!J54</f>
        <v>0</v>
      </c>
      <c r="K10" s="460">
        <f>transport!K54</f>
        <v>0</v>
      </c>
      <c r="L10" s="460">
        <f>transport!L54</f>
        <v>0</v>
      </c>
      <c r="M10" s="460">
        <f>transport!M54</f>
        <v>172.00075830450919</v>
      </c>
      <c r="N10" s="460">
        <f>transport!N54</f>
        <v>0</v>
      </c>
      <c r="O10" s="460">
        <f>transport!O54</f>
        <v>0</v>
      </c>
      <c r="P10" s="461">
        <f>transport!P54</f>
        <v>0</v>
      </c>
      <c r="Q10" s="459">
        <f t="shared" si="0"/>
        <v>4207.1471083695014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3596.6769704053604</v>
      </c>
      <c r="C14" s="467"/>
      <c r="D14" s="467">
        <f>'SEAP template'!E25</f>
        <v>9479.4808990918191</v>
      </c>
      <c r="E14" s="467"/>
      <c r="F14" s="467"/>
      <c r="G14" s="467"/>
      <c r="H14" s="467"/>
      <c r="I14" s="467"/>
      <c r="J14" s="467"/>
      <c r="K14" s="467"/>
      <c r="L14" s="467"/>
      <c r="M14" s="467"/>
      <c r="N14" s="467"/>
      <c r="O14" s="467"/>
      <c r="P14" s="468"/>
      <c r="Q14" s="459">
        <f t="shared" si="0"/>
        <v>13076.157869497179</v>
      </c>
    </row>
    <row r="15" spans="1:17" s="472" customFormat="1">
      <c r="A15" s="469" t="s">
        <v>567</v>
      </c>
      <c r="B15" s="470">
        <f ca="1">SUM(B4:B14)</f>
        <v>137073.55632304607</v>
      </c>
      <c r="C15" s="470">
        <f t="shared" ref="C15:Q15" ca="1" si="1">SUM(C4:C14)</f>
        <v>1663.0714285714289</v>
      </c>
      <c r="D15" s="470">
        <f t="shared" ca="1" si="1"/>
        <v>337530.17425258516</v>
      </c>
      <c r="E15" s="470">
        <f t="shared" si="1"/>
        <v>3452.147239876228</v>
      </c>
      <c r="F15" s="470">
        <f t="shared" ca="1" si="1"/>
        <v>20388.630223145628</v>
      </c>
      <c r="G15" s="470">
        <f t="shared" si="1"/>
        <v>141884.6546675014</v>
      </c>
      <c r="H15" s="470">
        <f t="shared" si="1"/>
        <v>27748.929456753591</v>
      </c>
      <c r="I15" s="470">
        <f t="shared" si="1"/>
        <v>0</v>
      </c>
      <c r="J15" s="470">
        <f t="shared" si="1"/>
        <v>19.212835074680545</v>
      </c>
      <c r="K15" s="470">
        <f t="shared" si="1"/>
        <v>0</v>
      </c>
      <c r="L15" s="470">
        <f t="shared" ca="1" si="1"/>
        <v>0</v>
      </c>
      <c r="M15" s="470">
        <f t="shared" si="1"/>
        <v>7408.4666530778541</v>
      </c>
      <c r="N15" s="470">
        <f t="shared" ca="1" si="1"/>
        <v>17377.650578420402</v>
      </c>
      <c r="O15" s="470">
        <f t="shared" si="1"/>
        <v>96.926666666666662</v>
      </c>
      <c r="P15" s="470">
        <f t="shared" si="1"/>
        <v>324.13333333333333</v>
      </c>
      <c r="Q15" s="470">
        <f t="shared" ca="1" si="1"/>
        <v>694967.55365805246</v>
      </c>
    </row>
    <row r="17" spans="1:17">
      <c r="A17" s="473" t="s">
        <v>568</v>
      </c>
      <c r="B17" s="777">
        <f ca="1">huishoudens!B10</f>
        <v>0.2179111752442407</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16421.947250184898</v>
      </c>
      <c r="C22" s="460">
        <f t="shared" ref="C22:C32" ca="1" si="3">C4*$C$17</f>
        <v>0</v>
      </c>
      <c r="D22" s="460">
        <f t="shared" ref="D22:D32" si="4">D4*$D$17</f>
        <v>48573.547892918854</v>
      </c>
      <c r="E22" s="460">
        <f t="shared" ref="E22:E32" si="5">E4*$E$17</f>
        <v>347.35272921994289</v>
      </c>
      <c r="F22" s="460">
        <f t="shared" ref="F22:F32" si="6">F4*$F$17</f>
        <v>2085.8043919169759</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67428.652264240663</v>
      </c>
    </row>
    <row r="23" spans="1:17">
      <c r="A23" s="459" t="s">
        <v>156</v>
      </c>
      <c r="B23" s="460">
        <f t="shared" ca="1" si="2"/>
        <v>11277.236212681801</v>
      </c>
      <c r="C23" s="460">
        <f t="shared" ca="1" si="3"/>
        <v>213.88235294117655</v>
      </c>
      <c r="D23" s="460">
        <f t="shared" ca="1" si="4"/>
        <v>16836.056403325492</v>
      </c>
      <c r="E23" s="460">
        <f t="shared" si="5"/>
        <v>228.20296719744454</v>
      </c>
      <c r="F23" s="460">
        <f t="shared" ca="1" si="6"/>
        <v>2762.1099746699338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31317.487910815849</v>
      </c>
    </row>
    <row r="24" spans="1:17">
      <c r="A24" s="459" t="s">
        <v>194</v>
      </c>
      <c r="B24" s="460">
        <f t="shared" ca="1" si="2"/>
        <v>450.47448000072887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450.47448000072887</v>
      </c>
    </row>
    <row r="25" spans="1:17">
      <c r="A25" s="459" t="s">
        <v>112</v>
      </c>
      <c r="B25" s="460">
        <f t="shared" ca="1" si="2"/>
        <v>27.257422945054802</v>
      </c>
      <c r="C25" s="460">
        <f t="shared" ca="1" si="3"/>
        <v>0</v>
      </c>
      <c r="D25" s="460">
        <f t="shared" si="4"/>
        <v>48.397998676402878</v>
      </c>
      <c r="E25" s="460">
        <f t="shared" si="5"/>
        <v>0.29735124351345404</v>
      </c>
      <c r="F25" s="460">
        <f t="shared" si="6"/>
        <v>142.96753028659336</v>
      </c>
      <c r="G25" s="460">
        <f t="shared" si="7"/>
        <v>0</v>
      </c>
      <c r="H25" s="460">
        <f t="shared" si="8"/>
        <v>0</v>
      </c>
      <c r="I25" s="460">
        <f t="shared" si="9"/>
        <v>0</v>
      </c>
      <c r="J25" s="460">
        <f t="shared" si="10"/>
        <v>3.9546094470143358</v>
      </c>
      <c r="K25" s="460">
        <f t="shared" si="11"/>
        <v>0</v>
      </c>
      <c r="L25" s="460">
        <f t="shared" si="12"/>
        <v>0</v>
      </c>
      <c r="M25" s="460">
        <f t="shared" si="13"/>
        <v>0</v>
      </c>
      <c r="N25" s="460">
        <f t="shared" si="14"/>
        <v>0</v>
      </c>
      <c r="O25" s="460">
        <f t="shared" si="15"/>
        <v>0</v>
      </c>
      <c r="P25" s="461">
        <f t="shared" si="16"/>
        <v>0</v>
      </c>
      <c r="Q25" s="459">
        <f t="shared" ca="1" si="17"/>
        <v>222.87491259857885</v>
      </c>
    </row>
    <row r="26" spans="1:17">
      <c r="A26" s="459" t="s">
        <v>655</v>
      </c>
      <c r="B26" s="460">
        <f t="shared" ca="1" si="2"/>
        <v>908.84153186123081</v>
      </c>
      <c r="C26" s="460">
        <f t="shared" ca="1" si="3"/>
        <v>181.34168067226895</v>
      </c>
      <c r="D26" s="460">
        <f t="shared" si="4"/>
        <v>806.55584633877959</v>
      </c>
      <c r="E26" s="460">
        <f t="shared" si="5"/>
        <v>12.087295551683319</v>
      </c>
      <c r="F26" s="460">
        <f t="shared" si="6"/>
        <v>452.88237270637978</v>
      </c>
      <c r="G26" s="460">
        <f t="shared" si="7"/>
        <v>0</v>
      </c>
      <c r="H26" s="460">
        <f t="shared" si="8"/>
        <v>0</v>
      </c>
      <c r="I26" s="460">
        <f t="shared" si="9"/>
        <v>0</v>
      </c>
      <c r="J26" s="460">
        <f t="shared" si="10"/>
        <v>2.8467341694225765</v>
      </c>
      <c r="K26" s="460">
        <f t="shared" si="11"/>
        <v>0</v>
      </c>
      <c r="L26" s="460">
        <f t="shared" si="12"/>
        <v>0</v>
      </c>
      <c r="M26" s="460">
        <f t="shared" si="13"/>
        <v>0</v>
      </c>
      <c r="N26" s="460">
        <f t="shared" si="14"/>
        <v>0</v>
      </c>
      <c r="O26" s="460">
        <f t="shared" si="15"/>
        <v>0</v>
      </c>
      <c r="P26" s="461">
        <f t="shared" si="16"/>
        <v>0</v>
      </c>
      <c r="Q26" s="459">
        <f t="shared" ca="1" si="17"/>
        <v>2364.5554612997653</v>
      </c>
    </row>
    <row r="27" spans="1:17" s="465" customFormat="1">
      <c r="A27" s="463" t="s">
        <v>573</v>
      </c>
      <c r="B27" s="771">
        <f t="shared" ca="1" si="2"/>
        <v>0.34674999394526645</v>
      </c>
      <c r="C27" s="464">
        <f t="shared" ca="1" si="3"/>
        <v>0</v>
      </c>
      <c r="D27" s="464">
        <f t="shared" si="4"/>
        <v>1.6819161461332761</v>
      </c>
      <c r="E27" s="464">
        <f t="shared" si="5"/>
        <v>195.69708023931963</v>
      </c>
      <c r="F27" s="464">
        <f t="shared" si="6"/>
        <v>0</v>
      </c>
      <c r="G27" s="464">
        <f t="shared" si="7"/>
        <v>36805.818720755524</v>
      </c>
      <c r="H27" s="464">
        <f t="shared" si="8"/>
        <v>6909.4834347316437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43913.027901866568</v>
      </c>
    </row>
    <row r="28" spans="1:17">
      <c r="A28" s="459" t="s">
        <v>563</v>
      </c>
      <c r="B28" s="460">
        <f t="shared" ca="1" si="2"/>
        <v>0</v>
      </c>
      <c r="C28" s="460">
        <f t="shared" ca="1" si="3"/>
        <v>0</v>
      </c>
      <c r="D28" s="460">
        <f t="shared" si="4"/>
        <v>0</v>
      </c>
      <c r="E28" s="460">
        <f t="shared" si="5"/>
        <v>0</v>
      </c>
      <c r="F28" s="460">
        <f t="shared" si="6"/>
        <v>0</v>
      </c>
      <c r="G28" s="460">
        <f t="shared" si="7"/>
        <v>1077.3840754673531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1077.3840754673531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783.75610559492725</v>
      </c>
      <c r="C32" s="460">
        <f t="shared" ca="1" si="3"/>
        <v>0</v>
      </c>
      <c r="D32" s="460">
        <f t="shared" si="4"/>
        <v>1914.8551416165476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2698.6112472114746</v>
      </c>
    </row>
    <row r="33" spans="1:17" s="472" customFormat="1">
      <c r="A33" s="469" t="s">
        <v>567</v>
      </c>
      <c r="B33" s="470">
        <f ca="1">SUM(B22:B32)</f>
        <v>29869.859753262586</v>
      </c>
      <c r="C33" s="470">
        <f t="shared" ref="C33:Q33" ca="1" si="19">SUM(C22:C32)</f>
        <v>395.2240336134455</v>
      </c>
      <c r="D33" s="470">
        <f t="shared" ca="1" si="19"/>
        <v>68181.095199022209</v>
      </c>
      <c r="E33" s="470">
        <f t="shared" si="19"/>
        <v>783.63742345190394</v>
      </c>
      <c r="F33" s="470">
        <f t="shared" ca="1" si="19"/>
        <v>5443.7642695798831</v>
      </c>
      <c r="G33" s="470">
        <f t="shared" si="19"/>
        <v>37883.202796222875</v>
      </c>
      <c r="H33" s="470">
        <f t="shared" si="19"/>
        <v>6909.4834347316437</v>
      </c>
      <c r="I33" s="470">
        <f t="shared" si="19"/>
        <v>0</v>
      </c>
      <c r="J33" s="470">
        <f t="shared" si="19"/>
        <v>6.8013436164369123</v>
      </c>
      <c r="K33" s="470">
        <f t="shared" si="19"/>
        <v>0</v>
      </c>
      <c r="L33" s="470">
        <f t="shared" ca="1" si="19"/>
        <v>0</v>
      </c>
      <c r="M33" s="470">
        <f t="shared" si="19"/>
        <v>0</v>
      </c>
      <c r="N33" s="470">
        <f t="shared" ca="1" si="19"/>
        <v>0</v>
      </c>
      <c r="O33" s="470">
        <f t="shared" si="19"/>
        <v>0</v>
      </c>
      <c r="P33" s="470">
        <f t="shared" si="19"/>
        <v>0</v>
      </c>
      <c r="Q33" s="470">
        <f t="shared" ca="1" si="19"/>
        <v>149473.06825350097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2003.5107133936835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1164.1500000000001</v>
      </c>
      <c r="D8" s="1028">
        <f>'SEAP template'!D76</f>
        <v>1369.5882352941178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276.65682352941184</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2003.5107133936835</v>
      </c>
      <c r="C10" s="1032">
        <f>SUM(C4:C9)</f>
        <v>1164.1500000000001</v>
      </c>
      <c r="D10" s="1032">
        <f t="shared" ref="D10:H10" si="0">SUM(D8:D9)</f>
        <v>1369.5882352941178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276.65682352941184</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0.2179111752442407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1663.0714285714289</v>
      </c>
      <c r="D17" s="1029">
        <f>'SEAP template'!D87</f>
        <v>1956.55462184874</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395.2240336134455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1663.0714285714289</v>
      </c>
      <c r="D20" s="1032">
        <f t="shared" ref="D20:H20" si="2">SUM(D17:D19)</f>
        <v>1956.55462184874</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395.2240336134455</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0.2179111752442407</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2019-08-12T09:19:01Z</dcterms:modified>
</cp:coreProperties>
</file>